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laverg\Documents\2018\PAA PARA COMUNICACIONES\"/>
    </mc:Choice>
  </mc:AlternateContent>
  <bookViews>
    <workbookView xWindow="0" yWindow="0" windowWidth="28800" windowHeight="12330"/>
  </bookViews>
  <sheets>
    <sheet name="Hoja2"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303" i="2" l="1"/>
  <c r="AL1303" i="2"/>
  <c r="AH1303" i="2"/>
  <c r="AD1303" i="2"/>
  <c r="Z1303" i="2"/>
  <c r="S1303" i="2"/>
  <c r="AE1300" i="2"/>
  <c r="AE1298" i="2"/>
  <c r="AE1297" i="2"/>
  <c r="AE1296" i="2"/>
  <c r="AE1295" i="2"/>
  <c r="AE1294" i="2"/>
  <c r="AE1293" i="2"/>
  <c r="AE1292" i="2"/>
  <c r="AE1291" i="2"/>
  <c r="AE1290" i="2"/>
  <c r="AE1289" i="2"/>
  <c r="AE1288" i="2"/>
  <c r="AE1287" i="2"/>
  <c r="AE1286" i="2"/>
  <c r="AE1285" i="2"/>
  <c r="AE1284" i="2"/>
  <c r="AE1283" i="2"/>
  <c r="AE1282" i="2"/>
  <c r="AE1281" i="2"/>
  <c r="AE1280" i="2"/>
  <c r="AE1279" i="2"/>
  <c r="AE1278" i="2"/>
  <c r="AE1277" i="2"/>
  <c r="AE1276" i="2"/>
  <c r="AE1275" i="2"/>
  <c r="AE1274" i="2"/>
  <c r="AE1273" i="2"/>
  <c r="AE1272" i="2"/>
  <c r="AE1271" i="2"/>
  <c r="AE1270" i="2"/>
  <c r="AE1269" i="2"/>
  <c r="AE1268" i="2"/>
  <c r="AE1267" i="2"/>
  <c r="AE1266" i="2"/>
  <c r="AE1265" i="2"/>
  <c r="AE1264" i="2"/>
  <c r="AE1263" i="2"/>
  <c r="AE1262" i="2"/>
  <c r="AE1261" i="2"/>
  <c r="AE1260" i="2"/>
  <c r="AE1259" i="2"/>
  <c r="AE1258" i="2"/>
  <c r="AE1257" i="2"/>
  <c r="AE1256" i="2"/>
  <c r="AE1255" i="2"/>
  <c r="AE1254" i="2"/>
  <c r="AE1253" i="2"/>
  <c r="AE1252" i="2"/>
  <c r="AE1251" i="2"/>
  <c r="AE1250" i="2"/>
  <c r="AE1249" i="2"/>
  <c r="AE1248" i="2"/>
  <c r="AE1247" i="2"/>
  <c r="AE1246" i="2"/>
  <c r="AE1245" i="2"/>
  <c r="AE1244" i="2"/>
  <c r="AE1243" i="2"/>
  <c r="AE1242" i="2"/>
  <c r="AE1241" i="2"/>
  <c r="AE1240" i="2"/>
  <c r="AE1239" i="2"/>
  <c r="AE1238" i="2"/>
  <c r="AE1237" i="2"/>
  <c r="AE1236" i="2"/>
  <c r="AE1235" i="2"/>
  <c r="AE1234" i="2"/>
  <c r="AE1233" i="2"/>
  <c r="AE1232" i="2"/>
  <c r="AE1231" i="2"/>
  <c r="AE1230" i="2"/>
  <c r="AE1229" i="2"/>
  <c r="AE1228" i="2"/>
  <c r="AE1227" i="2"/>
  <c r="AE1226" i="2"/>
  <c r="AE1225" i="2"/>
  <c r="AE1224" i="2"/>
  <c r="AE1223" i="2"/>
  <c r="AE1222" i="2"/>
  <c r="AE1221" i="2"/>
  <c r="AE1220" i="2"/>
  <c r="AE1219" i="2"/>
  <c r="AE1218" i="2"/>
  <c r="AE1217" i="2"/>
  <c r="AE1216" i="2"/>
  <c r="AE1215" i="2"/>
  <c r="AE1214" i="2"/>
  <c r="AE1213" i="2"/>
  <c r="AE1212" i="2"/>
  <c r="AE1211" i="2"/>
  <c r="AE1210" i="2"/>
  <c r="AE1209" i="2"/>
  <c r="AE1208" i="2"/>
  <c r="AE1207" i="2"/>
  <c r="AE1206" i="2"/>
  <c r="AE1205" i="2"/>
  <c r="AE1204" i="2"/>
  <c r="AE1203" i="2"/>
  <c r="AE1202" i="2"/>
  <c r="AE1201" i="2"/>
  <c r="AE1200" i="2"/>
  <c r="AE1199" i="2"/>
  <c r="AE1198" i="2"/>
  <c r="AE1197" i="2"/>
  <c r="AE1196" i="2"/>
  <c r="AE1195" i="2"/>
  <c r="AE1194" i="2"/>
  <c r="AE1193" i="2"/>
  <c r="AE1192" i="2"/>
  <c r="AE1191" i="2"/>
  <c r="AE1190" i="2"/>
  <c r="AE1189" i="2"/>
  <c r="AE1188" i="2"/>
  <c r="AE1187" i="2"/>
  <c r="AE1186" i="2"/>
  <c r="AE1185" i="2"/>
  <c r="AE1184" i="2"/>
  <c r="AE1183" i="2"/>
  <c r="AE1182" i="2"/>
  <c r="AE1181" i="2"/>
  <c r="AE1180" i="2"/>
  <c r="AE1179" i="2"/>
  <c r="AE1178" i="2"/>
  <c r="AE1177" i="2"/>
  <c r="AE1176" i="2"/>
  <c r="AE1175" i="2"/>
  <c r="AE1174" i="2"/>
  <c r="AE1173" i="2"/>
  <c r="AE1172" i="2"/>
  <c r="AE1171" i="2"/>
  <c r="AE1170" i="2"/>
  <c r="AE1169" i="2"/>
  <c r="AE1168" i="2"/>
  <c r="AE1167" i="2"/>
  <c r="AE1166" i="2"/>
  <c r="AE1165" i="2"/>
  <c r="AE1164" i="2"/>
  <c r="AE1163" i="2"/>
  <c r="AE1162" i="2"/>
  <c r="AE1161" i="2"/>
  <c r="AE1160" i="2"/>
  <c r="AE1159" i="2"/>
  <c r="AE1158" i="2"/>
  <c r="AE1157" i="2"/>
  <c r="AE1156" i="2"/>
  <c r="AE1155" i="2"/>
  <c r="AN1154" i="2" l="1"/>
  <c r="AN1153" i="2"/>
  <c r="AN1152" i="2"/>
  <c r="AN1151" i="2"/>
  <c r="AN1150" i="2"/>
  <c r="AN1149" i="2"/>
  <c r="AN1143" i="2"/>
  <c r="AN1142" i="2"/>
  <c r="AN1141" i="2"/>
  <c r="AN1140" i="2"/>
  <c r="AN1139" i="2"/>
  <c r="AN1138" i="2"/>
  <c r="AN1137" i="2"/>
  <c r="AN1136" i="2"/>
  <c r="AN1135" i="2"/>
  <c r="AN1134" i="2"/>
  <c r="AH1134" i="2"/>
  <c r="AN1133" i="2"/>
  <c r="AN1132" i="2"/>
  <c r="AN1130" i="2"/>
  <c r="AN1129" i="2"/>
  <c r="AH1129" i="2"/>
  <c r="AN1128" i="2"/>
  <c r="AH1128" i="2"/>
  <c r="AN1127" i="2"/>
  <c r="AN1126" i="2"/>
  <c r="AN1125" i="2"/>
  <c r="AN1124" i="2"/>
  <c r="AN1123" i="2"/>
  <c r="AN1122" i="2"/>
  <c r="AN1121" i="2"/>
  <c r="AN1120" i="2"/>
  <c r="AN1119" i="2"/>
  <c r="AL1118" i="2"/>
  <c r="AN1118" i="2" s="1"/>
  <c r="AM1117" i="2"/>
  <c r="AL1117" i="2"/>
  <c r="AN1116" i="2"/>
  <c r="AN1115" i="2"/>
  <c r="AN1114" i="2"/>
  <c r="AN1113" i="2"/>
  <c r="AN1112" i="2"/>
  <c r="AN1111" i="2"/>
  <c r="AH1110" i="2"/>
  <c r="AL1110" i="2" s="1"/>
  <c r="AH1109" i="2"/>
  <c r="AL1109" i="2" s="1"/>
  <c r="AN1108" i="2"/>
  <c r="AN1107" i="2"/>
  <c r="Z1106" i="2"/>
  <c r="AN1105" i="2"/>
  <c r="AN1103" i="2"/>
  <c r="Z1102" i="2"/>
  <c r="AH1101" i="2"/>
  <c r="AL1101" i="2" s="1"/>
  <c r="AN1101" i="2" s="1"/>
  <c r="Z1101" i="2"/>
  <c r="S1100" i="2"/>
  <c r="S1099" i="2"/>
  <c r="AL1097" i="2"/>
  <c r="AN1096" i="2"/>
  <c r="Z1096" i="2"/>
  <c r="AH1095" i="2"/>
  <c r="AL1095" i="2" s="1"/>
  <c r="S1095" i="2"/>
  <c r="Z1095" i="2" s="1"/>
  <c r="AH1094" i="2"/>
  <c r="AL1094" i="2" s="1"/>
  <c r="Z1094" i="2"/>
  <c r="Z1093" i="2"/>
  <c r="AH1093" i="2" s="1"/>
  <c r="AL1093" i="2" s="1"/>
  <c r="AN1092" i="2"/>
  <c r="AL1092" i="2"/>
  <c r="AE1092" i="2" s="1"/>
  <c r="Z1092" i="2"/>
  <c r="AH1091" i="2"/>
  <c r="AL1091" i="2" s="1"/>
  <c r="Z1091" i="2"/>
  <c r="AH1090" i="2"/>
  <c r="AL1090" i="2" s="1"/>
  <c r="AE1090" i="2" s="1"/>
  <c r="Z1090" i="2"/>
  <c r="A1090" i="2"/>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S1089" i="2"/>
  <c r="Z1089" i="2" s="1"/>
  <c r="AD1089" i="2" s="1"/>
  <c r="S1088" i="2"/>
  <c r="Q1088" i="2" s="1"/>
  <c r="S1087" i="2"/>
  <c r="Q1087" i="2" s="1"/>
  <c r="S1086" i="2"/>
  <c r="Z1086" i="2" s="1"/>
  <c r="S1085" i="2"/>
  <c r="Q1085" i="2" s="1"/>
  <c r="S1084" i="2"/>
  <c r="Z1084" i="2" s="1"/>
  <c r="Z1083" i="2"/>
  <c r="Q1083" i="2"/>
  <c r="Z1082" i="2"/>
  <c r="Q1082" i="2"/>
  <c r="S1081" i="2"/>
  <c r="Q1081" i="2" s="1"/>
  <c r="S1080" i="2"/>
  <c r="Z1080" i="2" s="1"/>
  <c r="AN1079" i="2"/>
  <c r="S1079" i="2"/>
  <c r="Z1079" i="2" s="1"/>
  <c r="AH1078" i="2"/>
  <c r="AL1078" i="2" s="1"/>
  <c r="S1078" i="2"/>
  <c r="Z1078" i="2" s="1"/>
  <c r="AH1077" i="2"/>
  <c r="AL1077" i="2" s="1"/>
  <c r="S1077" i="2"/>
  <c r="Z1077" i="2" s="1"/>
  <c r="AH1076" i="2"/>
  <c r="AL1076" i="2" s="1"/>
  <c r="S1076" i="2"/>
  <c r="Z1076" i="2" s="1"/>
  <c r="AH1075" i="2"/>
  <c r="AL1075" i="2" s="1"/>
  <c r="S1075" i="2"/>
  <c r="Z1075" i="2" s="1"/>
  <c r="AL1074" i="2"/>
  <c r="AN1074" i="2" s="1"/>
  <c r="S1074" i="2"/>
  <c r="Z1074" i="2" s="1"/>
  <c r="AH1073" i="2"/>
  <c r="AL1073" i="2" s="1"/>
  <c r="S1073" i="2"/>
  <c r="Z1073" i="2" s="1"/>
  <c r="AH1072" i="2"/>
  <c r="AL1072" i="2" s="1"/>
  <c r="AN1072" i="2" s="1"/>
  <c r="S1072" i="2"/>
  <c r="Z1072" i="2" s="1"/>
  <c r="S1071" i="2"/>
  <c r="Z1071" i="2" s="1"/>
  <c r="AD1071" i="2" s="1"/>
  <c r="AH1070" i="2"/>
  <c r="AL1070" i="2" s="1"/>
  <c r="S1070" i="2"/>
  <c r="Z1070" i="2" s="1"/>
  <c r="AH1069" i="2"/>
  <c r="AL1069" i="2" s="1"/>
  <c r="S1069" i="2"/>
  <c r="Z1069" i="2" s="1"/>
  <c r="AL1068" i="2"/>
  <c r="AE1068" i="2" s="1"/>
  <c r="S1068" i="2"/>
  <c r="Z1068" i="2" s="1"/>
  <c r="AH1067" i="2"/>
  <c r="AL1067" i="2" s="1"/>
  <c r="AN1067" i="2" s="1"/>
  <c r="S1067" i="2"/>
  <c r="Z1067" i="2" s="1"/>
  <c r="AH1066" i="2"/>
  <c r="AL1066" i="2" s="1"/>
  <c r="AE1066" i="2" s="1"/>
  <c r="S1066" i="2"/>
  <c r="Z1066" i="2" s="1"/>
  <c r="AH1065" i="2"/>
  <c r="AL1065" i="2" s="1"/>
  <c r="S1065" i="2"/>
  <c r="Z1065" i="2" s="1"/>
  <c r="AH1064" i="2"/>
  <c r="AL1064" i="2" s="1"/>
  <c r="AN1064" i="2" s="1"/>
  <c r="S1064" i="2"/>
  <c r="Z1064" i="2" s="1"/>
  <c r="AL1063" i="2"/>
  <c r="AN1063" i="2" s="1"/>
  <c r="S1063" i="2"/>
  <c r="Z1063" i="2" s="1"/>
  <c r="AL1062" i="2"/>
  <c r="AN1062" i="2" s="1"/>
  <c r="S1062" i="2"/>
  <c r="Z1062" i="2" s="1"/>
  <c r="AH1061" i="2"/>
  <c r="AL1061" i="2" s="1"/>
  <c r="AN1061" i="2" s="1"/>
  <c r="S1061" i="2"/>
  <c r="Z1061" i="2" s="1"/>
  <c r="AH1060" i="2"/>
  <c r="AL1060" i="2" s="1"/>
  <c r="AN1060" i="2" s="1"/>
  <c r="S1060" i="2"/>
  <c r="Z1060" i="2" s="1"/>
  <c r="AH1059" i="2"/>
  <c r="AL1059" i="2" s="1"/>
  <c r="AE1059" i="2" s="1"/>
  <c r="S1059" i="2"/>
  <c r="Z1059" i="2" s="1"/>
  <c r="AH1058" i="2"/>
  <c r="AL1058" i="2" s="1"/>
  <c r="S1058" i="2"/>
  <c r="Z1058" i="2" s="1"/>
  <c r="AH1057" i="2"/>
  <c r="AL1057" i="2" s="1"/>
  <c r="AN1057" i="2" s="1"/>
  <c r="S1057" i="2"/>
  <c r="Z1057" i="2" s="1"/>
  <c r="AH1056" i="2"/>
  <c r="AL1056" i="2" s="1"/>
  <c r="S1056" i="2"/>
  <c r="Z1056" i="2" s="1"/>
  <c r="AH1055" i="2"/>
  <c r="AL1055" i="2" s="1"/>
  <c r="AE1055" i="2" s="1"/>
  <c r="S1055" i="2"/>
  <c r="Z1055" i="2" s="1"/>
  <c r="AH1054" i="2"/>
  <c r="AL1054" i="2" s="1"/>
  <c r="S1054" i="2"/>
  <c r="Z1054" i="2" s="1"/>
  <c r="AH1053" i="2"/>
  <c r="AL1053" i="2" s="1"/>
  <c r="AN1053" i="2" s="1"/>
  <c r="S1053" i="2"/>
  <c r="Z1053" i="2" s="1"/>
  <c r="AH1052" i="2"/>
  <c r="AL1052" i="2" s="1"/>
  <c r="AN1052" i="2" s="1"/>
  <c r="S1052" i="2"/>
  <c r="Z1052" i="2" s="1"/>
  <c r="AH1051" i="2"/>
  <c r="AL1051" i="2" s="1"/>
  <c r="AE1051" i="2" s="1"/>
  <c r="S1051" i="2"/>
  <c r="Z1051" i="2" s="1"/>
  <c r="AH1050" i="2"/>
  <c r="AL1050" i="2" s="1"/>
  <c r="S1050" i="2"/>
  <c r="Z1050" i="2" s="1"/>
  <c r="AH1049" i="2"/>
  <c r="AL1049" i="2" s="1"/>
  <c r="AN1049" i="2" s="1"/>
  <c r="S1049" i="2"/>
  <c r="Z1049" i="2" s="1"/>
  <c r="AH1048" i="2"/>
  <c r="AL1048" i="2" s="1"/>
  <c r="S1048" i="2"/>
  <c r="Z1048" i="2" s="1"/>
  <c r="AH1047" i="2"/>
  <c r="AL1047" i="2" s="1"/>
  <c r="AE1047" i="2" s="1"/>
  <c r="S1047" i="2"/>
  <c r="Z1047" i="2" s="1"/>
  <c r="AH1046" i="2"/>
  <c r="AL1046" i="2" s="1"/>
  <c r="S1046" i="2"/>
  <c r="Z1046" i="2" s="1"/>
  <c r="AH1045" i="2"/>
  <c r="AL1045" i="2" s="1"/>
  <c r="AN1045" i="2" s="1"/>
  <c r="S1045" i="2"/>
  <c r="Z1045" i="2" s="1"/>
  <c r="AH1044" i="2"/>
  <c r="AL1044" i="2" s="1"/>
  <c r="S1044" i="2"/>
  <c r="Z1044" i="2" s="1"/>
  <c r="AH1043" i="2"/>
  <c r="AL1043" i="2" s="1"/>
  <c r="AE1043" i="2" s="1"/>
  <c r="S1043" i="2"/>
  <c r="Z1043" i="2" s="1"/>
  <c r="AH1042" i="2"/>
  <c r="AL1042" i="2" s="1"/>
  <c r="S1042" i="2"/>
  <c r="Z1042" i="2" s="1"/>
  <c r="AH1041" i="2"/>
  <c r="AL1041" i="2" s="1"/>
  <c r="AN1041" i="2" s="1"/>
  <c r="S1041" i="2"/>
  <c r="Z1041" i="2" s="1"/>
  <c r="AH1040" i="2"/>
  <c r="AL1040" i="2" s="1"/>
  <c r="S1040" i="2"/>
  <c r="Z1040" i="2" s="1"/>
  <c r="AH1039" i="2"/>
  <c r="AL1039" i="2" s="1"/>
  <c r="AE1039" i="2" s="1"/>
  <c r="S1039" i="2"/>
  <c r="Z1039" i="2" s="1"/>
  <c r="AH1038" i="2"/>
  <c r="AL1038" i="2" s="1"/>
  <c r="S1038" i="2"/>
  <c r="Z1038" i="2" s="1"/>
  <c r="AH1037" i="2"/>
  <c r="AL1037" i="2" s="1"/>
  <c r="AN1037" i="2" s="1"/>
  <c r="S1037" i="2"/>
  <c r="Z1037" i="2" s="1"/>
  <c r="AH1036" i="2"/>
  <c r="AL1036" i="2" s="1"/>
  <c r="S1036" i="2"/>
  <c r="Z1036" i="2" s="1"/>
  <c r="AH1035" i="2"/>
  <c r="AL1035" i="2" s="1"/>
  <c r="AE1035" i="2" s="1"/>
  <c r="S1035" i="2"/>
  <c r="Z1035" i="2" s="1"/>
  <c r="AH1034" i="2"/>
  <c r="AL1034" i="2" s="1"/>
  <c r="S1034" i="2"/>
  <c r="Z1034" i="2" s="1"/>
  <c r="AH1033" i="2"/>
  <c r="AL1033" i="2" s="1"/>
  <c r="AN1033" i="2" s="1"/>
  <c r="S1033" i="2"/>
  <c r="Z1033" i="2" s="1"/>
  <c r="AH1032" i="2"/>
  <c r="AL1032" i="2" s="1"/>
  <c r="AN1032" i="2" s="1"/>
  <c r="S1032" i="2"/>
  <c r="Z1032" i="2" s="1"/>
  <c r="AH1031" i="2"/>
  <c r="AL1031" i="2" s="1"/>
  <c r="AE1031" i="2" s="1"/>
  <c r="S1031" i="2"/>
  <c r="Z1031" i="2" s="1"/>
  <c r="AH1030" i="2"/>
  <c r="AL1030" i="2" s="1"/>
  <c r="S1030" i="2"/>
  <c r="Z1030" i="2" s="1"/>
  <c r="AH1029" i="2"/>
  <c r="AL1029" i="2" s="1"/>
  <c r="AN1029" i="2" s="1"/>
  <c r="S1029" i="2"/>
  <c r="Z1029" i="2" s="1"/>
  <c r="AH1028" i="2"/>
  <c r="AL1028" i="2" s="1"/>
  <c r="S1028" i="2"/>
  <c r="Z1028" i="2" s="1"/>
  <c r="AH1027" i="2"/>
  <c r="AL1027" i="2" s="1"/>
  <c r="AE1027" i="2" s="1"/>
  <c r="S1027" i="2"/>
  <c r="Z1027" i="2" s="1"/>
  <c r="AH1026" i="2"/>
  <c r="AL1026" i="2" s="1"/>
  <c r="S1026" i="2"/>
  <c r="Z1026" i="2" s="1"/>
  <c r="AH1025" i="2"/>
  <c r="AL1025" i="2" s="1"/>
  <c r="AN1025" i="2" s="1"/>
  <c r="S1025" i="2"/>
  <c r="Z1025" i="2" s="1"/>
  <c r="AH1024" i="2"/>
  <c r="AL1024" i="2" s="1"/>
  <c r="AN1024" i="2" s="1"/>
  <c r="S1024" i="2"/>
  <c r="Z1024" i="2" s="1"/>
  <c r="AH1023" i="2"/>
  <c r="AL1023" i="2" s="1"/>
  <c r="AE1023" i="2" s="1"/>
  <c r="S1023" i="2"/>
  <c r="Z1023" i="2" s="1"/>
  <c r="AL1022" i="2"/>
  <c r="AN1022" i="2" s="1"/>
  <c r="AH1022" i="2"/>
  <c r="S1022" i="2"/>
  <c r="Z1022" i="2" s="1"/>
  <c r="AH1021" i="2"/>
  <c r="AL1021" i="2" s="1"/>
  <c r="AN1021" i="2" s="1"/>
  <c r="S1021" i="2"/>
  <c r="Z1021" i="2" s="1"/>
  <c r="AH1020" i="2"/>
  <c r="AL1020" i="2" s="1"/>
  <c r="AN1020" i="2" s="1"/>
  <c r="S1020" i="2"/>
  <c r="Z1020" i="2" s="1"/>
  <c r="AH1019" i="2"/>
  <c r="AL1019" i="2" s="1"/>
  <c r="AE1019" i="2" s="1"/>
  <c r="S1019" i="2"/>
  <c r="Z1019" i="2" s="1"/>
  <c r="AH1018" i="2"/>
  <c r="AL1018" i="2" s="1"/>
  <c r="S1018" i="2"/>
  <c r="Z1018" i="2" s="1"/>
  <c r="AH1017" i="2"/>
  <c r="AL1017" i="2" s="1"/>
  <c r="AN1017" i="2" s="1"/>
  <c r="S1017" i="2"/>
  <c r="Z1017" i="2" s="1"/>
  <c r="AH1016" i="2"/>
  <c r="AL1016" i="2" s="1"/>
  <c r="S1016" i="2"/>
  <c r="Z1016" i="2" s="1"/>
  <c r="AH1015" i="2"/>
  <c r="AL1015" i="2" s="1"/>
  <c r="AE1015" i="2" s="1"/>
  <c r="S1015" i="2"/>
  <c r="Z1015" i="2" s="1"/>
  <c r="AH1014" i="2"/>
  <c r="AL1014" i="2" s="1"/>
  <c r="S1014" i="2"/>
  <c r="Z1014" i="2" s="1"/>
  <c r="AH1013" i="2"/>
  <c r="AL1013" i="2" s="1"/>
  <c r="AN1013" i="2" s="1"/>
  <c r="S1013" i="2"/>
  <c r="Z1013" i="2" s="1"/>
  <c r="AH1012" i="2"/>
  <c r="AL1012" i="2" s="1"/>
  <c r="AN1012" i="2" s="1"/>
  <c r="S1012" i="2"/>
  <c r="Z1012" i="2" s="1"/>
  <c r="AH1011" i="2"/>
  <c r="AL1011" i="2" s="1"/>
  <c r="AE1011" i="2" s="1"/>
  <c r="S1011" i="2"/>
  <c r="Z1011" i="2" s="1"/>
  <c r="S1010" i="2"/>
  <c r="Z1010" i="2" s="1"/>
  <c r="AH1009" i="2"/>
  <c r="AL1009" i="2" s="1"/>
  <c r="AE1009" i="2" s="1"/>
  <c r="S1009" i="2"/>
  <c r="Z1009" i="2" s="1"/>
  <c r="AH1008" i="2"/>
  <c r="AL1008" i="2" s="1"/>
  <c r="S1008" i="2"/>
  <c r="Z1008" i="2" s="1"/>
  <c r="AH1007" i="2"/>
  <c r="AL1007" i="2" s="1"/>
  <c r="AN1007" i="2" s="1"/>
  <c r="S1007" i="2"/>
  <c r="Z1007" i="2" s="1"/>
  <c r="AH1006" i="2"/>
  <c r="AL1006" i="2" s="1"/>
  <c r="AN1006" i="2" s="1"/>
  <c r="S1006" i="2"/>
  <c r="Z1006" i="2" s="1"/>
  <c r="AH1005" i="2"/>
  <c r="AL1005" i="2" s="1"/>
  <c r="AE1005" i="2" s="1"/>
  <c r="S1005" i="2"/>
  <c r="Z1005" i="2" s="1"/>
  <c r="AH1004" i="2"/>
  <c r="AL1004" i="2" s="1"/>
  <c r="S1004" i="2"/>
  <c r="Z1004" i="2" s="1"/>
  <c r="AH1003" i="2"/>
  <c r="AL1003" i="2" s="1"/>
  <c r="AN1003" i="2" s="1"/>
  <c r="S1003" i="2"/>
  <c r="Z1003" i="2" s="1"/>
  <c r="AH1002" i="2"/>
  <c r="AL1002" i="2" s="1"/>
  <c r="S1002" i="2"/>
  <c r="Z1002" i="2" s="1"/>
  <c r="AL1001" i="2"/>
  <c r="AE1001" i="2" s="1"/>
  <c r="AH1001" i="2"/>
  <c r="S1001" i="2"/>
  <c r="Z1001" i="2" s="1"/>
  <c r="AH1000" i="2"/>
  <c r="AL1000" i="2" s="1"/>
  <c r="S1000" i="2"/>
  <c r="Z1000" i="2" s="1"/>
  <c r="AH999" i="2"/>
  <c r="AL999" i="2" s="1"/>
  <c r="AN999" i="2" s="1"/>
  <c r="S999" i="2"/>
  <c r="Z999" i="2" s="1"/>
  <c r="AL998" i="2"/>
  <c r="AN998" i="2" s="1"/>
  <c r="S998" i="2"/>
  <c r="Z998" i="2" s="1"/>
  <c r="AH997" i="2"/>
  <c r="AL997" i="2" s="1"/>
  <c r="S997" i="2"/>
  <c r="Z997" i="2" s="1"/>
  <c r="AH996" i="2"/>
  <c r="AL996" i="2" s="1"/>
  <c r="S996" i="2"/>
  <c r="Z996" i="2" s="1"/>
  <c r="AH995" i="2"/>
  <c r="AL995" i="2" s="1"/>
  <c r="S995" i="2"/>
  <c r="Z995" i="2" s="1"/>
  <c r="AH994" i="2"/>
  <c r="AL994" i="2" s="1"/>
  <c r="S994" i="2"/>
  <c r="Z994" i="2" s="1"/>
  <c r="AH993" i="2"/>
  <c r="AL993" i="2" s="1"/>
  <c r="S993" i="2"/>
  <c r="Z993" i="2" s="1"/>
  <c r="S992" i="2"/>
  <c r="Z992" i="2" s="1"/>
  <c r="AH991" i="2"/>
  <c r="AL991" i="2" s="1"/>
  <c r="S991" i="2"/>
  <c r="Z991" i="2" s="1"/>
  <c r="AP990" i="2"/>
  <c r="AL990" i="2"/>
  <c r="AN990" i="2" s="1"/>
  <c r="S990" i="2"/>
  <c r="Z990" i="2" s="1"/>
  <c r="AM989" i="2"/>
  <c r="AK989" i="2"/>
  <c r="S989" i="2"/>
  <c r="AO989" i="2" s="1"/>
  <c r="B989" i="2"/>
  <c r="AM988" i="2"/>
  <c r="AK988" i="2"/>
  <c r="S988" i="2"/>
  <c r="AO988" i="2" s="1"/>
  <c r="B988" i="2"/>
  <c r="AM987" i="2"/>
  <c r="AK987" i="2"/>
  <c r="S987" i="2"/>
  <c r="AO987" i="2" s="1"/>
  <c r="B987" i="2"/>
  <c r="AM986" i="2"/>
  <c r="AK986" i="2"/>
  <c r="S986" i="2"/>
  <c r="AO986" i="2" s="1"/>
  <c r="B986" i="2"/>
  <c r="AM985" i="2"/>
  <c r="AK985" i="2"/>
  <c r="S985" i="2"/>
  <c r="AE985" i="2" s="1"/>
  <c r="B985" i="2"/>
  <c r="AM984" i="2"/>
  <c r="AK984" i="2"/>
  <c r="S984" i="2"/>
  <c r="AO984" i="2" s="1"/>
  <c r="B984" i="2"/>
  <c r="AM983" i="2"/>
  <c r="AK983" i="2"/>
  <c r="S983" i="2"/>
  <c r="AO983" i="2" s="1"/>
  <c r="B983" i="2"/>
  <c r="AM982" i="2"/>
  <c r="AK982" i="2"/>
  <c r="S982" i="2"/>
  <c r="AO982" i="2" s="1"/>
  <c r="B982" i="2"/>
  <c r="AM981" i="2"/>
  <c r="AK981" i="2"/>
  <c r="S981" i="2"/>
  <c r="AO981" i="2" s="1"/>
  <c r="B981" i="2"/>
  <c r="AM980" i="2"/>
  <c r="AK980" i="2"/>
  <c r="S980" i="2"/>
  <c r="AE980" i="2" s="1"/>
  <c r="B980" i="2"/>
  <c r="AM979" i="2"/>
  <c r="AK979" i="2"/>
  <c r="S979" i="2"/>
  <c r="AO979" i="2" s="1"/>
  <c r="B979" i="2"/>
  <c r="AM978" i="2"/>
  <c r="AK978" i="2"/>
  <c r="S978" i="2"/>
  <c r="AO978" i="2" s="1"/>
  <c r="B978" i="2"/>
  <c r="AM977" i="2"/>
  <c r="AK977" i="2"/>
  <c r="S977" i="2"/>
  <c r="AE977" i="2" s="1"/>
  <c r="B977" i="2"/>
  <c r="AM976" i="2"/>
  <c r="AK976" i="2"/>
  <c r="S976" i="2"/>
  <c r="AE976" i="2" s="1"/>
  <c r="B976" i="2"/>
  <c r="AM975" i="2"/>
  <c r="AK975" i="2"/>
  <c r="S975" i="2"/>
  <c r="AO975" i="2" s="1"/>
  <c r="B975" i="2"/>
  <c r="AM974" i="2"/>
  <c r="AK974" i="2"/>
  <c r="S974" i="2"/>
  <c r="AE974" i="2" s="1"/>
  <c r="B974" i="2"/>
  <c r="AM973" i="2"/>
  <c r="AK973" i="2"/>
  <c r="S973" i="2"/>
  <c r="AE973" i="2" s="1"/>
  <c r="B973" i="2"/>
  <c r="AM972" i="2"/>
  <c r="AK972" i="2"/>
  <c r="S972" i="2"/>
  <c r="AE972" i="2" s="1"/>
  <c r="B972" i="2"/>
  <c r="AM971" i="2"/>
  <c r="AK971" i="2"/>
  <c r="S971" i="2"/>
  <c r="AE971" i="2" s="1"/>
  <c r="B971" i="2"/>
  <c r="AM970" i="2"/>
  <c r="AK970" i="2"/>
  <c r="S970" i="2"/>
  <c r="AO970" i="2" s="1"/>
  <c r="B970" i="2"/>
  <c r="AM969" i="2"/>
  <c r="AK969" i="2"/>
  <c r="S969" i="2"/>
  <c r="AE969" i="2" s="1"/>
  <c r="B969" i="2"/>
  <c r="AM968" i="2"/>
  <c r="AK968" i="2"/>
  <c r="S968" i="2"/>
  <c r="AE968" i="2" s="1"/>
  <c r="B968" i="2"/>
  <c r="AM967" i="2"/>
  <c r="AK967" i="2"/>
  <c r="S967" i="2"/>
  <c r="AO967" i="2" s="1"/>
  <c r="B967" i="2"/>
  <c r="AM966" i="2"/>
  <c r="AK966" i="2"/>
  <c r="S966" i="2"/>
  <c r="AE966" i="2" s="1"/>
  <c r="B966" i="2"/>
  <c r="AM965" i="2"/>
  <c r="AK965" i="2"/>
  <c r="S965" i="2"/>
  <c r="AE965" i="2" s="1"/>
  <c r="B965" i="2"/>
  <c r="AM964" i="2"/>
  <c r="AK964" i="2"/>
  <c r="S964" i="2"/>
  <c r="AE964" i="2" s="1"/>
  <c r="B964" i="2"/>
  <c r="AM963" i="2"/>
  <c r="AK963" i="2"/>
  <c r="S963" i="2"/>
  <c r="AE963" i="2" s="1"/>
  <c r="B963" i="2"/>
  <c r="AM962" i="2"/>
  <c r="AK962" i="2"/>
  <c r="S962" i="2"/>
  <c r="AO962" i="2" s="1"/>
  <c r="B962" i="2"/>
  <c r="AM961" i="2"/>
  <c r="AK961" i="2"/>
  <c r="S961" i="2"/>
  <c r="AE961" i="2" s="1"/>
  <c r="B961" i="2"/>
  <c r="AM960" i="2"/>
  <c r="AK960" i="2"/>
  <c r="S960" i="2"/>
  <c r="AE960" i="2" s="1"/>
  <c r="B960" i="2"/>
  <c r="AM959" i="2"/>
  <c r="AK959" i="2"/>
  <c r="S959" i="2"/>
  <c r="AO959" i="2" s="1"/>
  <c r="B959" i="2"/>
  <c r="AM958" i="2"/>
  <c r="AK958" i="2"/>
  <c r="S958" i="2"/>
  <c r="AE958" i="2" s="1"/>
  <c r="B958" i="2"/>
  <c r="AM957" i="2"/>
  <c r="AK957" i="2"/>
  <c r="S957" i="2"/>
  <c r="AE957" i="2" s="1"/>
  <c r="B957" i="2"/>
  <c r="AM956" i="2"/>
  <c r="AK956" i="2"/>
  <c r="S956" i="2"/>
  <c r="AE956" i="2" s="1"/>
  <c r="B956" i="2"/>
  <c r="AM955" i="2"/>
  <c r="AK955" i="2"/>
  <c r="S955" i="2"/>
  <c r="AO955" i="2" s="1"/>
  <c r="B955" i="2"/>
  <c r="AM954" i="2"/>
  <c r="AK954" i="2"/>
  <c r="S954" i="2"/>
  <c r="AO954" i="2" s="1"/>
  <c r="B954" i="2"/>
  <c r="AM953" i="2"/>
  <c r="AK953" i="2"/>
  <c r="S953" i="2"/>
  <c r="AE953" i="2" s="1"/>
  <c r="B953" i="2"/>
  <c r="AM952" i="2"/>
  <c r="AK952" i="2"/>
  <c r="S952" i="2"/>
  <c r="AE952" i="2" s="1"/>
  <c r="B952" i="2"/>
  <c r="AM951" i="2"/>
  <c r="AK951" i="2"/>
  <c r="S951" i="2"/>
  <c r="AO951" i="2" s="1"/>
  <c r="B951" i="2"/>
  <c r="AM950" i="2"/>
  <c r="AK950" i="2"/>
  <c r="S950" i="2"/>
  <c r="AE950" i="2" s="1"/>
  <c r="B950" i="2"/>
  <c r="AM949" i="2"/>
  <c r="AK949" i="2"/>
  <c r="S949" i="2"/>
  <c r="AE949" i="2" s="1"/>
  <c r="B949" i="2"/>
  <c r="AM948" i="2"/>
  <c r="AK948" i="2"/>
  <c r="S948" i="2"/>
  <c r="AE948" i="2" s="1"/>
  <c r="B948" i="2"/>
  <c r="AM947" i="2"/>
  <c r="AK947" i="2"/>
  <c r="S947" i="2"/>
  <c r="AO947" i="2" s="1"/>
  <c r="B947" i="2"/>
  <c r="AM946" i="2"/>
  <c r="AD946" i="2"/>
  <c r="AK946" i="2" s="1"/>
  <c r="Z946" i="2"/>
  <c r="S946" i="2"/>
  <c r="AO946" i="2" s="1"/>
  <c r="B946" i="2"/>
  <c r="AM945" i="2"/>
  <c r="AK945" i="2"/>
  <c r="S945" i="2"/>
  <c r="AO945" i="2" s="1"/>
  <c r="B945" i="2"/>
  <c r="AM944" i="2"/>
  <c r="AK944" i="2"/>
  <c r="S944" i="2"/>
  <c r="AE944" i="2" s="1"/>
  <c r="B944" i="2"/>
  <c r="AM943" i="2"/>
  <c r="AK943" i="2"/>
  <c r="S943" i="2"/>
  <c r="AE943" i="2" s="1"/>
  <c r="B943" i="2"/>
  <c r="AM942" i="2"/>
  <c r="AK942" i="2"/>
  <c r="AE942" i="2"/>
  <c r="S942" i="2"/>
  <c r="AO942" i="2" s="1"/>
  <c r="B942" i="2"/>
  <c r="AM941" i="2"/>
  <c r="AK941" i="2"/>
  <c r="S941" i="2"/>
  <c r="AO941" i="2" s="1"/>
  <c r="B941" i="2"/>
  <c r="AM940" i="2"/>
  <c r="AK940" i="2"/>
  <c r="S940" i="2"/>
  <c r="AE940" i="2" s="1"/>
  <c r="B940" i="2"/>
  <c r="AM939" i="2"/>
  <c r="AK939" i="2"/>
  <c r="S939" i="2"/>
  <c r="AE939" i="2" s="1"/>
  <c r="B939" i="2"/>
  <c r="AM938" i="2"/>
  <c r="AK938" i="2"/>
  <c r="S938" i="2"/>
  <c r="AO938" i="2" s="1"/>
  <c r="B938" i="2"/>
  <c r="AM937" i="2"/>
  <c r="AK937" i="2"/>
  <c r="S937" i="2"/>
  <c r="AO937" i="2" s="1"/>
  <c r="B937" i="2"/>
  <c r="AM936" i="2"/>
  <c r="AK936" i="2"/>
  <c r="S936" i="2"/>
  <c r="AE936" i="2" s="1"/>
  <c r="B936" i="2"/>
  <c r="AM935" i="2"/>
  <c r="AK935" i="2"/>
  <c r="S935" i="2"/>
  <c r="AE935" i="2" s="1"/>
  <c r="B935" i="2"/>
  <c r="AM934" i="2"/>
  <c r="AK934" i="2"/>
  <c r="Z934" i="2"/>
  <c r="S934" i="2"/>
  <c r="AO934" i="2" s="1"/>
  <c r="B934" i="2"/>
  <c r="AM933" i="2"/>
  <c r="AK933" i="2"/>
  <c r="S933" i="2"/>
  <c r="AO933" i="2" s="1"/>
  <c r="B933" i="2"/>
  <c r="AM932" i="2"/>
  <c r="AK932" i="2"/>
  <c r="S932" i="2"/>
  <c r="AO932" i="2" s="1"/>
  <c r="B932" i="2"/>
  <c r="AM931" i="2"/>
  <c r="AK931" i="2"/>
  <c r="S931" i="2"/>
  <c r="AO931" i="2" s="1"/>
  <c r="B931" i="2"/>
  <c r="AM930" i="2"/>
  <c r="AK930" i="2"/>
  <c r="S930" i="2"/>
  <c r="AO930" i="2" s="1"/>
  <c r="B930" i="2"/>
  <c r="AM929" i="2"/>
  <c r="AK929" i="2"/>
  <c r="S929" i="2"/>
  <c r="AO929" i="2" s="1"/>
  <c r="B929" i="2"/>
  <c r="AM928" i="2"/>
  <c r="AK928" i="2"/>
  <c r="S928" i="2"/>
  <c r="AO928" i="2" s="1"/>
  <c r="B928" i="2"/>
  <c r="AM927" i="2"/>
  <c r="AK927" i="2"/>
  <c r="S927" i="2"/>
  <c r="AO927" i="2" s="1"/>
  <c r="B927" i="2"/>
  <c r="AM926" i="2"/>
  <c r="AK926" i="2"/>
  <c r="S926" i="2"/>
  <c r="AO926" i="2" s="1"/>
  <c r="B926" i="2"/>
  <c r="AM925" i="2"/>
  <c r="AK925" i="2"/>
  <c r="S925" i="2"/>
  <c r="AO925" i="2" s="1"/>
  <c r="B925" i="2"/>
  <c r="AM924" i="2"/>
  <c r="AK924" i="2"/>
  <c r="S924" i="2"/>
  <c r="AO924" i="2" s="1"/>
  <c r="B924" i="2"/>
  <c r="AM923" i="2"/>
  <c r="AK923" i="2"/>
  <c r="S923" i="2"/>
  <c r="AO923" i="2" s="1"/>
  <c r="B923" i="2"/>
  <c r="AM922" i="2"/>
  <c r="AK922" i="2"/>
  <c r="S922" i="2"/>
  <c r="AO922" i="2" s="1"/>
  <c r="B922" i="2"/>
  <c r="AM921" i="2"/>
  <c r="AK921" i="2"/>
  <c r="S921" i="2"/>
  <c r="AO921" i="2" s="1"/>
  <c r="B921" i="2"/>
  <c r="AM920" i="2"/>
  <c r="AK920" i="2"/>
  <c r="S920" i="2"/>
  <c r="AO920" i="2" s="1"/>
  <c r="B920" i="2"/>
  <c r="AM919" i="2"/>
  <c r="AK919" i="2"/>
  <c r="S919" i="2"/>
  <c r="AE919" i="2" s="1"/>
  <c r="B919" i="2"/>
  <c r="AM918" i="2"/>
  <c r="AK918" i="2"/>
  <c r="S918" i="2"/>
  <c r="AO918" i="2" s="1"/>
  <c r="B918" i="2"/>
  <c r="AM917" i="2"/>
  <c r="AK917" i="2"/>
  <c r="S917" i="2"/>
  <c r="AO917" i="2" s="1"/>
  <c r="B917" i="2"/>
  <c r="AM916" i="2"/>
  <c r="AK916" i="2"/>
  <c r="S916" i="2"/>
  <c r="AE916" i="2" s="1"/>
  <c r="B916" i="2"/>
  <c r="AM915" i="2"/>
  <c r="AK915" i="2"/>
  <c r="S915" i="2"/>
  <c r="AO915" i="2" s="1"/>
  <c r="B915" i="2"/>
  <c r="AM914" i="2"/>
  <c r="AK914" i="2"/>
  <c r="S914" i="2"/>
  <c r="AO914" i="2" s="1"/>
  <c r="B914" i="2"/>
  <c r="AM913" i="2"/>
  <c r="AK913" i="2"/>
  <c r="S913" i="2"/>
  <c r="AO913" i="2" s="1"/>
  <c r="B913" i="2"/>
  <c r="AM912" i="2"/>
  <c r="AK912" i="2"/>
  <c r="S912" i="2"/>
  <c r="AO912" i="2" s="1"/>
  <c r="B912" i="2"/>
  <c r="AM911" i="2"/>
  <c r="AK911" i="2"/>
  <c r="S911" i="2"/>
  <c r="AE911" i="2" s="1"/>
  <c r="B911" i="2"/>
  <c r="AO910" i="2"/>
  <c r="AM910" i="2"/>
  <c r="AK910" i="2"/>
  <c r="AE910" i="2"/>
  <c r="B910" i="2"/>
  <c r="AO909" i="2"/>
  <c r="AM909" i="2"/>
  <c r="AK909" i="2"/>
  <c r="AE909" i="2"/>
  <c r="B909" i="2"/>
  <c r="AO908" i="2"/>
  <c r="AM908" i="2"/>
  <c r="AK908" i="2"/>
  <c r="B908" i="2"/>
  <c r="AO907" i="2"/>
  <c r="AM907" i="2"/>
  <c r="AK907" i="2"/>
  <c r="AE907" i="2"/>
  <c r="B907" i="2"/>
  <c r="AO906" i="2"/>
  <c r="AM906" i="2"/>
  <c r="AK906" i="2"/>
  <c r="AE906" i="2"/>
  <c r="B906" i="2"/>
  <c r="AO905" i="2"/>
  <c r="AM905" i="2"/>
  <c r="AK905" i="2"/>
  <c r="AE905" i="2"/>
  <c r="B905" i="2"/>
  <c r="AO904" i="2"/>
  <c r="AM904" i="2"/>
  <c r="AK904" i="2"/>
  <c r="AE904" i="2"/>
  <c r="B904" i="2"/>
  <c r="AO903" i="2"/>
  <c r="AM903" i="2"/>
  <c r="AK903" i="2"/>
  <c r="AE903" i="2"/>
  <c r="B903" i="2"/>
  <c r="AO902" i="2"/>
  <c r="AM902" i="2"/>
  <c r="AK902" i="2"/>
  <c r="AE902" i="2"/>
  <c r="B902" i="2"/>
  <c r="AM901" i="2"/>
  <c r="AD901" i="2"/>
  <c r="AK901" i="2" s="1"/>
  <c r="Z901" i="2"/>
  <c r="S901" i="2"/>
  <c r="AO901" i="2" s="1"/>
  <c r="B901" i="2"/>
  <c r="AM900" i="2"/>
  <c r="AD900" i="2"/>
  <c r="AK900" i="2" s="1"/>
  <c r="Z900" i="2"/>
  <c r="S900" i="2"/>
  <c r="AO900" i="2" s="1"/>
  <c r="B900" i="2"/>
  <c r="AO899" i="2"/>
  <c r="AM899" i="2"/>
  <c r="AK899" i="2"/>
  <c r="AE899" i="2"/>
  <c r="B899" i="2"/>
  <c r="AO898" i="2"/>
  <c r="AM898" i="2"/>
  <c r="AK898" i="2"/>
  <c r="AE898" i="2"/>
  <c r="B898" i="2"/>
  <c r="AO897" i="2"/>
  <c r="AM897" i="2"/>
  <c r="AK897" i="2"/>
  <c r="AE897" i="2"/>
  <c r="B897" i="2"/>
  <c r="AO896" i="2"/>
  <c r="AM896" i="2"/>
  <c r="AK896" i="2"/>
  <c r="AE896" i="2"/>
  <c r="B896" i="2"/>
  <c r="AO895" i="2"/>
  <c r="AM895" i="2"/>
  <c r="AK895" i="2"/>
  <c r="AE895" i="2"/>
  <c r="B895" i="2"/>
  <c r="AO894" i="2"/>
  <c r="AM894" i="2"/>
  <c r="AK894" i="2"/>
  <c r="AE894" i="2"/>
  <c r="B894" i="2"/>
  <c r="AO893" i="2"/>
  <c r="AM893" i="2"/>
  <c r="AK893" i="2"/>
  <c r="AE893" i="2"/>
  <c r="B893" i="2"/>
  <c r="AO892" i="2"/>
  <c r="AM892" i="2"/>
  <c r="AK892" i="2"/>
  <c r="AE892" i="2"/>
  <c r="B892" i="2"/>
  <c r="AO891" i="2"/>
  <c r="AM891" i="2"/>
  <c r="AK891" i="2"/>
  <c r="AE891" i="2"/>
  <c r="B891" i="2"/>
  <c r="AO890" i="2"/>
  <c r="AM890" i="2"/>
  <c r="AK890" i="2"/>
  <c r="AE890" i="2"/>
  <c r="B890" i="2"/>
  <c r="AO889" i="2"/>
  <c r="AM889" i="2"/>
  <c r="AK889" i="2"/>
  <c r="AE889" i="2"/>
  <c r="B889" i="2"/>
  <c r="AO888" i="2"/>
  <c r="AM888" i="2"/>
  <c r="AK888" i="2"/>
  <c r="AE888" i="2"/>
  <c r="B888" i="2"/>
  <c r="AO887" i="2"/>
  <c r="AM887" i="2"/>
  <c r="AK887" i="2"/>
  <c r="AE887" i="2"/>
  <c r="B887" i="2"/>
  <c r="AO886" i="2"/>
  <c r="AM886" i="2"/>
  <c r="AK886" i="2"/>
  <c r="AE886" i="2"/>
  <c r="B886" i="2"/>
  <c r="AO885" i="2"/>
  <c r="AM885" i="2"/>
  <c r="AK885" i="2"/>
  <c r="AE885" i="2"/>
  <c r="B885" i="2"/>
  <c r="AO884" i="2"/>
  <c r="AM884" i="2"/>
  <c r="AK884" i="2"/>
  <c r="AE884" i="2"/>
  <c r="B884" i="2"/>
  <c r="AO883" i="2"/>
  <c r="AM883" i="2"/>
  <c r="AK883" i="2"/>
  <c r="AE883" i="2"/>
  <c r="B883" i="2"/>
  <c r="AO882" i="2"/>
  <c r="AM882" i="2"/>
  <c r="AK882" i="2"/>
  <c r="AE882" i="2"/>
  <c r="B882" i="2"/>
  <c r="AO881" i="2"/>
  <c r="AM881" i="2"/>
  <c r="AK881" i="2"/>
  <c r="AE881" i="2"/>
  <c r="B881" i="2"/>
  <c r="AO880" i="2"/>
  <c r="AM880" i="2"/>
  <c r="AK880" i="2"/>
  <c r="AE880" i="2"/>
  <c r="B880" i="2"/>
  <c r="AO879" i="2"/>
  <c r="AM879" i="2"/>
  <c r="AK879" i="2"/>
  <c r="AE879" i="2"/>
  <c r="B879" i="2"/>
  <c r="AO878" i="2"/>
  <c r="AM878" i="2"/>
  <c r="AK878" i="2"/>
  <c r="AE878" i="2"/>
  <c r="B878" i="2"/>
  <c r="AO877" i="2"/>
  <c r="AM877" i="2"/>
  <c r="AK877" i="2"/>
  <c r="AE877" i="2"/>
  <c r="B877" i="2"/>
  <c r="AO876" i="2"/>
  <c r="AM876" i="2"/>
  <c r="AK876" i="2"/>
  <c r="AE876" i="2"/>
  <c r="B876" i="2"/>
  <c r="AO875" i="2"/>
  <c r="AM875" i="2"/>
  <c r="AK875" i="2"/>
  <c r="AE875" i="2"/>
  <c r="B875" i="2"/>
  <c r="AO874" i="2"/>
  <c r="AM874" i="2"/>
  <c r="AK874" i="2"/>
  <c r="AE874" i="2"/>
  <c r="B874" i="2"/>
  <c r="AO873" i="2"/>
  <c r="AM873" i="2"/>
  <c r="AK873" i="2"/>
  <c r="AE873" i="2"/>
  <c r="B873" i="2"/>
  <c r="AO872" i="2"/>
  <c r="AM872" i="2"/>
  <c r="AK872" i="2"/>
  <c r="AE872" i="2"/>
  <c r="B872" i="2"/>
  <c r="AO871" i="2"/>
  <c r="AM871" i="2"/>
  <c r="AK871" i="2"/>
  <c r="AE871" i="2"/>
  <c r="B871" i="2"/>
  <c r="AO870" i="2"/>
  <c r="AM870" i="2"/>
  <c r="AK870" i="2"/>
  <c r="AE870" i="2"/>
  <c r="B870" i="2"/>
  <c r="AT869" i="2"/>
  <c r="AO869" i="2"/>
  <c r="AM869" i="2"/>
  <c r="AK869" i="2"/>
  <c r="AE869" i="2"/>
  <c r="B869" i="2"/>
  <c r="AO868" i="2"/>
  <c r="AM868" i="2"/>
  <c r="AK868" i="2"/>
  <c r="AE868" i="2"/>
  <c r="B868" i="2"/>
  <c r="AO867" i="2"/>
  <c r="AM867" i="2"/>
  <c r="AK867" i="2"/>
  <c r="AE867" i="2"/>
  <c r="B867" i="2"/>
  <c r="AO866" i="2"/>
  <c r="AM866" i="2"/>
  <c r="AK866" i="2"/>
  <c r="AE866" i="2"/>
  <c r="B866" i="2"/>
  <c r="AO865" i="2"/>
  <c r="AM865" i="2"/>
  <c r="AK865" i="2"/>
  <c r="AE865" i="2"/>
  <c r="B865" i="2"/>
  <c r="AO864" i="2"/>
  <c r="AM864" i="2"/>
  <c r="AK864" i="2"/>
  <c r="AE864" i="2"/>
  <c r="B864" i="2"/>
  <c r="AO863" i="2"/>
  <c r="AM863" i="2"/>
  <c r="AK863" i="2"/>
  <c r="AE863" i="2"/>
  <c r="B863" i="2"/>
  <c r="AO862" i="2"/>
  <c r="AM862" i="2"/>
  <c r="AK862" i="2"/>
  <c r="AE862" i="2"/>
  <c r="B862" i="2"/>
  <c r="AO861" i="2"/>
  <c r="AM861" i="2"/>
  <c r="AK861" i="2"/>
  <c r="AE861" i="2"/>
  <c r="B861" i="2"/>
  <c r="AO860" i="2"/>
  <c r="AM860" i="2"/>
  <c r="AK860" i="2"/>
  <c r="AE860" i="2"/>
  <c r="B860" i="2"/>
  <c r="AT859" i="2"/>
  <c r="AO859" i="2"/>
  <c r="AM859" i="2"/>
  <c r="AK859" i="2"/>
  <c r="B859" i="2"/>
  <c r="AO858" i="2"/>
  <c r="AM858" i="2"/>
  <c r="AK858" i="2"/>
  <c r="B858" i="2"/>
  <c r="AO857" i="2"/>
  <c r="AM857" i="2"/>
  <c r="AK857" i="2"/>
  <c r="AE857" i="2"/>
  <c r="B857" i="2"/>
  <c r="AO856" i="2"/>
  <c r="AM856" i="2"/>
  <c r="AK856" i="2"/>
  <c r="AE856" i="2"/>
  <c r="B856" i="2"/>
  <c r="AM855" i="2"/>
  <c r="AK855" i="2"/>
  <c r="Z855" i="2"/>
  <c r="S855" i="2"/>
  <c r="AO855" i="2" s="1"/>
  <c r="B855" i="2"/>
  <c r="AM854" i="2"/>
  <c r="AK854" i="2"/>
  <c r="S854" i="2"/>
  <c r="AO854" i="2" s="1"/>
  <c r="B854" i="2"/>
  <c r="AO853" i="2"/>
  <c r="AM853" i="2"/>
  <c r="AK853" i="2"/>
  <c r="AE853" i="2"/>
  <c r="B853" i="2"/>
  <c r="AO852" i="2"/>
  <c r="AM852" i="2"/>
  <c r="AK852" i="2"/>
  <c r="AE852" i="2"/>
  <c r="B852" i="2"/>
  <c r="AM851" i="2"/>
  <c r="AK851" i="2"/>
  <c r="S851" i="2"/>
  <c r="AO851" i="2" s="1"/>
  <c r="B851" i="2"/>
  <c r="AM850" i="2"/>
  <c r="AK850" i="2"/>
  <c r="S850" i="2"/>
  <c r="AO850" i="2" s="1"/>
  <c r="B850" i="2"/>
  <c r="AM849" i="2"/>
  <c r="AK849" i="2"/>
  <c r="S849" i="2"/>
  <c r="AE849" i="2" s="1"/>
  <c r="B849" i="2"/>
  <c r="AM848" i="2"/>
  <c r="AK848" i="2"/>
  <c r="S848" i="2"/>
  <c r="AE848" i="2" s="1"/>
  <c r="B848" i="2"/>
  <c r="AM847" i="2"/>
  <c r="AK847" i="2"/>
  <c r="S847" i="2"/>
  <c r="AO847" i="2" s="1"/>
  <c r="B847" i="2"/>
  <c r="AM846" i="2"/>
  <c r="AK846" i="2"/>
  <c r="S846" i="2"/>
  <c r="AO846" i="2" s="1"/>
  <c r="B846" i="2"/>
  <c r="AM845" i="2"/>
  <c r="AK845" i="2"/>
  <c r="S845" i="2"/>
  <c r="AE845" i="2" s="1"/>
  <c r="B845" i="2"/>
  <c r="AM844" i="2"/>
  <c r="AK844" i="2"/>
  <c r="S844" i="2"/>
  <c r="AE844" i="2" s="1"/>
  <c r="B844" i="2"/>
  <c r="AO843" i="2"/>
  <c r="AM843" i="2"/>
  <c r="AK843" i="2"/>
  <c r="AE843" i="2"/>
  <c r="B843" i="2"/>
  <c r="AO842" i="2"/>
  <c r="AM842" i="2"/>
  <c r="AK842" i="2"/>
  <c r="AE842" i="2"/>
  <c r="B842" i="2"/>
  <c r="AO841" i="2"/>
  <c r="AM841" i="2"/>
  <c r="AK841" i="2"/>
  <c r="AE841" i="2"/>
  <c r="B841" i="2"/>
  <c r="AM840" i="2"/>
  <c r="AK840" i="2"/>
  <c r="S840" i="2"/>
  <c r="AO840" i="2" s="1"/>
  <c r="B840" i="2"/>
  <c r="AM839" i="2"/>
  <c r="AK839" i="2"/>
  <c r="S839" i="2"/>
  <c r="AE839" i="2" s="1"/>
  <c r="B839" i="2"/>
  <c r="AM838" i="2"/>
  <c r="AK838" i="2"/>
  <c r="S838" i="2"/>
  <c r="AO838" i="2" s="1"/>
  <c r="B838" i="2"/>
  <c r="AO837" i="2"/>
  <c r="AM837" i="2"/>
  <c r="AK837" i="2"/>
  <c r="AE837" i="2"/>
  <c r="B837" i="2"/>
  <c r="AM836" i="2"/>
  <c r="AK836" i="2"/>
  <c r="S836" i="2"/>
  <c r="AO836" i="2" s="1"/>
  <c r="B836" i="2"/>
  <c r="AM835" i="2"/>
  <c r="AK835" i="2"/>
  <c r="S835" i="2"/>
  <c r="AE835" i="2" s="1"/>
  <c r="B835" i="2"/>
  <c r="AM834" i="2"/>
  <c r="AK834" i="2"/>
  <c r="S834" i="2"/>
  <c r="AE834" i="2" s="1"/>
  <c r="B834" i="2"/>
  <c r="AM833" i="2"/>
  <c r="AK833" i="2"/>
  <c r="S833" i="2"/>
  <c r="AO833" i="2" s="1"/>
  <c r="Q833" i="2"/>
  <c r="B833" i="2"/>
  <c r="AM832" i="2"/>
  <c r="AK832" i="2"/>
  <c r="S832" i="2"/>
  <c r="AO832" i="2" s="1"/>
  <c r="B832" i="2"/>
  <c r="AM831" i="2"/>
  <c r="AK831" i="2"/>
  <c r="S831" i="2"/>
  <c r="AE831" i="2" s="1"/>
  <c r="B831" i="2"/>
  <c r="AM830" i="2"/>
  <c r="AK830" i="2"/>
  <c r="S830" i="2"/>
  <c r="AE830" i="2" s="1"/>
  <c r="B830" i="2"/>
  <c r="AM829" i="2"/>
  <c r="AK829" i="2"/>
  <c r="S829" i="2"/>
  <c r="AO829" i="2" s="1"/>
  <c r="B829" i="2"/>
  <c r="AO828" i="2"/>
  <c r="AM828" i="2"/>
  <c r="AK828" i="2"/>
  <c r="AE828" i="2"/>
  <c r="B828" i="2"/>
  <c r="AO827" i="2"/>
  <c r="AM827" i="2"/>
  <c r="AK827" i="2"/>
  <c r="AE827" i="2"/>
  <c r="B827" i="2"/>
  <c r="AO826" i="2"/>
  <c r="AM826" i="2"/>
  <c r="AK826" i="2"/>
  <c r="AE826" i="2"/>
  <c r="B826" i="2"/>
  <c r="AO825" i="2"/>
  <c r="AM825" i="2"/>
  <c r="AK825" i="2"/>
  <c r="AE825" i="2"/>
  <c r="B825" i="2"/>
  <c r="AM824" i="2"/>
  <c r="AK824" i="2"/>
  <c r="S824" i="2"/>
  <c r="AO824" i="2" s="1"/>
  <c r="B824" i="2"/>
  <c r="AM823" i="2"/>
  <c r="AK823" i="2"/>
  <c r="S823" i="2"/>
  <c r="AO823" i="2" s="1"/>
  <c r="B823" i="2"/>
  <c r="AM822" i="2"/>
  <c r="AK822" i="2"/>
  <c r="S822" i="2"/>
  <c r="AO822" i="2" s="1"/>
  <c r="B822" i="2"/>
  <c r="AO821" i="2"/>
  <c r="AM821" i="2"/>
  <c r="AK821" i="2"/>
  <c r="AE821" i="2"/>
  <c r="B821" i="2"/>
  <c r="AO820" i="2"/>
  <c r="AM820" i="2"/>
  <c r="AK820" i="2"/>
  <c r="AE820" i="2"/>
  <c r="B820" i="2"/>
  <c r="AO819" i="2"/>
  <c r="AM819" i="2"/>
  <c r="AK819" i="2"/>
  <c r="AE819" i="2"/>
  <c r="B819" i="2"/>
  <c r="AT818" i="2"/>
  <c r="AO818" i="2"/>
  <c r="AM818" i="2"/>
  <c r="AK818" i="2"/>
  <c r="AE818" i="2"/>
  <c r="B818" i="2"/>
  <c r="AT817" i="2"/>
  <c r="AO817" i="2"/>
  <c r="AM817" i="2"/>
  <c r="AK817" i="2"/>
  <c r="AE817" i="2"/>
  <c r="B817" i="2"/>
  <c r="AO816" i="2"/>
  <c r="AM816" i="2"/>
  <c r="AK816" i="2"/>
  <c r="AE816" i="2"/>
  <c r="B816" i="2"/>
  <c r="AO815" i="2"/>
  <c r="AM815" i="2"/>
  <c r="AK815" i="2"/>
  <c r="AE815" i="2"/>
  <c r="B815" i="2"/>
  <c r="AO814" i="2"/>
  <c r="AM814" i="2"/>
  <c r="AK814" i="2"/>
  <c r="AE814" i="2"/>
  <c r="B814" i="2"/>
  <c r="AO813" i="2"/>
  <c r="AM813" i="2"/>
  <c r="AK813" i="2"/>
  <c r="AE813" i="2"/>
  <c r="B813" i="2"/>
  <c r="AO812" i="2"/>
  <c r="AM812" i="2"/>
  <c r="AK812" i="2"/>
  <c r="AE812" i="2"/>
  <c r="B812" i="2"/>
  <c r="AO811" i="2"/>
  <c r="AM811" i="2"/>
  <c r="AK811" i="2"/>
  <c r="AE811" i="2"/>
  <c r="B811" i="2"/>
  <c r="AO810" i="2"/>
  <c r="AM810" i="2"/>
  <c r="AK810" i="2"/>
  <c r="AE810" i="2"/>
  <c r="B810" i="2"/>
  <c r="AO809" i="2"/>
  <c r="AM809" i="2"/>
  <c r="AK809" i="2"/>
  <c r="AE809" i="2"/>
  <c r="B809" i="2"/>
  <c r="AO808" i="2"/>
  <c r="AM808" i="2"/>
  <c r="AK808" i="2"/>
  <c r="AE808" i="2"/>
  <c r="B808" i="2"/>
  <c r="AO807" i="2"/>
  <c r="AM807" i="2"/>
  <c r="AK807" i="2"/>
  <c r="AE807" i="2"/>
  <c r="B807" i="2"/>
  <c r="AO806" i="2"/>
  <c r="AM806" i="2"/>
  <c r="AK806" i="2"/>
  <c r="AE806" i="2"/>
  <c r="B806" i="2"/>
  <c r="AO805" i="2"/>
  <c r="AM805" i="2"/>
  <c r="AK805" i="2"/>
  <c r="AE805" i="2"/>
  <c r="B805" i="2"/>
  <c r="AO804" i="2"/>
  <c r="AM804" i="2"/>
  <c r="AK804" i="2"/>
  <c r="AE804" i="2"/>
  <c r="B804" i="2"/>
  <c r="AO803" i="2"/>
  <c r="AM803" i="2"/>
  <c r="AK803" i="2"/>
  <c r="AE803" i="2"/>
  <c r="B803" i="2"/>
  <c r="AO802" i="2"/>
  <c r="AM802" i="2"/>
  <c r="AK802" i="2"/>
  <c r="AE802" i="2"/>
  <c r="B802" i="2"/>
  <c r="AO801" i="2"/>
  <c r="AM801" i="2"/>
  <c r="AK801" i="2"/>
  <c r="AE801" i="2"/>
  <c r="B801" i="2"/>
  <c r="AO800" i="2"/>
  <c r="AM800" i="2"/>
  <c r="AK800" i="2"/>
  <c r="AE800" i="2"/>
  <c r="B800" i="2"/>
  <c r="AO799" i="2"/>
  <c r="AM799" i="2"/>
  <c r="AK799" i="2"/>
  <c r="AE799" i="2"/>
  <c r="B799" i="2"/>
  <c r="AO798" i="2"/>
  <c r="AM798" i="2"/>
  <c r="AK798" i="2"/>
  <c r="AE798" i="2"/>
  <c r="B798" i="2"/>
  <c r="AO797" i="2"/>
  <c r="AM797" i="2"/>
  <c r="AK797" i="2"/>
  <c r="AE797" i="2"/>
  <c r="B797" i="2"/>
  <c r="AO796" i="2"/>
  <c r="AM796" i="2"/>
  <c r="AK796" i="2"/>
  <c r="AE796" i="2"/>
  <c r="B796" i="2"/>
  <c r="AO795" i="2"/>
  <c r="AM795" i="2"/>
  <c r="AK795" i="2"/>
  <c r="AE795" i="2"/>
  <c r="B795" i="2"/>
  <c r="AO794" i="2"/>
  <c r="AM794" i="2"/>
  <c r="AK794" i="2"/>
  <c r="AE794" i="2"/>
  <c r="B794" i="2"/>
  <c r="AO793" i="2"/>
  <c r="AM793" i="2"/>
  <c r="AK793" i="2"/>
  <c r="AE793" i="2"/>
  <c r="B793" i="2"/>
  <c r="AO792" i="2"/>
  <c r="AM792" i="2"/>
  <c r="AK792" i="2"/>
  <c r="AE792" i="2"/>
  <c r="B792" i="2"/>
  <c r="AO791" i="2"/>
  <c r="AM791" i="2"/>
  <c r="AK791" i="2"/>
  <c r="AE791" i="2"/>
  <c r="B791" i="2"/>
  <c r="AO790" i="2"/>
  <c r="AM790" i="2"/>
  <c r="AK790" i="2"/>
  <c r="AE790" i="2"/>
  <c r="B790" i="2"/>
  <c r="AO789" i="2"/>
  <c r="AM789" i="2"/>
  <c r="AK789" i="2"/>
  <c r="AE789" i="2"/>
  <c r="B789" i="2"/>
  <c r="AO788" i="2"/>
  <c r="AM788" i="2"/>
  <c r="AK788" i="2"/>
  <c r="AE788" i="2"/>
  <c r="B788" i="2"/>
  <c r="AO787" i="2"/>
  <c r="AM787" i="2"/>
  <c r="AK787" i="2"/>
  <c r="AE787" i="2"/>
  <c r="B787" i="2"/>
  <c r="AO786" i="2"/>
  <c r="AM786" i="2"/>
  <c r="AK786" i="2"/>
  <c r="AE786" i="2"/>
  <c r="B786" i="2"/>
  <c r="AO785" i="2"/>
  <c r="AM785" i="2"/>
  <c r="AK785" i="2"/>
  <c r="AE785" i="2"/>
  <c r="B785" i="2"/>
  <c r="AO784" i="2"/>
  <c r="AM784" i="2"/>
  <c r="AK784" i="2"/>
  <c r="AE784" i="2"/>
  <c r="B784" i="2"/>
  <c r="AO783" i="2"/>
  <c r="AM783" i="2"/>
  <c r="AK783" i="2"/>
  <c r="AE783" i="2"/>
  <c r="B783" i="2"/>
  <c r="AO782" i="2"/>
  <c r="AM782" i="2"/>
  <c r="AK782" i="2"/>
  <c r="AE782" i="2"/>
  <c r="B782" i="2"/>
  <c r="AO781" i="2"/>
  <c r="AM781" i="2"/>
  <c r="AK781" i="2"/>
  <c r="Z781" i="2"/>
  <c r="B781" i="2"/>
  <c r="AO780" i="2"/>
  <c r="AM780" i="2"/>
  <c r="AK780" i="2"/>
  <c r="AE780" i="2"/>
  <c r="B780" i="2"/>
  <c r="AO779" i="2"/>
  <c r="AM779" i="2"/>
  <c r="AK779" i="2"/>
  <c r="AE779" i="2"/>
  <c r="B779" i="2"/>
  <c r="AO778" i="2"/>
  <c r="AM778" i="2"/>
  <c r="AK778" i="2"/>
  <c r="AE778" i="2"/>
  <c r="B778" i="2"/>
  <c r="AO777" i="2"/>
  <c r="AM777" i="2"/>
  <c r="AK777" i="2"/>
  <c r="AE777" i="2"/>
  <c r="B777" i="2"/>
  <c r="AO776" i="2"/>
  <c r="AM776" i="2"/>
  <c r="AK776" i="2"/>
  <c r="AE776" i="2"/>
  <c r="B776" i="2"/>
  <c r="AO775" i="2"/>
  <c r="AM775" i="2"/>
  <c r="AK775" i="2"/>
  <c r="AE775" i="2"/>
  <c r="B775" i="2"/>
  <c r="AO774" i="2"/>
  <c r="AM774" i="2"/>
  <c r="AK774" i="2"/>
  <c r="AE774" i="2"/>
  <c r="B774" i="2"/>
  <c r="AO773" i="2"/>
  <c r="AM773" i="2"/>
  <c r="AK773" i="2"/>
  <c r="AE773" i="2"/>
  <c r="B773" i="2"/>
  <c r="AO772" i="2"/>
  <c r="AM772" i="2"/>
  <c r="AK772" i="2"/>
  <c r="AE772" i="2"/>
  <c r="B772" i="2"/>
  <c r="AO771" i="2"/>
  <c r="AM771" i="2"/>
  <c r="AK771" i="2"/>
  <c r="AE771" i="2"/>
  <c r="B771" i="2"/>
  <c r="AO770" i="2"/>
  <c r="AM770" i="2"/>
  <c r="AK770" i="2"/>
  <c r="AE770" i="2"/>
  <c r="B770" i="2"/>
  <c r="AO769" i="2"/>
  <c r="AM769" i="2"/>
  <c r="AK769" i="2"/>
  <c r="AE769" i="2"/>
  <c r="B769" i="2"/>
  <c r="AO768" i="2"/>
  <c r="AM768" i="2"/>
  <c r="AK768" i="2"/>
  <c r="AE768" i="2"/>
  <c r="B768" i="2"/>
  <c r="AO767" i="2"/>
  <c r="AM767" i="2"/>
  <c r="AK767" i="2"/>
  <c r="AE767" i="2"/>
  <c r="B767" i="2"/>
  <c r="AO766" i="2"/>
  <c r="AM766" i="2"/>
  <c r="AK766" i="2"/>
  <c r="AE766" i="2"/>
  <c r="B766" i="2"/>
  <c r="AO765" i="2"/>
  <c r="AM765" i="2"/>
  <c r="AK765" i="2"/>
  <c r="AE765" i="2"/>
  <c r="B765" i="2"/>
  <c r="AO764" i="2"/>
  <c r="AM764" i="2"/>
  <c r="AK764" i="2"/>
  <c r="AE764" i="2"/>
  <c r="B764" i="2"/>
  <c r="AO763" i="2"/>
  <c r="AM763" i="2"/>
  <c r="AK763" i="2"/>
  <c r="AE763" i="2"/>
  <c r="B763" i="2"/>
  <c r="AO762" i="2"/>
  <c r="AM762" i="2"/>
  <c r="AK762" i="2"/>
  <c r="AE762" i="2"/>
  <c r="B762" i="2"/>
  <c r="AO761" i="2"/>
  <c r="AM761" i="2"/>
  <c r="AK761" i="2"/>
  <c r="AE761" i="2"/>
  <c r="B761" i="2"/>
  <c r="AO760" i="2"/>
  <c r="AM760" i="2"/>
  <c r="AK760" i="2"/>
  <c r="AE760" i="2"/>
  <c r="B760" i="2"/>
  <c r="AO759" i="2"/>
  <c r="AM759" i="2"/>
  <c r="AK759" i="2"/>
  <c r="AE759" i="2"/>
  <c r="B759" i="2"/>
  <c r="AO758" i="2"/>
  <c r="AM758" i="2"/>
  <c r="AK758" i="2"/>
  <c r="AE758" i="2"/>
  <c r="B758" i="2"/>
  <c r="AO757" i="2"/>
  <c r="AM757" i="2"/>
  <c r="AK757" i="2"/>
  <c r="AE757" i="2"/>
  <c r="B757" i="2"/>
  <c r="AO756" i="2"/>
  <c r="AM756" i="2"/>
  <c r="AK756" i="2"/>
  <c r="AE756" i="2"/>
  <c r="B756" i="2"/>
  <c r="AO755" i="2"/>
  <c r="AM755" i="2"/>
  <c r="AK755" i="2"/>
  <c r="AE755" i="2"/>
  <c r="B755" i="2"/>
  <c r="AO754" i="2"/>
  <c r="AM754" i="2"/>
  <c r="AK754" i="2"/>
  <c r="AE754" i="2"/>
  <c r="B754" i="2"/>
  <c r="AO753" i="2"/>
  <c r="AM753" i="2"/>
  <c r="AK753" i="2"/>
  <c r="AE753" i="2"/>
  <c r="B753" i="2"/>
  <c r="AO752" i="2"/>
  <c r="AM752" i="2"/>
  <c r="AK752" i="2"/>
  <c r="AE752" i="2"/>
  <c r="B752" i="2"/>
  <c r="AO751" i="2"/>
  <c r="AM751" i="2"/>
  <c r="AK751" i="2"/>
  <c r="AE751" i="2"/>
  <c r="B751" i="2"/>
  <c r="AO750" i="2"/>
  <c r="AM750" i="2"/>
  <c r="AK750" i="2"/>
  <c r="AE750" i="2"/>
  <c r="B750" i="2"/>
  <c r="AO749" i="2"/>
  <c r="AM749" i="2"/>
  <c r="AK749" i="2"/>
  <c r="AE749" i="2"/>
  <c r="B749" i="2"/>
  <c r="AO748" i="2"/>
  <c r="AM748" i="2"/>
  <c r="AK748" i="2"/>
  <c r="AE748" i="2"/>
  <c r="B748" i="2"/>
  <c r="AO747" i="2"/>
  <c r="AM747" i="2"/>
  <c r="AK747" i="2"/>
  <c r="AE747" i="2"/>
  <c r="B747" i="2"/>
  <c r="AO746" i="2"/>
  <c r="AM746" i="2"/>
  <c r="AK746" i="2"/>
  <c r="AE746" i="2"/>
  <c r="B746" i="2"/>
  <c r="AO745" i="2"/>
  <c r="AM745" i="2"/>
  <c r="AK745" i="2"/>
  <c r="AE745" i="2"/>
  <c r="B745" i="2"/>
  <c r="AO744" i="2"/>
  <c r="AM744" i="2"/>
  <c r="AK744" i="2"/>
  <c r="AE744" i="2"/>
  <c r="B744" i="2"/>
  <c r="AO743" i="2"/>
  <c r="AM743" i="2"/>
  <c r="AK743" i="2"/>
  <c r="AE743" i="2"/>
  <c r="B743" i="2"/>
  <c r="AO742" i="2"/>
  <c r="AM742" i="2"/>
  <c r="AK742" i="2"/>
  <c r="AE742" i="2"/>
  <c r="B742" i="2"/>
  <c r="AO741" i="2"/>
  <c r="AM741" i="2"/>
  <c r="AK741" i="2"/>
  <c r="AE741" i="2"/>
  <c r="B741" i="2"/>
  <c r="AO740" i="2"/>
  <c r="AM740" i="2"/>
  <c r="AK740" i="2"/>
  <c r="AE740" i="2"/>
  <c r="B740" i="2"/>
  <c r="AO739" i="2"/>
  <c r="AM739" i="2"/>
  <c r="AK739" i="2"/>
  <c r="AE739" i="2"/>
  <c r="B739" i="2"/>
  <c r="AO738" i="2"/>
  <c r="AM738" i="2"/>
  <c r="AK738" i="2"/>
  <c r="AE738" i="2"/>
  <c r="B738" i="2"/>
  <c r="AO737" i="2"/>
  <c r="AM737" i="2"/>
  <c r="AK737" i="2"/>
  <c r="AE737" i="2"/>
  <c r="B737" i="2"/>
  <c r="AO736" i="2"/>
  <c r="AM736" i="2"/>
  <c r="AK736" i="2"/>
  <c r="AE736" i="2"/>
  <c r="B736" i="2"/>
  <c r="AO735" i="2"/>
  <c r="AM735" i="2"/>
  <c r="AK735" i="2"/>
  <c r="AE735" i="2"/>
  <c r="B735" i="2"/>
  <c r="AO734" i="2"/>
  <c r="AM734" i="2"/>
  <c r="AK734" i="2"/>
  <c r="AE734" i="2"/>
  <c r="B734" i="2"/>
  <c r="AO733" i="2"/>
  <c r="AM733" i="2"/>
  <c r="AK733" i="2"/>
  <c r="AE733" i="2"/>
  <c r="B733" i="2"/>
  <c r="AO732" i="2"/>
  <c r="AM732" i="2"/>
  <c r="AK732" i="2"/>
  <c r="AE732" i="2"/>
  <c r="B732" i="2"/>
  <c r="AO731" i="2"/>
  <c r="AM731" i="2"/>
  <c r="AK731" i="2"/>
  <c r="AE731" i="2"/>
  <c r="B731" i="2"/>
  <c r="AO730" i="2"/>
  <c r="AM730" i="2"/>
  <c r="AK730" i="2"/>
  <c r="AE730" i="2"/>
  <c r="B730" i="2"/>
  <c r="AO729" i="2"/>
  <c r="AM729" i="2"/>
  <c r="AK729" i="2"/>
  <c r="AE729" i="2"/>
  <c r="B729" i="2"/>
  <c r="AO728" i="2"/>
  <c r="AM728" i="2"/>
  <c r="AK728" i="2"/>
  <c r="AE728" i="2"/>
  <c r="B728" i="2"/>
  <c r="AO727" i="2"/>
  <c r="AM727" i="2"/>
  <c r="AK727" i="2"/>
  <c r="AE727" i="2"/>
  <c r="B727" i="2"/>
  <c r="AO726" i="2"/>
  <c r="AM726" i="2"/>
  <c r="AK726" i="2"/>
  <c r="AE726" i="2"/>
  <c r="B726" i="2"/>
  <c r="AO725" i="2"/>
  <c r="AM725" i="2"/>
  <c r="AK725" i="2"/>
  <c r="AE725" i="2"/>
  <c r="B725" i="2"/>
  <c r="AO724" i="2"/>
  <c r="AM724" i="2"/>
  <c r="AK724" i="2"/>
  <c r="AE724" i="2"/>
  <c r="B724" i="2"/>
  <c r="AO723" i="2"/>
  <c r="AM723" i="2"/>
  <c r="AK723" i="2"/>
  <c r="AE723" i="2"/>
  <c r="B723" i="2"/>
  <c r="AO722" i="2"/>
  <c r="AM722" i="2"/>
  <c r="AK722" i="2"/>
  <c r="AE722" i="2"/>
  <c r="B722" i="2"/>
  <c r="AO721" i="2"/>
  <c r="AM721" i="2"/>
  <c r="AK721" i="2"/>
  <c r="AE721" i="2"/>
  <c r="B721" i="2"/>
  <c r="AO720" i="2"/>
  <c r="AM720" i="2"/>
  <c r="AK720" i="2"/>
  <c r="AE720" i="2"/>
  <c r="B720" i="2"/>
  <c r="AO719" i="2"/>
  <c r="AM719" i="2"/>
  <c r="AK719" i="2"/>
  <c r="AE719" i="2"/>
  <c r="B719" i="2"/>
  <c r="AO718" i="2"/>
  <c r="AM718" i="2"/>
  <c r="AK718" i="2"/>
  <c r="AE718" i="2"/>
  <c r="B718" i="2"/>
  <c r="AO717" i="2"/>
  <c r="AM717" i="2"/>
  <c r="AK717" i="2"/>
  <c r="AE717" i="2"/>
  <c r="B717" i="2"/>
  <c r="AO716" i="2"/>
  <c r="AM716" i="2"/>
  <c r="AK716" i="2"/>
  <c r="AE716" i="2"/>
  <c r="B716" i="2"/>
  <c r="AO715" i="2"/>
  <c r="AM715" i="2"/>
  <c r="AK715" i="2"/>
  <c r="AE715" i="2"/>
  <c r="B715" i="2"/>
  <c r="AO714" i="2"/>
  <c r="AM714" i="2"/>
  <c r="AK714" i="2"/>
  <c r="AE714" i="2"/>
  <c r="B714" i="2"/>
  <c r="AO713" i="2"/>
  <c r="AM713" i="2"/>
  <c r="AK713" i="2"/>
  <c r="AE713" i="2"/>
  <c r="B713" i="2"/>
  <c r="AO712" i="2"/>
  <c r="AM712" i="2"/>
  <c r="AK712" i="2"/>
  <c r="AE712" i="2"/>
  <c r="B712" i="2"/>
  <c r="AM711" i="2"/>
  <c r="AK711" i="2"/>
  <c r="Z711" i="2"/>
  <c r="S711" i="2"/>
  <c r="AO711" i="2" s="1"/>
  <c r="B711" i="2"/>
  <c r="AO710" i="2"/>
  <c r="AM710" i="2"/>
  <c r="AK710" i="2"/>
  <c r="AE710" i="2"/>
  <c r="B710" i="2"/>
  <c r="AO709" i="2"/>
  <c r="AM709" i="2"/>
  <c r="AK709" i="2"/>
  <c r="AE709" i="2"/>
  <c r="B709" i="2"/>
  <c r="AO708" i="2"/>
  <c r="AM708" i="2"/>
  <c r="AK708" i="2"/>
  <c r="AE708" i="2"/>
  <c r="B708" i="2"/>
  <c r="AO707" i="2"/>
  <c r="AM707" i="2"/>
  <c r="AK707" i="2"/>
  <c r="AE707" i="2"/>
  <c r="B707" i="2"/>
  <c r="AO706" i="2"/>
  <c r="AM706" i="2"/>
  <c r="AK706" i="2"/>
  <c r="AE706" i="2"/>
  <c r="B706" i="2"/>
  <c r="AO705" i="2"/>
  <c r="AM705" i="2"/>
  <c r="AK705" i="2"/>
  <c r="AE705" i="2"/>
  <c r="B705" i="2"/>
  <c r="AO704" i="2"/>
  <c r="AM704" i="2"/>
  <c r="AK704" i="2"/>
  <c r="AE704" i="2"/>
  <c r="B704" i="2"/>
  <c r="AO703" i="2"/>
  <c r="AM703" i="2"/>
  <c r="AK703" i="2"/>
  <c r="AE703" i="2"/>
  <c r="B703" i="2"/>
  <c r="AO702" i="2"/>
  <c r="AM702" i="2"/>
  <c r="AK702" i="2"/>
  <c r="AE702" i="2"/>
  <c r="B702" i="2"/>
  <c r="AO701" i="2"/>
  <c r="AM701" i="2"/>
  <c r="AK701" i="2"/>
  <c r="AE701" i="2"/>
  <c r="B701" i="2"/>
  <c r="AO700" i="2"/>
  <c r="AM700" i="2"/>
  <c r="AK700" i="2"/>
  <c r="AE700" i="2"/>
  <c r="B700" i="2"/>
  <c r="AO699" i="2"/>
  <c r="AM699" i="2"/>
  <c r="AK699" i="2"/>
  <c r="AE699" i="2"/>
  <c r="B699" i="2"/>
  <c r="AO698" i="2"/>
  <c r="AM698" i="2"/>
  <c r="AK698" i="2"/>
  <c r="AE698" i="2"/>
  <c r="B698" i="2"/>
  <c r="AO697" i="2"/>
  <c r="AM697" i="2"/>
  <c r="AK697" i="2"/>
  <c r="AE697" i="2"/>
  <c r="B697" i="2"/>
  <c r="AO696" i="2"/>
  <c r="AM696" i="2"/>
  <c r="AK696" i="2"/>
  <c r="AE696" i="2"/>
  <c r="B696" i="2"/>
  <c r="AO695" i="2"/>
  <c r="AM695" i="2"/>
  <c r="AK695" i="2"/>
  <c r="AE695" i="2"/>
  <c r="B695" i="2"/>
  <c r="AO694" i="2"/>
  <c r="AM694" i="2"/>
  <c r="AK694" i="2"/>
  <c r="AE694" i="2"/>
  <c r="B694" i="2"/>
  <c r="AO693" i="2"/>
  <c r="AM693" i="2"/>
  <c r="AK693" i="2"/>
  <c r="AE693" i="2"/>
  <c r="B693" i="2"/>
  <c r="AM692" i="2"/>
  <c r="AK692" i="2"/>
  <c r="S692" i="2"/>
  <c r="AO692" i="2" s="1"/>
  <c r="B692" i="2"/>
  <c r="AO691" i="2"/>
  <c r="AM691" i="2"/>
  <c r="AK691" i="2"/>
  <c r="AE691" i="2"/>
  <c r="B691" i="2"/>
  <c r="AO690" i="2"/>
  <c r="AM690" i="2"/>
  <c r="AK690" i="2"/>
  <c r="AE690" i="2"/>
  <c r="B690" i="2"/>
  <c r="AO689" i="2"/>
  <c r="AM689" i="2"/>
  <c r="AK689" i="2"/>
  <c r="AE689" i="2"/>
  <c r="B689" i="2"/>
  <c r="AO688" i="2"/>
  <c r="AM688" i="2"/>
  <c r="AK688" i="2"/>
  <c r="AE688" i="2"/>
  <c r="B688" i="2"/>
  <c r="AO687" i="2"/>
  <c r="AM687" i="2"/>
  <c r="AK687" i="2"/>
  <c r="AE687" i="2"/>
  <c r="B687" i="2"/>
  <c r="AO686" i="2"/>
  <c r="AM686" i="2"/>
  <c r="AK686" i="2"/>
  <c r="AE686" i="2"/>
  <c r="B686" i="2"/>
  <c r="AO685" i="2"/>
  <c r="AM685" i="2"/>
  <c r="AK685" i="2"/>
  <c r="AE685" i="2"/>
  <c r="B685" i="2"/>
  <c r="AO684" i="2"/>
  <c r="AM684" i="2"/>
  <c r="AK684" i="2"/>
  <c r="AE684" i="2"/>
  <c r="B684" i="2"/>
  <c r="AO683" i="2"/>
  <c r="AM683" i="2"/>
  <c r="AK683" i="2"/>
  <c r="AE683" i="2"/>
  <c r="B683" i="2"/>
  <c r="AO682" i="2"/>
  <c r="AM682" i="2"/>
  <c r="AK682" i="2"/>
  <c r="AE682" i="2"/>
  <c r="B682" i="2"/>
  <c r="AO681" i="2"/>
  <c r="AM681" i="2"/>
  <c r="AK681" i="2"/>
  <c r="AE681" i="2"/>
  <c r="B681" i="2"/>
  <c r="AO680" i="2"/>
  <c r="AM680" i="2"/>
  <c r="AK680" i="2"/>
  <c r="AE680" i="2"/>
  <c r="B680" i="2"/>
  <c r="AO679" i="2"/>
  <c r="AM679" i="2"/>
  <c r="AK679" i="2"/>
  <c r="AE679" i="2"/>
  <c r="B679" i="2"/>
  <c r="AO678" i="2"/>
  <c r="AM678" i="2"/>
  <c r="AK678" i="2"/>
  <c r="AE678" i="2"/>
  <c r="B678" i="2"/>
  <c r="AO677" i="2"/>
  <c r="AM677" i="2"/>
  <c r="AK677" i="2"/>
  <c r="AE677" i="2"/>
  <c r="B677" i="2"/>
  <c r="AO676" i="2"/>
  <c r="AM676" i="2"/>
  <c r="AK676" i="2"/>
  <c r="AE676" i="2"/>
  <c r="B676" i="2"/>
  <c r="AO675" i="2"/>
  <c r="AM675" i="2"/>
  <c r="AK675" i="2"/>
  <c r="AE675" i="2"/>
  <c r="B675" i="2"/>
  <c r="AM674" i="2"/>
  <c r="AK674" i="2"/>
  <c r="S674" i="2"/>
  <c r="AO674" i="2" s="1"/>
  <c r="B674" i="2"/>
  <c r="AO673" i="2"/>
  <c r="AM673" i="2"/>
  <c r="AK673" i="2"/>
  <c r="AE673" i="2"/>
  <c r="B673" i="2"/>
  <c r="AO672" i="2"/>
  <c r="AM672" i="2"/>
  <c r="AK672" i="2"/>
  <c r="AE672" i="2"/>
  <c r="B672" i="2"/>
  <c r="AO671" i="2"/>
  <c r="AM671" i="2"/>
  <c r="AK671" i="2"/>
  <c r="AE671" i="2"/>
  <c r="B671" i="2"/>
  <c r="AO670" i="2"/>
  <c r="AM670" i="2"/>
  <c r="AK670" i="2"/>
  <c r="AE670" i="2"/>
  <c r="B670" i="2"/>
  <c r="AO669" i="2"/>
  <c r="AM669" i="2"/>
  <c r="AK669" i="2"/>
  <c r="AE669" i="2"/>
  <c r="B669" i="2"/>
  <c r="AO668" i="2"/>
  <c r="AM668" i="2"/>
  <c r="AK668" i="2"/>
  <c r="AE668" i="2"/>
  <c r="B668" i="2"/>
  <c r="AO667" i="2"/>
  <c r="AM667" i="2"/>
  <c r="AK667" i="2"/>
  <c r="AE667" i="2"/>
  <c r="B667" i="2"/>
  <c r="AO666" i="2"/>
  <c r="AM666" i="2"/>
  <c r="AK666" i="2"/>
  <c r="AE666" i="2"/>
  <c r="B666" i="2"/>
  <c r="AO665" i="2"/>
  <c r="AM665" i="2"/>
  <c r="AK665" i="2"/>
  <c r="AE665" i="2"/>
  <c r="B665" i="2"/>
  <c r="AO664" i="2"/>
  <c r="AM664" i="2"/>
  <c r="AK664" i="2"/>
  <c r="AE664" i="2"/>
  <c r="B664" i="2"/>
  <c r="AO663" i="2"/>
  <c r="AM663" i="2"/>
  <c r="AK663" i="2"/>
  <c r="AE663" i="2"/>
  <c r="B663" i="2"/>
  <c r="AO662" i="2"/>
  <c r="AM662" i="2"/>
  <c r="AK662" i="2"/>
  <c r="AE662" i="2"/>
  <c r="B662" i="2"/>
  <c r="AO661" i="2"/>
  <c r="AM661" i="2"/>
  <c r="AK661" i="2"/>
  <c r="AE661" i="2"/>
  <c r="B661" i="2"/>
  <c r="AO660" i="2"/>
  <c r="AM660" i="2"/>
  <c r="AK660" i="2"/>
  <c r="AE660" i="2"/>
  <c r="B660" i="2"/>
  <c r="AO659" i="2"/>
  <c r="AM659" i="2"/>
  <c r="AK659" i="2"/>
  <c r="AE659" i="2"/>
  <c r="B659" i="2"/>
  <c r="AO658" i="2"/>
  <c r="AM658" i="2"/>
  <c r="AK658" i="2"/>
  <c r="AE658" i="2"/>
  <c r="B658" i="2"/>
  <c r="AO657" i="2"/>
  <c r="AM657" i="2"/>
  <c r="AK657" i="2"/>
  <c r="AE657" i="2"/>
  <c r="B657" i="2"/>
  <c r="AO656" i="2"/>
  <c r="AM656" i="2"/>
  <c r="AK656" i="2"/>
  <c r="AE656" i="2"/>
  <c r="B656" i="2"/>
  <c r="AO655" i="2"/>
  <c r="AM655" i="2"/>
  <c r="AK655" i="2"/>
  <c r="AE655" i="2"/>
  <c r="B655" i="2"/>
  <c r="AO654" i="2"/>
  <c r="AM654" i="2"/>
  <c r="AK654" i="2"/>
  <c r="AE654" i="2"/>
  <c r="B654" i="2"/>
  <c r="AO653" i="2"/>
  <c r="AM653" i="2"/>
  <c r="AK653" i="2"/>
  <c r="AE653" i="2"/>
  <c r="B653" i="2"/>
  <c r="AO652" i="2"/>
  <c r="AM652" i="2"/>
  <c r="AK652" i="2"/>
  <c r="AE652" i="2"/>
  <c r="B652" i="2"/>
  <c r="AO651" i="2"/>
  <c r="AM651" i="2"/>
  <c r="AK651" i="2"/>
  <c r="AE651" i="2"/>
  <c r="B651" i="2"/>
  <c r="AO650" i="2"/>
  <c r="AM650" i="2"/>
  <c r="AK650" i="2"/>
  <c r="AE650" i="2"/>
  <c r="B650" i="2"/>
  <c r="AO649" i="2"/>
  <c r="AM649" i="2"/>
  <c r="AK649" i="2"/>
  <c r="AE649" i="2"/>
  <c r="B649" i="2"/>
  <c r="AO648" i="2"/>
  <c r="AM648" i="2"/>
  <c r="AK648" i="2"/>
  <c r="AE648" i="2"/>
  <c r="B648" i="2"/>
  <c r="AO647" i="2"/>
  <c r="AM647" i="2"/>
  <c r="AK647" i="2"/>
  <c r="AE647" i="2"/>
  <c r="B647" i="2"/>
  <c r="AO646" i="2"/>
  <c r="AM646" i="2"/>
  <c r="AK646" i="2"/>
  <c r="AE646" i="2"/>
  <c r="B646" i="2"/>
  <c r="AO645" i="2"/>
  <c r="AM645" i="2"/>
  <c r="AK645" i="2"/>
  <c r="AE645" i="2"/>
  <c r="B645" i="2"/>
  <c r="AO644" i="2"/>
  <c r="AM644" i="2"/>
  <c r="AK644" i="2"/>
  <c r="AE644" i="2"/>
  <c r="B644" i="2"/>
  <c r="AO643" i="2"/>
  <c r="AM643" i="2"/>
  <c r="AK643" i="2"/>
  <c r="AE643" i="2"/>
  <c r="B643" i="2"/>
  <c r="AO642" i="2"/>
  <c r="AM642" i="2"/>
  <c r="AK642" i="2"/>
  <c r="AE642" i="2"/>
  <c r="B642" i="2"/>
  <c r="AO641" i="2"/>
  <c r="AM641" i="2"/>
  <c r="AK641" i="2"/>
  <c r="AE641" i="2"/>
  <c r="B641" i="2"/>
  <c r="AO640" i="2"/>
  <c r="AM640" i="2"/>
  <c r="AK640" i="2"/>
  <c r="AE640" i="2"/>
  <c r="B640" i="2"/>
  <c r="AO639" i="2"/>
  <c r="AM639" i="2"/>
  <c r="AK639" i="2"/>
  <c r="AE639" i="2"/>
  <c r="B639" i="2"/>
  <c r="AO638" i="2"/>
  <c r="AM638" i="2"/>
  <c r="AK638" i="2"/>
  <c r="AE638" i="2"/>
  <c r="B638" i="2"/>
  <c r="AO637" i="2"/>
  <c r="AM637" i="2"/>
  <c r="AK637" i="2"/>
  <c r="AE637" i="2"/>
  <c r="B637" i="2"/>
  <c r="AO636" i="2"/>
  <c r="AM636" i="2"/>
  <c r="AK636" i="2"/>
  <c r="AE636" i="2"/>
  <c r="B636" i="2"/>
  <c r="AO635" i="2"/>
  <c r="AM635" i="2"/>
  <c r="AK635" i="2"/>
  <c r="AE635" i="2"/>
  <c r="B635" i="2"/>
  <c r="AO634" i="2"/>
  <c r="AM634" i="2"/>
  <c r="AK634" i="2"/>
  <c r="AE634" i="2"/>
  <c r="B634" i="2"/>
  <c r="AO633" i="2"/>
  <c r="AM633" i="2"/>
  <c r="AK633" i="2"/>
  <c r="AE633" i="2"/>
  <c r="B633" i="2"/>
  <c r="AO632" i="2"/>
  <c r="AM632" i="2"/>
  <c r="AK632" i="2"/>
  <c r="AE632" i="2"/>
  <c r="B632" i="2"/>
  <c r="AO631" i="2"/>
  <c r="AM631" i="2"/>
  <c r="AK631" i="2"/>
  <c r="AE631" i="2"/>
  <c r="B631" i="2"/>
  <c r="AO630" i="2"/>
  <c r="AM630" i="2"/>
  <c r="AK630" i="2"/>
  <c r="AE630" i="2"/>
  <c r="B630" i="2"/>
  <c r="AO629" i="2"/>
  <c r="AM629" i="2"/>
  <c r="AK629" i="2"/>
  <c r="AE629" i="2"/>
  <c r="B629" i="2"/>
  <c r="AO628" i="2"/>
  <c r="AM628" i="2"/>
  <c r="AK628" i="2"/>
  <c r="AE628" i="2"/>
  <c r="B628" i="2"/>
  <c r="AO627" i="2"/>
  <c r="AM627" i="2"/>
  <c r="AK627" i="2"/>
  <c r="AE627" i="2"/>
  <c r="B627" i="2"/>
  <c r="AO626" i="2"/>
  <c r="AM626" i="2"/>
  <c r="AK626" i="2"/>
  <c r="AE626" i="2"/>
  <c r="B626" i="2"/>
  <c r="AO625" i="2"/>
  <c r="AM625" i="2"/>
  <c r="AK625" i="2"/>
  <c r="AE625" i="2"/>
  <c r="B625" i="2"/>
  <c r="AO624" i="2"/>
  <c r="AM624" i="2"/>
  <c r="AK624" i="2"/>
  <c r="AE624" i="2"/>
  <c r="B624" i="2"/>
  <c r="AO623" i="2"/>
  <c r="AM623" i="2"/>
  <c r="AK623" i="2"/>
  <c r="AE623" i="2"/>
  <c r="B623" i="2"/>
  <c r="AO622" i="2"/>
  <c r="AM622" i="2"/>
  <c r="AK622" i="2"/>
  <c r="AE622" i="2"/>
  <c r="B622" i="2"/>
  <c r="AO621" i="2"/>
  <c r="AM621" i="2"/>
  <c r="AK621" i="2"/>
  <c r="AE621" i="2"/>
  <c r="B621" i="2"/>
  <c r="AO620" i="2"/>
  <c r="AM620" i="2"/>
  <c r="AK620" i="2"/>
  <c r="AE620" i="2"/>
  <c r="B620" i="2"/>
  <c r="AO619" i="2"/>
  <c r="AM619" i="2"/>
  <c r="AK619" i="2"/>
  <c r="AE619" i="2"/>
  <c r="B619" i="2"/>
  <c r="AO618" i="2"/>
  <c r="AM618" i="2"/>
  <c r="AK618" i="2"/>
  <c r="AE618" i="2"/>
  <c r="B618" i="2"/>
  <c r="AO617" i="2"/>
  <c r="AM617" i="2"/>
  <c r="AK617" i="2"/>
  <c r="AE617" i="2"/>
  <c r="B617" i="2"/>
  <c r="AO616" i="2"/>
  <c r="AM616" i="2"/>
  <c r="AK616" i="2"/>
  <c r="AE616" i="2"/>
  <c r="B616" i="2"/>
  <c r="AO615" i="2"/>
  <c r="AM615" i="2"/>
  <c r="AK615" i="2"/>
  <c r="AE615" i="2"/>
  <c r="B615" i="2"/>
  <c r="AO614" i="2"/>
  <c r="AM614" i="2"/>
  <c r="AK614" i="2"/>
  <c r="AE614" i="2"/>
  <c r="B614" i="2"/>
  <c r="AO613" i="2"/>
  <c r="AM613" i="2"/>
  <c r="AK613" i="2"/>
  <c r="AE613" i="2"/>
  <c r="B613" i="2"/>
  <c r="AO612" i="2"/>
  <c r="AM612" i="2"/>
  <c r="AK612" i="2"/>
  <c r="AE612" i="2"/>
  <c r="B612" i="2"/>
  <c r="AO611" i="2"/>
  <c r="AM611" i="2"/>
  <c r="AK611" i="2"/>
  <c r="AE611" i="2"/>
  <c r="B611" i="2"/>
  <c r="AM610" i="2"/>
  <c r="AK610" i="2"/>
  <c r="S610" i="2"/>
  <c r="AE610" i="2" s="1"/>
  <c r="B610" i="2"/>
  <c r="AO609" i="2"/>
  <c r="AM609" i="2"/>
  <c r="AK609" i="2"/>
  <c r="AE609" i="2"/>
  <c r="B609" i="2"/>
  <c r="AM608" i="2"/>
  <c r="AK608" i="2"/>
  <c r="S608" i="2"/>
  <c r="AE608" i="2" s="1"/>
  <c r="B608" i="2"/>
  <c r="AM607" i="2"/>
  <c r="AK607" i="2"/>
  <c r="S607" i="2"/>
  <c r="AO607" i="2" s="1"/>
  <c r="B607" i="2"/>
  <c r="AM606" i="2"/>
  <c r="AK606" i="2"/>
  <c r="S606" i="2"/>
  <c r="AO606" i="2" s="1"/>
  <c r="B606" i="2"/>
  <c r="AM605" i="2"/>
  <c r="AK605" i="2"/>
  <c r="S605" i="2"/>
  <c r="AO605" i="2" s="1"/>
  <c r="B605" i="2"/>
  <c r="AM604" i="2"/>
  <c r="AK604" i="2"/>
  <c r="S604" i="2"/>
  <c r="AO604" i="2" s="1"/>
  <c r="B604" i="2"/>
  <c r="AO603" i="2"/>
  <c r="AM603" i="2"/>
  <c r="AK603" i="2"/>
  <c r="AE603" i="2"/>
  <c r="B603" i="2"/>
  <c r="AM602" i="2"/>
  <c r="AK602" i="2"/>
  <c r="S602" i="2"/>
  <c r="AO602" i="2" s="1"/>
  <c r="B602" i="2"/>
  <c r="AM601" i="2"/>
  <c r="AK601" i="2"/>
  <c r="S601" i="2"/>
  <c r="AO601" i="2" s="1"/>
  <c r="B601" i="2"/>
  <c r="AM600" i="2"/>
  <c r="AK600" i="2"/>
  <c r="S600" i="2"/>
  <c r="AE600" i="2" s="1"/>
  <c r="B600" i="2"/>
  <c r="AM599" i="2"/>
  <c r="AK599" i="2"/>
  <c r="S599" i="2"/>
  <c r="AE599" i="2" s="1"/>
  <c r="B599" i="2"/>
  <c r="AM598" i="2"/>
  <c r="AK598" i="2"/>
  <c r="S598" i="2"/>
  <c r="AO598" i="2" s="1"/>
  <c r="B598" i="2"/>
  <c r="AO597" i="2"/>
  <c r="AM597" i="2"/>
  <c r="AK597" i="2"/>
  <c r="AE597" i="2"/>
  <c r="B597" i="2"/>
  <c r="AO596" i="2"/>
  <c r="AM596" i="2"/>
  <c r="AK596" i="2"/>
  <c r="AE596" i="2"/>
  <c r="B596" i="2"/>
  <c r="AO595" i="2"/>
  <c r="AM595" i="2"/>
  <c r="AK595" i="2"/>
  <c r="AE595" i="2"/>
  <c r="B595" i="2"/>
  <c r="AO594" i="2"/>
  <c r="AM594" i="2"/>
  <c r="AK594" i="2"/>
  <c r="AE594" i="2"/>
  <c r="B594" i="2"/>
  <c r="AO593" i="2"/>
  <c r="AM593" i="2"/>
  <c r="AK593" i="2"/>
  <c r="AE593" i="2"/>
  <c r="B593" i="2"/>
  <c r="AO592" i="2"/>
  <c r="AM592" i="2"/>
  <c r="AK592" i="2"/>
  <c r="AE592" i="2"/>
  <c r="B592" i="2"/>
  <c r="AO591" i="2"/>
  <c r="AM591" i="2"/>
  <c r="AK591" i="2"/>
  <c r="AE591" i="2"/>
  <c r="B591" i="2"/>
  <c r="AM590" i="2"/>
  <c r="AK590" i="2"/>
  <c r="S590" i="2"/>
  <c r="AO590" i="2" s="1"/>
  <c r="B590" i="2"/>
  <c r="AM589" i="2"/>
  <c r="AK589" i="2"/>
  <c r="S589" i="2"/>
  <c r="AO589" i="2" s="1"/>
  <c r="B589" i="2"/>
  <c r="AM588" i="2"/>
  <c r="AK588" i="2"/>
  <c r="S588" i="2"/>
  <c r="AO588" i="2" s="1"/>
  <c r="B588" i="2"/>
  <c r="AO587" i="2"/>
  <c r="AM587" i="2"/>
  <c r="AK587" i="2"/>
  <c r="AE587" i="2"/>
  <c r="B587" i="2"/>
  <c r="AO586" i="2"/>
  <c r="AM586" i="2"/>
  <c r="AK586" i="2"/>
  <c r="AE586" i="2"/>
  <c r="B586" i="2"/>
  <c r="AM585" i="2"/>
  <c r="AK585" i="2"/>
  <c r="S585" i="2"/>
  <c r="AO585" i="2" s="1"/>
  <c r="B585" i="2"/>
  <c r="AM584" i="2"/>
  <c r="AK584" i="2"/>
  <c r="S584" i="2"/>
  <c r="AO584" i="2" s="1"/>
  <c r="B584" i="2"/>
  <c r="AM583" i="2"/>
  <c r="AK583" i="2"/>
  <c r="S583" i="2"/>
  <c r="AO583" i="2" s="1"/>
  <c r="B583" i="2"/>
  <c r="AM582" i="2"/>
  <c r="AK582" i="2"/>
  <c r="S582" i="2"/>
  <c r="AO582" i="2" s="1"/>
  <c r="B582" i="2"/>
  <c r="AO581" i="2"/>
  <c r="AM581" i="2"/>
  <c r="AK581" i="2"/>
  <c r="AE581" i="2"/>
  <c r="B581" i="2"/>
  <c r="AO580" i="2"/>
  <c r="AM580" i="2"/>
  <c r="AK580" i="2"/>
  <c r="AE580" i="2"/>
  <c r="B580" i="2"/>
  <c r="AO579" i="2"/>
  <c r="AM579" i="2"/>
  <c r="AK579" i="2"/>
  <c r="AE579" i="2"/>
  <c r="B579" i="2"/>
  <c r="AO578" i="2"/>
  <c r="AM578" i="2"/>
  <c r="AK578" i="2"/>
  <c r="AE578" i="2"/>
  <c r="B578" i="2"/>
  <c r="AO577" i="2"/>
  <c r="AM577" i="2"/>
  <c r="AK577" i="2"/>
  <c r="AE577" i="2"/>
  <c r="B577" i="2"/>
  <c r="AO576" i="2"/>
  <c r="AM576" i="2"/>
  <c r="AK576" i="2"/>
  <c r="AE576" i="2"/>
  <c r="B576" i="2"/>
  <c r="AO575" i="2"/>
  <c r="AM575" i="2"/>
  <c r="AK575" i="2"/>
  <c r="AE575" i="2"/>
  <c r="B575" i="2"/>
  <c r="AO574" i="2"/>
  <c r="AM574" i="2"/>
  <c r="AK574" i="2"/>
  <c r="AE574" i="2"/>
  <c r="B574" i="2"/>
  <c r="AO573" i="2"/>
  <c r="AM573" i="2"/>
  <c r="AK573" i="2"/>
  <c r="AE573" i="2"/>
  <c r="B573" i="2"/>
  <c r="AO572" i="2"/>
  <c r="AM572" i="2"/>
  <c r="AK572" i="2"/>
  <c r="AE572" i="2"/>
  <c r="B572" i="2"/>
  <c r="AO571" i="2"/>
  <c r="AM571" i="2"/>
  <c r="AK571" i="2"/>
  <c r="AE571" i="2"/>
  <c r="B571" i="2"/>
  <c r="AO570" i="2"/>
  <c r="AM570" i="2"/>
  <c r="AK570" i="2"/>
  <c r="AE570" i="2"/>
  <c r="B570" i="2"/>
  <c r="AO569" i="2"/>
  <c r="AM569" i="2"/>
  <c r="AK569" i="2"/>
  <c r="AE569" i="2"/>
  <c r="B569" i="2"/>
  <c r="AO568" i="2"/>
  <c r="AM568" i="2"/>
  <c r="AK568" i="2"/>
  <c r="AE568" i="2"/>
  <c r="B568" i="2"/>
  <c r="AO567" i="2"/>
  <c r="AM567" i="2"/>
  <c r="AK567" i="2"/>
  <c r="AE567" i="2"/>
  <c r="B567" i="2"/>
  <c r="AO566" i="2"/>
  <c r="AM566" i="2"/>
  <c r="AK566" i="2"/>
  <c r="AE566" i="2"/>
  <c r="B566" i="2"/>
  <c r="AO565" i="2"/>
  <c r="AM565" i="2"/>
  <c r="AK565" i="2"/>
  <c r="AE565" i="2"/>
  <c r="B565" i="2"/>
  <c r="AO564" i="2"/>
  <c r="AM564" i="2"/>
  <c r="AK564" i="2"/>
  <c r="AE564" i="2"/>
  <c r="B564" i="2"/>
  <c r="AO563" i="2"/>
  <c r="AM563" i="2"/>
  <c r="AK563" i="2"/>
  <c r="AE563" i="2"/>
  <c r="B563" i="2"/>
  <c r="AO562" i="2"/>
  <c r="AM562" i="2"/>
  <c r="AK562" i="2"/>
  <c r="AE562" i="2"/>
  <c r="B562" i="2"/>
  <c r="AO561" i="2"/>
  <c r="AM561" i="2"/>
  <c r="AK561" i="2"/>
  <c r="AE561" i="2"/>
  <c r="B561" i="2"/>
  <c r="AO560" i="2"/>
  <c r="AM560" i="2"/>
  <c r="AK560" i="2"/>
  <c r="AE560" i="2"/>
  <c r="B560" i="2"/>
  <c r="AO559" i="2"/>
  <c r="AM559" i="2"/>
  <c r="AK559" i="2"/>
  <c r="AE559" i="2"/>
  <c r="B559" i="2"/>
  <c r="AO558" i="2"/>
  <c r="AM558" i="2"/>
  <c r="AK558" i="2"/>
  <c r="AE558" i="2"/>
  <c r="B558" i="2"/>
  <c r="AO557" i="2"/>
  <c r="AM557" i="2"/>
  <c r="AK557" i="2"/>
  <c r="AE557" i="2"/>
  <c r="B557" i="2"/>
  <c r="AO556" i="2"/>
  <c r="AM556" i="2"/>
  <c r="AK556" i="2"/>
  <c r="AE556" i="2"/>
  <c r="B556" i="2"/>
  <c r="AO555" i="2"/>
  <c r="AM555" i="2"/>
  <c r="AK555" i="2"/>
  <c r="AE555" i="2"/>
  <c r="B555" i="2"/>
  <c r="AO554" i="2"/>
  <c r="AM554" i="2"/>
  <c r="AK554" i="2"/>
  <c r="AE554" i="2"/>
  <c r="B554" i="2"/>
  <c r="AO553" i="2"/>
  <c r="AM553" i="2"/>
  <c r="AK553" i="2"/>
  <c r="AE553" i="2"/>
  <c r="B553" i="2"/>
  <c r="AO552" i="2"/>
  <c r="AM552" i="2"/>
  <c r="AK552" i="2"/>
  <c r="AE552" i="2"/>
  <c r="B552" i="2"/>
  <c r="AO551" i="2"/>
  <c r="AM551" i="2"/>
  <c r="AK551" i="2"/>
  <c r="AE551" i="2"/>
  <c r="B551" i="2"/>
  <c r="AO550" i="2"/>
  <c r="AM550" i="2"/>
  <c r="AK550" i="2"/>
  <c r="AE550" i="2"/>
  <c r="B550" i="2"/>
  <c r="AO549" i="2"/>
  <c r="AM549" i="2"/>
  <c r="AK549" i="2"/>
  <c r="AE549" i="2"/>
  <c r="B549" i="2"/>
  <c r="AO548" i="2"/>
  <c r="AM548" i="2"/>
  <c r="AK548" i="2"/>
  <c r="AE548" i="2"/>
  <c r="B548" i="2"/>
  <c r="AO547" i="2"/>
  <c r="AM547" i="2"/>
  <c r="AK547" i="2"/>
  <c r="AE547" i="2"/>
  <c r="B547" i="2"/>
  <c r="AO546" i="2"/>
  <c r="AM546" i="2"/>
  <c r="AK546" i="2"/>
  <c r="AE546" i="2"/>
  <c r="B546" i="2"/>
  <c r="AO545" i="2"/>
  <c r="AM545" i="2"/>
  <c r="AK545" i="2"/>
  <c r="AE545" i="2"/>
  <c r="B545" i="2"/>
  <c r="AO544" i="2"/>
  <c r="AM544" i="2"/>
  <c r="AK544" i="2"/>
  <c r="AE544" i="2"/>
  <c r="B544" i="2"/>
  <c r="AO543" i="2"/>
  <c r="AM543" i="2"/>
  <c r="AK543" i="2"/>
  <c r="AE543" i="2"/>
  <c r="B543" i="2"/>
  <c r="AM542" i="2"/>
  <c r="AK542" i="2"/>
  <c r="Z542" i="2"/>
  <c r="S542" i="2"/>
  <c r="AO542" i="2" s="1"/>
  <c r="B542" i="2"/>
  <c r="AO541" i="2"/>
  <c r="AM541" i="2"/>
  <c r="AK541" i="2"/>
  <c r="AE541" i="2"/>
  <c r="B541" i="2"/>
  <c r="AM540" i="2"/>
  <c r="AK540" i="2"/>
  <c r="S540" i="2"/>
  <c r="AE540" i="2" s="1"/>
  <c r="B540" i="2"/>
  <c r="AO539" i="2"/>
  <c r="AM539" i="2"/>
  <c r="AK539" i="2"/>
  <c r="AE539" i="2"/>
  <c r="B539" i="2"/>
  <c r="AO538" i="2"/>
  <c r="AM538" i="2"/>
  <c r="AK538" i="2"/>
  <c r="AE538" i="2"/>
  <c r="B538" i="2"/>
  <c r="AO537" i="2"/>
  <c r="AM537" i="2"/>
  <c r="AK537" i="2"/>
  <c r="AE537" i="2"/>
  <c r="B537" i="2"/>
  <c r="AO536" i="2"/>
  <c r="AM536" i="2"/>
  <c r="AK536" i="2"/>
  <c r="AE536" i="2"/>
  <c r="B536" i="2"/>
  <c r="AO535" i="2"/>
  <c r="AM535" i="2"/>
  <c r="AK535" i="2"/>
  <c r="AE535" i="2"/>
  <c r="B535" i="2"/>
  <c r="AO534" i="2"/>
  <c r="AM534" i="2"/>
  <c r="AK534" i="2"/>
  <c r="AE534" i="2"/>
  <c r="B534" i="2"/>
  <c r="AO533" i="2"/>
  <c r="AM533" i="2"/>
  <c r="AK533" i="2"/>
  <c r="AE533" i="2"/>
  <c r="B533" i="2"/>
  <c r="AO532" i="2"/>
  <c r="AM532" i="2"/>
  <c r="AK532" i="2"/>
  <c r="AE532" i="2"/>
  <c r="B532" i="2"/>
  <c r="AO531" i="2"/>
  <c r="AM531" i="2"/>
  <c r="AK531" i="2"/>
  <c r="AE531" i="2"/>
  <c r="B531" i="2"/>
  <c r="AO530" i="2"/>
  <c r="AM530" i="2"/>
  <c r="AK530" i="2"/>
  <c r="AE530" i="2"/>
  <c r="B530" i="2"/>
  <c r="AO529" i="2"/>
  <c r="AM529" i="2"/>
  <c r="AK529" i="2"/>
  <c r="AE529" i="2"/>
  <c r="B529" i="2"/>
  <c r="AO528" i="2"/>
  <c r="AM528" i="2"/>
  <c r="AK528" i="2"/>
  <c r="AE528" i="2"/>
  <c r="B528" i="2"/>
  <c r="AO527" i="2"/>
  <c r="AM527" i="2"/>
  <c r="AK527" i="2"/>
  <c r="AE527" i="2"/>
  <c r="B527" i="2"/>
  <c r="AO526" i="2"/>
  <c r="AM526" i="2"/>
  <c r="AK526" i="2"/>
  <c r="AE526" i="2"/>
  <c r="B526" i="2"/>
  <c r="AO525" i="2"/>
  <c r="AM525" i="2"/>
  <c r="AK525" i="2"/>
  <c r="AE525" i="2"/>
  <c r="B525" i="2"/>
  <c r="AO524" i="2"/>
  <c r="AM524" i="2"/>
  <c r="AK524" i="2"/>
  <c r="AE524" i="2"/>
  <c r="B524" i="2"/>
  <c r="AO523" i="2"/>
  <c r="AM523" i="2"/>
  <c r="AK523" i="2"/>
  <c r="AE523" i="2"/>
  <c r="B523" i="2"/>
  <c r="AO522" i="2"/>
  <c r="AM522" i="2"/>
  <c r="AK522" i="2"/>
  <c r="AE522" i="2"/>
  <c r="B522" i="2"/>
  <c r="AO521" i="2"/>
  <c r="AM521" i="2"/>
  <c r="AK521" i="2"/>
  <c r="AE521" i="2"/>
  <c r="B521" i="2"/>
  <c r="AO520" i="2"/>
  <c r="AM520" i="2"/>
  <c r="AK520" i="2"/>
  <c r="AE520" i="2"/>
  <c r="B520" i="2"/>
  <c r="AO519" i="2"/>
  <c r="AM519" i="2"/>
  <c r="AK519" i="2"/>
  <c r="AE519" i="2"/>
  <c r="B519" i="2"/>
  <c r="AO518" i="2"/>
  <c r="AM518" i="2"/>
  <c r="AK518" i="2"/>
  <c r="AE518" i="2"/>
  <c r="B518" i="2"/>
  <c r="AO517" i="2"/>
  <c r="AM517" i="2"/>
  <c r="AK517" i="2"/>
  <c r="AE517" i="2"/>
  <c r="B517" i="2"/>
  <c r="AO516" i="2"/>
  <c r="AM516" i="2"/>
  <c r="AK516" i="2"/>
  <c r="AE516" i="2"/>
  <c r="B516" i="2"/>
  <c r="AO515" i="2"/>
  <c r="AM515" i="2"/>
  <c r="AK515" i="2"/>
  <c r="AE515" i="2"/>
  <c r="B515" i="2"/>
  <c r="AO514" i="2"/>
  <c r="AM514" i="2"/>
  <c r="AK514" i="2"/>
  <c r="AE514" i="2"/>
  <c r="B514" i="2"/>
  <c r="AO513" i="2"/>
  <c r="AM513" i="2"/>
  <c r="AK513" i="2"/>
  <c r="AE513" i="2"/>
  <c r="B513" i="2"/>
  <c r="AO512" i="2"/>
  <c r="AM512" i="2"/>
  <c r="AK512" i="2"/>
  <c r="AE512" i="2"/>
  <c r="B512" i="2"/>
  <c r="AO511" i="2"/>
  <c r="AM511" i="2"/>
  <c r="AK511" i="2"/>
  <c r="AE511" i="2"/>
  <c r="B511" i="2"/>
  <c r="AO510" i="2"/>
  <c r="AM510" i="2"/>
  <c r="AK510" i="2"/>
  <c r="AE510" i="2"/>
  <c r="B510" i="2"/>
  <c r="AO509" i="2"/>
  <c r="AM509" i="2"/>
  <c r="AK509" i="2"/>
  <c r="AE509" i="2"/>
  <c r="B509" i="2"/>
  <c r="AO508" i="2"/>
  <c r="AM508" i="2"/>
  <c r="AK508" i="2"/>
  <c r="AE508" i="2"/>
  <c r="B508" i="2"/>
  <c r="AO507" i="2"/>
  <c r="AM507" i="2"/>
  <c r="AK507" i="2"/>
  <c r="AE507" i="2"/>
  <c r="B507" i="2"/>
  <c r="AO506" i="2"/>
  <c r="AM506" i="2"/>
  <c r="AK506" i="2"/>
  <c r="AE506" i="2"/>
  <c r="B506" i="2"/>
  <c r="AO505" i="2"/>
  <c r="AM505" i="2"/>
  <c r="AK505" i="2"/>
  <c r="AE505" i="2"/>
  <c r="B505" i="2"/>
  <c r="AO504" i="2"/>
  <c r="AM504" i="2"/>
  <c r="AK504" i="2"/>
  <c r="AE504" i="2"/>
  <c r="B504" i="2"/>
  <c r="AO503" i="2"/>
  <c r="AM503" i="2"/>
  <c r="AK503" i="2"/>
  <c r="AE503" i="2"/>
  <c r="B503" i="2"/>
  <c r="AO502" i="2"/>
  <c r="AM502" i="2"/>
  <c r="AK502" i="2"/>
  <c r="AE502" i="2"/>
  <c r="B502" i="2"/>
  <c r="AO501" i="2"/>
  <c r="AM501" i="2"/>
  <c r="AK501" i="2"/>
  <c r="AE501" i="2"/>
  <c r="B501" i="2"/>
  <c r="AM500" i="2"/>
  <c r="AK500" i="2"/>
  <c r="S500" i="2"/>
  <c r="AO500" i="2" s="1"/>
  <c r="B500" i="2"/>
  <c r="AO499" i="2"/>
  <c r="AM499" i="2"/>
  <c r="AK499" i="2"/>
  <c r="AE499" i="2"/>
  <c r="B499" i="2"/>
  <c r="AM498" i="2"/>
  <c r="AK498" i="2"/>
  <c r="S498" i="2"/>
  <c r="AE498" i="2" s="1"/>
  <c r="B498" i="2"/>
  <c r="AM497" i="2"/>
  <c r="AK497" i="2"/>
  <c r="S497" i="2"/>
  <c r="AE497" i="2" s="1"/>
  <c r="B497" i="2"/>
  <c r="AM496" i="2"/>
  <c r="AK496" i="2"/>
  <c r="S496" i="2"/>
  <c r="AE496" i="2" s="1"/>
  <c r="B496" i="2"/>
  <c r="AM495" i="2"/>
  <c r="AK495" i="2"/>
  <c r="S495" i="2"/>
  <c r="AO495" i="2" s="1"/>
  <c r="B495" i="2"/>
  <c r="AM494" i="2"/>
  <c r="AK494" i="2"/>
  <c r="S494" i="2"/>
  <c r="AO494" i="2" s="1"/>
  <c r="B494" i="2"/>
  <c r="AO493" i="2"/>
  <c r="AM493" i="2"/>
  <c r="AK493" i="2"/>
  <c r="AE493" i="2"/>
  <c r="B493" i="2"/>
  <c r="AM492" i="2"/>
  <c r="AK492" i="2"/>
  <c r="S492" i="2"/>
  <c r="AE492" i="2" s="1"/>
  <c r="B492" i="2"/>
  <c r="AM491" i="2"/>
  <c r="AK491" i="2"/>
  <c r="S491" i="2"/>
  <c r="AO491" i="2" s="1"/>
  <c r="B491" i="2"/>
  <c r="AN1044" i="2" l="1"/>
  <c r="AE1044" i="2"/>
  <c r="AE947" i="2"/>
  <c r="AE946" i="2"/>
  <c r="AE931" i="2"/>
  <c r="AO831" i="2"/>
  <c r="AE846" i="2"/>
  <c r="AE941" i="2"/>
  <c r="AE945" i="2"/>
  <c r="AO830" i="2"/>
  <c r="AE602" i="2"/>
  <c r="AE912" i="2"/>
  <c r="AE937" i="2"/>
  <c r="AO980" i="2"/>
  <c r="AE1022" i="2"/>
  <c r="AE711" i="2"/>
  <c r="AE847" i="2"/>
  <c r="AE1020" i="2"/>
  <c r="AE692" i="2"/>
  <c r="AE833" i="2"/>
  <c r="AE981" i="2"/>
  <c r="AO492" i="2"/>
  <c r="AE494" i="2"/>
  <c r="AO911" i="2"/>
  <c r="AE927" i="2"/>
  <c r="AE938" i="2"/>
  <c r="AN1002" i="2"/>
  <c r="AE1002" i="2"/>
  <c r="AN1040" i="2"/>
  <c r="AE1040" i="2"/>
  <c r="AO963" i="2"/>
  <c r="Q1086" i="2"/>
  <c r="AE588" i="2"/>
  <c r="AE851" i="2"/>
  <c r="AE854" i="2"/>
  <c r="AE955" i="2"/>
  <c r="AO958" i="2"/>
  <c r="AO971" i="2"/>
  <c r="AE585" i="2"/>
  <c r="AE1060" i="2"/>
  <c r="AO919" i="2"/>
  <c r="AE836" i="2"/>
  <c r="AO839" i="2"/>
  <c r="AO966" i="2"/>
  <c r="AO608" i="2"/>
  <c r="AO916" i="2"/>
  <c r="AO950" i="2"/>
  <c r="AO974" i="2"/>
  <c r="AO985" i="2"/>
  <c r="AE1006" i="2"/>
  <c r="AE1024" i="2"/>
  <c r="AE996" i="2"/>
  <c r="AN996" i="2"/>
  <c r="AN1000" i="2"/>
  <c r="AE1000" i="2"/>
  <c r="AE1076" i="2"/>
  <c r="AN1076" i="2"/>
  <c r="AN1016" i="2"/>
  <c r="AE1016" i="2"/>
  <c r="AN1056" i="2"/>
  <c r="AE1056" i="2"/>
  <c r="AN1091" i="2"/>
  <c r="AE1091" i="2"/>
  <c r="AN1004" i="2"/>
  <c r="AE1004" i="2"/>
  <c r="AN1028" i="2"/>
  <c r="AE1028" i="2"/>
  <c r="AN1095" i="2"/>
  <c r="AE1095" i="2"/>
  <c r="AN1042" i="2"/>
  <c r="AE1042" i="2"/>
  <c r="AN1048" i="2"/>
  <c r="AE1048" i="2"/>
  <c r="AN1036" i="2"/>
  <c r="AE1036" i="2"/>
  <c r="AO498" i="2"/>
  <c r="AE500" i="2"/>
  <c r="AE607" i="2"/>
  <c r="AE824" i="2"/>
  <c r="AE838" i="2"/>
  <c r="AE924" i="2"/>
  <c r="AE984" i="2"/>
  <c r="AE1062" i="2"/>
  <c r="Z1085" i="2"/>
  <c r="AE601" i="2"/>
  <c r="AO497" i="2"/>
  <c r="AE604" i="2"/>
  <c r="AE915" i="2"/>
  <c r="AE923" i="2"/>
  <c r="AE954" i="2"/>
  <c r="AE962" i="2"/>
  <c r="AE970" i="2"/>
  <c r="AE978" i="2"/>
  <c r="AE1074" i="2"/>
  <c r="AE542" i="2"/>
  <c r="AE598" i="2"/>
  <c r="AE850" i="2"/>
  <c r="AE1032" i="2"/>
  <c r="AE584" i="2"/>
  <c r="AE920" i="2"/>
  <c r="AE951" i="2"/>
  <c r="AE959" i="2"/>
  <c r="AE967" i="2"/>
  <c r="AE975" i="2"/>
  <c r="AE988" i="2"/>
  <c r="AN1068" i="2"/>
  <c r="Q1080" i="2"/>
  <c r="Q1084" i="2"/>
  <c r="AN1117" i="2"/>
  <c r="AE934" i="2"/>
  <c r="Z1088" i="2"/>
  <c r="AE1012" i="2"/>
  <c r="AE1052" i="2"/>
  <c r="AE1067" i="2"/>
  <c r="AN1026" i="2"/>
  <c r="AE1026" i="2"/>
  <c r="AN1073" i="2"/>
  <c r="AE1073" i="2"/>
  <c r="AH1089" i="2"/>
  <c r="AL1089" i="2" s="1"/>
  <c r="AN1089" i="2" s="1"/>
  <c r="AE993" i="2"/>
  <c r="AN993" i="2"/>
  <c r="AN1038" i="2"/>
  <c r="AE1038" i="2"/>
  <c r="AE1069" i="2"/>
  <c r="AN1069" i="2"/>
  <c r="AE1094" i="2"/>
  <c r="AN1094" i="2"/>
  <c r="AN1065" i="2"/>
  <c r="AE1065" i="2"/>
  <c r="AE1078" i="2"/>
  <c r="AN1078" i="2"/>
  <c r="AE991" i="2"/>
  <c r="AN991" i="2"/>
  <c r="AE994" i="2"/>
  <c r="AN994" i="2"/>
  <c r="AN1034" i="2"/>
  <c r="AE1034" i="2"/>
  <c r="AE1070" i="2"/>
  <c r="AN1070" i="2"/>
  <c r="AN1018" i="2"/>
  <c r="AE1018" i="2"/>
  <c r="AN1058" i="2"/>
  <c r="AE1058" i="2"/>
  <c r="AH1071" i="2"/>
  <c r="AL1071" i="2" s="1"/>
  <c r="AN1071" i="2" s="1"/>
  <c r="AN995" i="2"/>
  <c r="AE995" i="2"/>
  <c r="AE997" i="2"/>
  <c r="AN997" i="2"/>
  <c r="AN1008" i="2"/>
  <c r="AE1008" i="2"/>
  <c r="AN1046" i="2"/>
  <c r="AE1046" i="2"/>
  <c r="AM1110" i="2"/>
  <c r="AN1110" i="2" s="1"/>
  <c r="AE1030" i="2"/>
  <c r="AN1030" i="2"/>
  <c r="AE1093" i="2"/>
  <c r="AN1093" i="2"/>
  <c r="AN1050" i="2"/>
  <c r="AE1050" i="2"/>
  <c r="AN1014" i="2"/>
  <c r="AE1014" i="2"/>
  <c r="AN1054" i="2"/>
  <c r="AE1054" i="2"/>
  <c r="AN1075" i="2"/>
  <c r="AE1075" i="2"/>
  <c r="AE1077" i="2"/>
  <c r="AN1077" i="2"/>
  <c r="AN1001" i="2"/>
  <c r="AN1005" i="2"/>
  <c r="AN1009" i="2"/>
  <c r="AN1011" i="2"/>
  <c r="AN1015" i="2"/>
  <c r="AN1019" i="2"/>
  <c r="AN1023" i="2"/>
  <c r="AN1027" i="2"/>
  <c r="AN1031" i="2"/>
  <c r="AN1035" i="2"/>
  <c r="AN1039" i="2"/>
  <c r="AN1043" i="2"/>
  <c r="AN1047" i="2"/>
  <c r="AN1051" i="2"/>
  <c r="AN1055" i="2"/>
  <c r="AN1059" i="2"/>
  <c r="AN1066" i="2"/>
  <c r="Z1081" i="2"/>
  <c r="Z1087" i="2"/>
  <c r="AN1090" i="2"/>
  <c r="AM1109" i="2"/>
  <c r="AN1109" i="2" s="1"/>
  <c r="AE999" i="2"/>
  <c r="AE1003" i="2"/>
  <c r="AE1007" i="2"/>
  <c r="AE1013" i="2"/>
  <c r="AE1017" i="2"/>
  <c r="AE1021" i="2"/>
  <c r="AE1025" i="2"/>
  <c r="AE1029" i="2"/>
  <c r="AE1033" i="2"/>
  <c r="AE1037" i="2"/>
  <c r="AE1041" i="2"/>
  <c r="AE1045" i="2"/>
  <c r="AE1049" i="2"/>
  <c r="AE1053" i="2"/>
  <c r="AE1057" i="2"/>
  <c r="AE1061" i="2"/>
  <c r="AE1064" i="2"/>
  <c r="AE1072" i="2"/>
  <c r="AE998" i="2"/>
  <c r="AE1063" i="2"/>
  <c r="AM1097" i="2"/>
  <c r="AN1097" i="2" s="1"/>
  <c r="AE495" i="2"/>
  <c r="AE491" i="2"/>
  <c r="AO496" i="2"/>
  <c r="AO540" i="2"/>
  <c r="AE583" i="2"/>
  <c r="AE590" i="2"/>
  <c r="AO600" i="2"/>
  <c r="AE606" i="2"/>
  <c r="AE674" i="2"/>
  <c r="AE823" i="2"/>
  <c r="AE829" i="2"/>
  <c r="AO835" i="2"/>
  <c r="AO845" i="2"/>
  <c r="AO849" i="2"/>
  <c r="AE855" i="2"/>
  <c r="AE914" i="2"/>
  <c r="AE918" i="2"/>
  <c r="AE922" i="2"/>
  <c r="AE926" i="2"/>
  <c r="AE930" i="2"/>
  <c r="AO936" i="2"/>
  <c r="AO940" i="2"/>
  <c r="AO944" i="2"/>
  <c r="AO949" i="2"/>
  <c r="AO953" i="2"/>
  <c r="AO957" i="2"/>
  <c r="AO961" i="2"/>
  <c r="AO965" i="2"/>
  <c r="AO969" i="2"/>
  <c r="AO973" i="2"/>
  <c r="AO977" i="2"/>
  <c r="AE983" i="2"/>
  <c r="AE987" i="2"/>
  <c r="AE582" i="2"/>
  <c r="AE589" i="2"/>
  <c r="AO599" i="2"/>
  <c r="AE605" i="2"/>
  <c r="AO610" i="2"/>
  <c r="AE822" i="2"/>
  <c r="AE832" i="2"/>
  <c r="AO834" i="2"/>
  <c r="AE840" i="2"/>
  <c r="AO844" i="2"/>
  <c r="AO848" i="2"/>
  <c r="AE913" i="2"/>
  <c r="AE917" i="2"/>
  <c r="AE921" i="2"/>
  <c r="AE925" i="2"/>
  <c r="AE929" i="2"/>
  <c r="AE933" i="2"/>
  <c r="AO935" i="2"/>
  <c r="AO939" i="2"/>
  <c r="AO943" i="2"/>
  <c r="AO948" i="2"/>
  <c r="AO952" i="2"/>
  <c r="AO956" i="2"/>
  <c r="AO960" i="2"/>
  <c r="AO964" i="2"/>
  <c r="AO968" i="2"/>
  <c r="AO972" i="2"/>
  <c r="AO976" i="2"/>
  <c r="AE982" i="2"/>
  <c r="AE986" i="2"/>
  <c r="AE900" i="2"/>
  <c r="AE901" i="2"/>
  <c r="AE928" i="2"/>
  <c r="AE932" i="2"/>
  <c r="AE989" i="2"/>
  <c r="AE1089" i="2" l="1"/>
  <c r="AE1071" i="2"/>
  <c r="AM490" i="2"/>
  <c r="AE490" i="2"/>
  <c r="Q490" i="2"/>
  <c r="AM489" i="2"/>
  <c r="S489" i="2"/>
  <c r="AE489" i="2" s="1"/>
  <c r="S488" i="2"/>
  <c r="AE488" i="2" s="1"/>
  <c r="S487" i="2"/>
  <c r="AE487" i="2" s="1"/>
  <c r="AE486" i="2"/>
  <c r="Q486" i="2"/>
  <c r="AE485" i="2"/>
  <c r="Q485" i="2"/>
  <c r="AE484" i="2"/>
  <c r="Q484" i="2"/>
  <c r="AM483" i="2"/>
  <c r="AE483" i="2"/>
  <c r="Q483" i="2"/>
  <c r="AM482" i="2"/>
  <c r="AE482" i="2"/>
  <c r="AM481" i="2"/>
  <c r="AE481" i="2"/>
  <c r="AM480" i="2"/>
  <c r="AE480" i="2"/>
  <c r="AM479" i="2"/>
  <c r="S479" i="2"/>
  <c r="Q479" i="2" s="1"/>
  <c r="AM478" i="2"/>
  <c r="S478" i="2"/>
  <c r="AE478" i="2" s="1"/>
  <c r="AM477" i="2"/>
  <c r="AE477" i="2"/>
  <c r="AM476" i="2"/>
  <c r="AE476" i="2"/>
  <c r="AM475" i="2"/>
  <c r="AE475" i="2"/>
  <c r="AM474" i="2"/>
  <c r="S474" i="2"/>
  <c r="AE474" i="2" s="1"/>
  <c r="AM473" i="2"/>
  <c r="Z473" i="2"/>
  <c r="S473" i="2"/>
  <c r="Q473" i="2"/>
  <c r="AM472" i="2"/>
  <c r="S472" i="2"/>
  <c r="AE472" i="2" s="1"/>
  <c r="AM471" i="2"/>
  <c r="AE471" i="2"/>
  <c r="Q471" i="2"/>
  <c r="AM470" i="2"/>
  <c r="AE470" i="2"/>
  <c r="AM469" i="2"/>
  <c r="S469" i="2"/>
  <c r="AE469" i="2" s="1"/>
  <c r="AM468" i="2"/>
  <c r="S468" i="2"/>
  <c r="AE468" i="2" s="1"/>
  <c r="AM467" i="2"/>
  <c r="S467" i="2"/>
  <c r="Q467" i="2" s="1"/>
  <c r="AM466" i="2"/>
  <c r="AE466" i="2"/>
  <c r="AM465" i="2"/>
  <c r="S465" i="2"/>
  <c r="AE465" i="2" s="1"/>
  <c r="AM464" i="2"/>
  <c r="S464" i="2"/>
  <c r="AE464" i="2" s="1"/>
  <c r="AM463" i="2"/>
  <c r="S463" i="2"/>
  <c r="AE463" i="2" s="1"/>
  <c r="AM462" i="2"/>
  <c r="S462" i="2"/>
  <c r="Q462" i="2" s="1"/>
  <c r="AM461" i="2"/>
  <c r="S461" i="2"/>
  <c r="AE461" i="2" s="1"/>
  <c r="AM460" i="2"/>
  <c r="S460" i="2"/>
  <c r="AE460" i="2" s="1"/>
  <c r="AM459" i="2"/>
  <c r="AE459" i="2"/>
  <c r="AM458" i="2"/>
  <c r="AE458" i="2"/>
  <c r="AM457" i="2"/>
  <c r="S457" i="2"/>
  <c r="AE457" i="2" s="1"/>
  <c r="AM456" i="2"/>
  <c r="AE456" i="2"/>
  <c r="AM455" i="2"/>
  <c r="AE455" i="2"/>
  <c r="AM454" i="2"/>
  <c r="AE454" i="2"/>
  <c r="AM453" i="2"/>
  <c r="S453" i="2"/>
  <c r="AE453" i="2" s="1"/>
  <c r="AM452" i="2"/>
  <c r="AE452" i="2"/>
  <c r="AM451" i="2"/>
  <c r="AE451" i="2"/>
  <c r="AM450" i="2"/>
  <c r="AE450" i="2"/>
  <c r="A450" i="2"/>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M449" i="2"/>
  <c r="AE449" i="2"/>
  <c r="Q461" i="2" l="1"/>
  <c r="Q488" i="2"/>
  <c r="Q487" i="2"/>
  <c r="AE462" i="2"/>
  <c r="Q489" i="2"/>
  <c r="AE473" i="2"/>
  <c r="Q478" i="2"/>
  <c r="AE479" i="2"/>
  <c r="AE467" i="2"/>
  <c r="S448" i="2" l="1"/>
  <c r="AM447" i="2"/>
  <c r="AD447" i="2"/>
  <c r="Z447" i="2"/>
  <c r="S447" i="2"/>
  <c r="AM446" i="2"/>
  <c r="AM445" i="2"/>
  <c r="S445" i="2"/>
  <c r="Q445" i="2" s="1"/>
  <c r="AM444" i="2"/>
  <c r="S444" i="2"/>
  <c r="AE444" i="2" s="1"/>
  <c r="AM443" i="2"/>
  <c r="S443" i="2"/>
  <c r="AE443" i="2" s="1"/>
  <c r="AM442" i="2"/>
  <c r="AE442" i="2"/>
  <c r="AM441" i="2"/>
  <c r="AE441" i="2"/>
  <c r="AM440" i="2"/>
  <c r="AE440" i="2"/>
  <c r="AM439" i="2"/>
  <c r="AE439" i="2"/>
  <c r="AM438" i="2"/>
  <c r="S438" i="2"/>
  <c r="AE438" i="2" s="1"/>
  <c r="AM437" i="2"/>
  <c r="AE437" i="2"/>
  <c r="AM436" i="2"/>
  <c r="AE436" i="2"/>
  <c r="Z435" i="2" l="1"/>
  <c r="S435" i="2"/>
  <c r="Q425" i="2"/>
  <c r="Q424" i="2"/>
  <c r="Q423" i="2"/>
  <c r="Q422" i="2"/>
  <c r="Z421" i="2"/>
  <c r="S421" i="2"/>
  <c r="Q421" i="2" s="1"/>
  <c r="Q420" i="2"/>
  <c r="S419" i="2"/>
  <c r="Q419" i="2" s="1"/>
  <c r="S418" i="2"/>
  <c r="S417" i="2"/>
  <c r="AM416" i="2"/>
  <c r="S415" i="2"/>
  <c r="S414" i="2"/>
  <c r="S413" i="2"/>
  <c r="S412" i="2"/>
  <c r="S408" i="2"/>
  <c r="S407" i="2"/>
  <c r="S406" i="2"/>
  <c r="S405" i="2"/>
  <c r="S404" i="2"/>
  <c r="S403" i="2"/>
  <c r="S402" i="2"/>
  <c r="S401" i="2"/>
  <c r="AM400" i="2"/>
  <c r="AN400" i="2" s="1"/>
  <c r="AM397" i="2"/>
  <c r="AN397" i="2" s="1"/>
  <c r="AM396" i="2"/>
  <c r="AN396" i="2" s="1"/>
  <c r="AM395" i="2"/>
  <c r="AN395" i="2" s="1"/>
  <c r="AM394" i="2"/>
  <c r="AN394" i="2" s="1"/>
  <c r="AM393" i="2"/>
  <c r="AN393" i="2" s="1"/>
  <c r="AM392" i="2"/>
  <c r="AN392" i="2" s="1"/>
  <c r="AM391" i="2"/>
  <c r="AN391" i="2" s="1"/>
  <c r="AM390" i="2"/>
  <c r="AN390" i="2" s="1"/>
  <c r="S389" i="2"/>
  <c r="AM386" i="2"/>
  <c r="AN386" i="2" s="1"/>
  <c r="AM384" i="2"/>
  <c r="AN384" i="2" s="1"/>
  <c r="S383" i="2"/>
  <c r="AM381" i="2"/>
  <c r="AL381" i="2"/>
  <c r="AM380" i="2"/>
  <c r="AN380" i="2" s="1"/>
  <c r="S380" i="2"/>
  <c r="AM379" i="2"/>
  <c r="AN379" i="2" s="1"/>
  <c r="AM378" i="2"/>
  <c r="AN378" i="2" s="1"/>
  <c r="AM377" i="2"/>
  <c r="AN377" i="2" s="1"/>
  <c r="S376" i="2"/>
  <c r="AM375" i="2"/>
  <c r="AN375" i="2" s="1"/>
  <c r="S374" i="2"/>
  <c r="AM370" i="2"/>
  <c r="AN370" i="2" s="1"/>
  <c r="AM368" i="2"/>
  <c r="AN368" i="2" s="1"/>
  <c r="S367" i="2"/>
  <c r="S366" i="2"/>
  <c r="S365" i="2"/>
  <c r="S364" i="2"/>
  <c r="S361" i="2"/>
  <c r="S353" i="2"/>
  <c r="AM348" i="2"/>
  <c r="AL348" i="2"/>
  <c r="S348" i="2"/>
  <c r="AM347" i="2"/>
  <c r="AN347" i="2" s="1"/>
  <c r="S347" i="2"/>
  <c r="AM346" i="2"/>
  <c r="AN346" i="2" s="1"/>
  <c r="AM343" i="2"/>
  <c r="AL343" i="2"/>
  <c r="AM342" i="2"/>
  <c r="AL342" i="2"/>
  <c r="AM341" i="2"/>
  <c r="AN341" i="2" s="1"/>
  <c r="AM340" i="2"/>
  <c r="AL340" i="2"/>
  <c r="AM339" i="2"/>
  <c r="AL339" i="2"/>
  <c r="AM338" i="2"/>
  <c r="AL338" i="2"/>
  <c r="AN338" i="2" s="1"/>
  <c r="AM337" i="2"/>
  <c r="AL337" i="2"/>
  <c r="AM336" i="2"/>
  <c r="AL336" i="2"/>
  <c r="AM335" i="2"/>
  <c r="AL335" i="2"/>
  <c r="S335" i="2"/>
  <c r="AM334" i="2"/>
  <c r="AL334" i="2"/>
  <c r="AM333" i="2"/>
  <c r="AL333" i="2"/>
  <c r="AM332" i="2"/>
  <c r="AL332" i="2"/>
  <c r="AM331" i="2"/>
  <c r="AL331" i="2"/>
  <c r="AM330" i="2"/>
  <c r="AL330" i="2"/>
  <c r="AM329" i="2"/>
  <c r="AL329" i="2"/>
  <c r="AM328" i="2"/>
  <c r="AL328" i="2"/>
  <c r="S327" i="2"/>
  <c r="AM326" i="2"/>
  <c r="AL326" i="2"/>
  <c r="AM325" i="2"/>
  <c r="AL325" i="2"/>
  <c r="AM324" i="2"/>
  <c r="AL324" i="2"/>
  <c r="AM323" i="2"/>
  <c r="AL323" i="2"/>
  <c r="AM322" i="2"/>
  <c r="AL322" i="2"/>
  <c r="AM321" i="2"/>
  <c r="AL321" i="2"/>
  <c r="AM320" i="2"/>
  <c r="AL320" i="2"/>
  <c r="AM319" i="2"/>
  <c r="AL319" i="2"/>
  <c r="AM318" i="2"/>
  <c r="AL318" i="2"/>
  <c r="AM317" i="2"/>
  <c r="AL317" i="2"/>
  <c r="AM316" i="2"/>
  <c r="AL316" i="2"/>
  <c r="AN315" i="2"/>
  <c r="AM314" i="2"/>
  <c r="AN314" i="2" s="1"/>
  <c r="AM313" i="2"/>
  <c r="AL313" i="2"/>
  <c r="AM312" i="2"/>
  <c r="AL312" i="2"/>
  <c r="AM311" i="2"/>
  <c r="AL311" i="2"/>
  <c r="AM310" i="2"/>
  <c r="AL310" i="2"/>
  <c r="AM309" i="2"/>
  <c r="AL309" i="2"/>
  <c r="AM308" i="2"/>
  <c r="AL308" i="2"/>
  <c r="AM307" i="2"/>
  <c r="AL307" i="2"/>
  <c r="AM306" i="2"/>
  <c r="AL306" i="2"/>
  <c r="AM305" i="2"/>
  <c r="AL305" i="2"/>
  <c r="AM304" i="2"/>
  <c r="AL304" i="2"/>
  <c r="AM303" i="2"/>
  <c r="AN303" i="2" s="1"/>
  <c r="AN302" i="2"/>
  <c r="AM301" i="2"/>
  <c r="AN301" i="2" s="1"/>
  <c r="AM300" i="2"/>
  <c r="AL300" i="2"/>
  <c r="AM299" i="2"/>
  <c r="AL299" i="2"/>
  <c r="AM298" i="2"/>
  <c r="AL298" i="2"/>
  <c r="AM297" i="2"/>
  <c r="AL297" i="2"/>
  <c r="S294" i="2"/>
  <c r="AN311" i="2" l="1"/>
  <c r="AN306" i="2"/>
  <c r="AN310" i="2"/>
  <c r="AN328" i="2"/>
  <c r="AN332" i="2"/>
  <c r="AN308" i="2"/>
  <c r="AN333" i="2"/>
  <c r="AN337" i="2"/>
  <c r="AN298" i="2"/>
  <c r="AN312" i="2"/>
  <c r="AN330" i="2"/>
  <c r="AN334" i="2"/>
  <c r="AN309" i="2"/>
  <c r="AN299" i="2"/>
  <c r="AN304" i="2"/>
  <c r="AN316" i="2"/>
  <c r="AN320" i="2"/>
  <c r="AN343" i="2"/>
  <c r="AN381" i="2"/>
  <c r="AN329" i="2"/>
  <c r="AN339" i="2"/>
  <c r="AN300" i="2"/>
  <c r="AN321" i="2"/>
  <c r="AN325" i="2"/>
  <c r="AN340" i="2"/>
  <c r="AN297" i="2"/>
  <c r="AN331" i="2"/>
  <c r="AN348" i="2"/>
  <c r="AN307" i="2"/>
  <c r="AN319" i="2"/>
  <c r="AN323" i="2"/>
  <c r="AN313" i="2"/>
  <c r="AN318" i="2"/>
  <c r="AN336" i="2"/>
  <c r="AN342" i="2"/>
  <c r="AN322" i="2"/>
  <c r="AN305" i="2"/>
  <c r="AN317" i="2"/>
  <c r="AN324" i="2"/>
  <c r="AN326" i="2"/>
  <c r="AN335" i="2"/>
  <c r="AO292" i="2"/>
  <c r="AM292" i="2"/>
  <c r="AK292" i="2"/>
  <c r="AE292" i="2"/>
  <c r="Q292" i="2"/>
  <c r="AO291" i="2"/>
  <c r="AM291" i="2"/>
  <c r="AK291" i="2"/>
  <c r="AE291" i="2"/>
  <c r="Q291" i="2"/>
  <c r="AO290" i="2"/>
  <c r="AM290" i="2"/>
  <c r="AK290" i="2"/>
  <c r="AE290" i="2"/>
  <c r="Q290" i="2"/>
  <c r="AO289" i="2"/>
  <c r="AM289" i="2"/>
  <c r="AK289" i="2"/>
  <c r="AE289" i="2"/>
  <c r="Q289" i="2"/>
  <c r="AO288" i="2"/>
  <c r="AM288" i="2"/>
  <c r="AK288" i="2"/>
  <c r="AE288" i="2"/>
  <c r="Q288" i="2"/>
  <c r="AO287" i="2"/>
  <c r="AM287" i="2"/>
  <c r="AK287" i="2"/>
  <c r="AE287" i="2"/>
  <c r="Q287" i="2"/>
  <c r="AO286" i="2"/>
  <c r="AM286" i="2"/>
  <c r="AK286" i="2"/>
  <c r="AE286" i="2"/>
  <c r="Q286" i="2"/>
  <c r="AO285" i="2"/>
  <c r="AM285" i="2"/>
  <c r="AK285" i="2"/>
  <c r="AE285" i="2"/>
  <c r="Q285" i="2"/>
  <c r="AO284" i="2"/>
  <c r="AM284" i="2"/>
  <c r="AK284" i="2"/>
  <c r="AE284" i="2"/>
  <c r="Q284" i="2"/>
  <c r="AO283" i="2"/>
  <c r="AM283" i="2"/>
  <c r="AK283" i="2"/>
  <c r="AE283" i="2"/>
  <c r="Q283" i="2"/>
  <c r="AO282" i="2"/>
  <c r="AM282" i="2"/>
  <c r="AK282" i="2"/>
  <c r="AE282" i="2"/>
  <c r="Q282" i="2"/>
  <c r="AO281" i="2"/>
  <c r="AM281" i="2"/>
  <c r="AK281" i="2"/>
  <c r="AE281" i="2"/>
  <c r="Q281" i="2"/>
  <c r="AO280" i="2"/>
  <c r="AM280" i="2"/>
  <c r="AK280" i="2"/>
  <c r="AE280" i="2"/>
  <c r="Q280" i="2"/>
  <c r="AO279" i="2"/>
  <c r="AM279" i="2"/>
  <c r="AK279" i="2"/>
  <c r="AE279" i="2"/>
  <c r="Q279" i="2"/>
  <c r="AO278" i="2"/>
  <c r="AM278" i="2"/>
  <c r="AK278" i="2"/>
  <c r="AE278" i="2"/>
  <c r="Q278" i="2"/>
  <c r="AO277" i="2"/>
  <c r="AM277" i="2"/>
  <c r="AK277" i="2"/>
  <c r="AE277" i="2"/>
  <c r="Q277" i="2"/>
  <c r="AO276" i="2"/>
  <c r="AM276" i="2"/>
  <c r="AK276" i="2"/>
  <c r="AE276" i="2"/>
  <c r="Q276" i="2"/>
  <c r="AO275" i="2"/>
  <c r="AM275" i="2"/>
  <c r="AK275" i="2"/>
  <c r="AE275" i="2"/>
  <c r="Q275" i="2"/>
  <c r="AO274" i="2"/>
  <c r="AM274" i="2"/>
  <c r="AK274" i="2"/>
  <c r="AE274" i="2"/>
  <c r="Q274" i="2"/>
  <c r="AO273" i="2"/>
  <c r="AM273" i="2"/>
  <c r="AK273" i="2"/>
  <c r="AE273" i="2"/>
  <c r="Q273" i="2"/>
  <c r="AO272" i="2"/>
  <c r="AM272" i="2"/>
  <c r="AK272" i="2"/>
  <c r="AE272" i="2"/>
  <c r="Q272" i="2"/>
  <c r="AO271" i="2"/>
  <c r="AM271" i="2"/>
  <c r="AK271" i="2"/>
  <c r="AE271" i="2"/>
  <c r="Q271" i="2"/>
  <c r="AO270" i="2"/>
  <c r="AM270" i="2"/>
  <c r="AK270" i="2"/>
  <c r="AE270" i="2"/>
  <c r="Q270" i="2"/>
  <c r="AO269" i="2"/>
  <c r="AM269" i="2"/>
  <c r="AK269" i="2"/>
  <c r="AE269" i="2"/>
  <c r="Q269" i="2"/>
  <c r="AO268" i="2"/>
  <c r="AM268" i="2"/>
  <c r="AK268" i="2"/>
  <c r="AE268" i="2"/>
  <c r="Q268" i="2"/>
  <c r="AO267" i="2"/>
  <c r="AM267" i="2"/>
  <c r="AK267" i="2"/>
  <c r="AE267" i="2"/>
  <c r="Q267" i="2"/>
  <c r="AO266" i="2"/>
  <c r="AM266" i="2"/>
  <c r="AK266" i="2"/>
  <c r="AE266" i="2"/>
  <c r="Q266" i="2"/>
  <c r="AM265" i="2"/>
  <c r="AK265" i="2"/>
  <c r="S265" i="2"/>
  <c r="Q265" i="2" s="1"/>
  <c r="A265" i="2"/>
  <c r="A266" i="2" s="1"/>
  <c r="AM264" i="2"/>
  <c r="AK264" i="2"/>
  <c r="S264" i="2"/>
  <c r="Q264" i="2" s="1"/>
  <c r="B264" i="2"/>
  <c r="AM263" i="2"/>
  <c r="AK263" i="2"/>
  <c r="S263" i="2"/>
  <c r="AO263" i="2" s="1"/>
  <c r="A263" i="2"/>
  <c r="B263" i="2" s="1"/>
  <c r="AO262" i="2"/>
  <c r="AM262" i="2"/>
  <c r="AK262" i="2"/>
  <c r="AE262" i="2"/>
  <c r="AM261" i="2"/>
  <c r="AK261" i="2"/>
  <c r="S261" i="2"/>
  <c r="AE261" i="2" s="1"/>
  <c r="AM260" i="2"/>
  <c r="AK260" i="2"/>
  <c r="S260" i="2"/>
  <c r="AE260" i="2" s="1"/>
  <c r="AM259" i="2"/>
  <c r="AK259" i="2"/>
  <c r="S259" i="2"/>
  <c r="AE259" i="2" s="1"/>
  <c r="AO258" i="2"/>
  <c r="AM258" i="2"/>
  <c r="AK258" i="2"/>
  <c r="AE258" i="2"/>
  <c r="Q258" i="2"/>
  <c r="AO257" i="2"/>
  <c r="AM257" i="2"/>
  <c r="AK257" i="2"/>
  <c r="AE257" i="2"/>
  <c r="Q257" i="2"/>
  <c r="AO256" i="2"/>
  <c r="AM256" i="2"/>
  <c r="AK256" i="2"/>
  <c r="AE256" i="2"/>
  <c r="Q256" i="2"/>
  <c r="AM255" i="2"/>
  <c r="AK255" i="2"/>
  <c r="S255" i="2"/>
  <c r="AO255" i="2" s="1"/>
  <c r="AM254" i="2"/>
  <c r="AK254" i="2"/>
  <c r="S254" i="2"/>
  <c r="AO254" i="2" s="1"/>
  <c r="AM253" i="2"/>
  <c r="AK253" i="2"/>
  <c r="S253" i="2"/>
  <c r="AO253" i="2" s="1"/>
  <c r="AM252" i="2"/>
  <c r="AK252" i="2"/>
  <c r="S252" i="2"/>
  <c r="AO252" i="2" s="1"/>
  <c r="AM251" i="2"/>
  <c r="AK251" i="2"/>
  <c r="S251" i="2"/>
  <c r="AO251" i="2" s="1"/>
  <c r="AM250" i="2"/>
  <c r="AK250" i="2"/>
  <c r="S250" i="2"/>
  <c r="AO250" i="2" s="1"/>
  <c r="AO249" i="2"/>
  <c r="AM249" i="2"/>
  <c r="AK249" i="2"/>
  <c r="AE249" i="2"/>
  <c r="Q249" i="2"/>
  <c r="AO248" i="2"/>
  <c r="AM248" i="2"/>
  <c r="AK248" i="2"/>
  <c r="AE248" i="2"/>
  <c r="Q248" i="2"/>
  <c r="AO247" i="2"/>
  <c r="AM247" i="2"/>
  <c r="AK247" i="2"/>
  <c r="AE247" i="2"/>
  <c r="Q247" i="2"/>
  <c r="AO246" i="2"/>
  <c r="AM246" i="2"/>
  <c r="AK246" i="2"/>
  <c r="AE246" i="2"/>
  <c r="Q246" i="2"/>
  <c r="AM245" i="2"/>
  <c r="AK245" i="2"/>
  <c r="S245" i="2"/>
  <c r="AE245" i="2" s="1"/>
  <c r="AM244" i="2"/>
  <c r="AK244" i="2"/>
  <c r="S244" i="2"/>
  <c r="AE244" i="2" s="1"/>
  <c r="AM243" i="2"/>
  <c r="AK243" i="2"/>
  <c r="S243" i="2"/>
  <c r="AE243" i="2" s="1"/>
  <c r="AM242" i="2"/>
  <c r="AK242" i="2"/>
  <c r="S242" i="2"/>
  <c r="AE242" i="2" s="1"/>
  <c r="AM241" i="2"/>
  <c r="AK241" i="2"/>
  <c r="S241" i="2"/>
  <c r="AE241" i="2" s="1"/>
  <c r="AM240" i="2"/>
  <c r="AK240" i="2"/>
  <c r="S240" i="2"/>
  <c r="AE240" i="2" s="1"/>
  <c r="AM239" i="2"/>
  <c r="AK239" i="2"/>
  <c r="S239" i="2"/>
  <c r="AE239" i="2" s="1"/>
  <c r="AM238" i="2"/>
  <c r="AK238" i="2"/>
  <c r="S238" i="2"/>
  <c r="AE238" i="2" s="1"/>
  <c r="AO237" i="2"/>
  <c r="AM237" i="2"/>
  <c r="AK237" i="2"/>
  <c r="AE237" i="2"/>
  <c r="Q237" i="2"/>
  <c r="AO236" i="2"/>
  <c r="AM236" i="2"/>
  <c r="AK236" i="2"/>
  <c r="AE236" i="2"/>
  <c r="Q236" i="2"/>
  <c r="AO235" i="2"/>
  <c r="AM235" i="2"/>
  <c r="AK235" i="2"/>
  <c r="AE235" i="2"/>
  <c r="Q235" i="2"/>
  <c r="AO234" i="2"/>
  <c r="AM234" i="2"/>
  <c r="AK234" i="2"/>
  <c r="AE234" i="2"/>
  <c r="Q234" i="2"/>
  <c r="AH233" i="2"/>
  <c r="AD233" i="2"/>
  <c r="S233" i="2"/>
  <c r="Q233" i="2" s="1"/>
  <c r="AH232" i="2"/>
  <c r="AM232" i="2" s="1"/>
  <c r="AD232" i="2"/>
  <c r="S232" i="2"/>
  <c r="AH231" i="2"/>
  <c r="AM231" i="2" s="1"/>
  <c r="AD231" i="2"/>
  <c r="S231" i="2"/>
  <c r="Q231" i="2" s="1"/>
  <c r="AH230" i="2"/>
  <c r="AM230" i="2" s="1"/>
  <c r="AD230" i="2"/>
  <c r="S230" i="2"/>
  <c r="Q230" i="2" s="1"/>
  <c r="AO229" i="2"/>
  <c r="AM229" i="2"/>
  <c r="AK229" i="2"/>
  <c r="AE229" i="2"/>
  <c r="Q229" i="2"/>
  <c r="AO228" i="2"/>
  <c r="AM228" i="2"/>
  <c r="AK228" i="2"/>
  <c r="AE228" i="2"/>
  <c r="Q228" i="2"/>
  <c r="AO227" i="2"/>
  <c r="AM227" i="2"/>
  <c r="AK227" i="2"/>
  <c r="AE227" i="2"/>
  <c r="Q227" i="2"/>
  <c r="AO226" i="2"/>
  <c r="AM226" i="2"/>
  <c r="AK226" i="2"/>
  <c r="AE226" i="2"/>
  <c r="Q226" i="2"/>
  <c r="AM225" i="2"/>
  <c r="AK225" i="2"/>
  <c r="S225" i="2"/>
  <c r="AO225" i="2" s="1"/>
  <c r="AM224" i="2"/>
  <c r="AK224" i="2"/>
  <c r="S224" i="2"/>
  <c r="AO224" i="2" s="1"/>
  <c r="AO223" i="2"/>
  <c r="AM223" i="2"/>
  <c r="AK223" i="2"/>
  <c r="AE223" i="2"/>
  <c r="Q223" i="2"/>
  <c r="AO222" i="2"/>
  <c r="AM222" i="2"/>
  <c r="AK222" i="2"/>
  <c r="AE222" i="2"/>
  <c r="Q222" i="2"/>
  <c r="AO221" i="2"/>
  <c r="AM221" i="2"/>
  <c r="AK221" i="2"/>
  <c r="AE221" i="2"/>
  <c r="Q221" i="2"/>
  <c r="AO220" i="2"/>
  <c r="AM220" i="2"/>
  <c r="AK220" i="2"/>
  <c r="AE220" i="2"/>
  <c r="Q220" i="2"/>
  <c r="AO219" i="2"/>
  <c r="AM219" i="2"/>
  <c r="AK219" i="2"/>
  <c r="AE219" i="2"/>
  <c r="Q219" i="2"/>
  <c r="AO218" i="2"/>
  <c r="AM218" i="2"/>
  <c r="AK218" i="2"/>
  <c r="AE218" i="2"/>
  <c r="Q218" i="2"/>
  <c r="AM217" i="2"/>
  <c r="AK217" i="2"/>
  <c r="S217" i="2"/>
  <c r="Q217" i="2" s="1"/>
  <c r="AM216" i="2"/>
  <c r="AK216" i="2"/>
  <c r="S216" i="2"/>
  <c r="Q216" i="2" s="1"/>
  <c r="AO215" i="2"/>
  <c r="AM215" i="2"/>
  <c r="AK215" i="2"/>
  <c r="AE215" i="2"/>
  <c r="Q215" i="2"/>
  <c r="AO214" i="2"/>
  <c r="AM214" i="2"/>
  <c r="AK214" i="2"/>
  <c r="AE214" i="2"/>
  <c r="Q214" i="2"/>
  <c r="AO213" i="2"/>
  <c r="AM213" i="2"/>
  <c r="AK213" i="2"/>
  <c r="AE213" i="2"/>
  <c r="Q213" i="2"/>
  <c r="AO212" i="2"/>
  <c r="AM212" i="2"/>
  <c r="AK212" i="2"/>
  <c r="AE212" i="2"/>
  <c r="Q212" i="2"/>
  <c r="AO211" i="2"/>
  <c r="AM211" i="2"/>
  <c r="AK211" i="2"/>
  <c r="AE211" i="2"/>
  <c r="Q211" i="2"/>
  <c r="AO210" i="2"/>
  <c r="AM210" i="2"/>
  <c r="AK210" i="2"/>
  <c r="AE210" i="2"/>
  <c r="Q210" i="2"/>
  <c r="AO209" i="2"/>
  <c r="AM209" i="2"/>
  <c r="AK209" i="2"/>
  <c r="AE209" i="2"/>
  <c r="Q209" i="2"/>
  <c r="AO208" i="2"/>
  <c r="AM208" i="2"/>
  <c r="AK208" i="2"/>
  <c r="AE208" i="2"/>
  <c r="Q208" i="2"/>
  <c r="AM207" i="2"/>
  <c r="AK207" i="2"/>
  <c r="S207" i="2"/>
  <c r="Q207" i="2" s="1"/>
  <c r="AM206" i="2"/>
  <c r="AK206" i="2"/>
  <c r="S206" i="2"/>
  <c r="Q206" i="2" s="1"/>
  <c r="AM205" i="2"/>
  <c r="AK205" i="2"/>
  <c r="S205" i="2"/>
  <c r="Q205" i="2" s="1"/>
  <c r="AM204" i="2"/>
  <c r="AK204" i="2"/>
  <c r="S204" i="2"/>
  <c r="Q204" i="2" s="1"/>
  <c r="AO203" i="2"/>
  <c r="AM203" i="2"/>
  <c r="AK203" i="2"/>
  <c r="AE203" i="2"/>
  <c r="Q203" i="2"/>
  <c r="AO202" i="2"/>
  <c r="AM202" i="2"/>
  <c r="AK202" i="2"/>
  <c r="AE202" i="2"/>
  <c r="Q202" i="2"/>
  <c r="AO201" i="2"/>
  <c r="AM201" i="2"/>
  <c r="AK201" i="2"/>
  <c r="AE201" i="2"/>
  <c r="Q201" i="2"/>
  <c r="AO200" i="2"/>
  <c r="AM200" i="2"/>
  <c r="AK200" i="2"/>
  <c r="AE200" i="2"/>
  <c r="Q200" i="2"/>
  <c r="AO199" i="2"/>
  <c r="AM199" i="2"/>
  <c r="AK199" i="2"/>
  <c r="AE199" i="2"/>
  <c r="Q199" i="2"/>
  <c r="AO198" i="2"/>
  <c r="AM198" i="2"/>
  <c r="AK198" i="2"/>
  <c r="AE198" i="2"/>
  <c r="Q198" i="2"/>
  <c r="AO197" i="2"/>
  <c r="AM197" i="2"/>
  <c r="AK197" i="2"/>
  <c r="AE197" i="2"/>
  <c r="Q197" i="2"/>
  <c r="AO196" i="2"/>
  <c r="AM196" i="2"/>
  <c r="AK196" i="2"/>
  <c r="AE196" i="2"/>
  <c r="Q196" i="2"/>
  <c r="AO195" i="2"/>
  <c r="AM195" i="2"/>
  <c r="AK195" i="2"/>
  <c r="AE195" i="2"/>
  <c r="Q195" i="2"/>
  <c r="AO194" i="2"/>
  <c r="AM194" i="2"/>
  <c r="AK194" i="2"/>
  <c r="AE194" i="2"/>
  <c r="Q194" i="2"/>
  <c r="AO193" i="2"/>
  <c r="AM193" i="2"/>
  <c r="AK193" i="2"/>
  <c r="AE193" i="2"/>
  <c r="Q193" i="2"/>
  <c r="AO192" i="2"/>
  <c r="AM192" i="2"/>
  <c r="AK192" i="2"/>
  <c r="AE192" i="2"/>
  <c r="Q192" i="2"/>
  <c r="AO191" i="2"/>
  <c r="AM191" i="2"/>
  <c r="AK191" i="2"/>
  <c r="AE191" i="2"/>
  <c r="Q191" i="2"/>
  <c r="AO190" i="2"/>
  <c r="AM190" i="2"/>
  <c r="AK190" i="2"/>
  <c r="AE190" i="2"/>
  <c r="Q190" i="2"/>
  <c r="AO189" i="2"/>
  <c r="AM189" i="2"/>
  <c r="AK189" i="2"/>
  <c r="AE189" i="2"/>
  <c r="Q189" i="2"/>
  <c r="AO188" i="2"/>
  <c r="AM188" i="2"/>
  <c r="AK188" i="2"/>
  <c r="AE188" i="2"/>
  <c r="Q188" i="2"/>
  <c r="AO187" i="2"/>
  <c r="AM187" i="2"/>
  <c r="AK187" i="2"/>
  <c r="AE187" i="2"/>
  <c r="Q187" i="2"/>
  <c r="AO186" i="2"/>
  <c r="AM186" i="2"/>
  <c r="AK186" i="2"/>
  <c r="AE186" i="2"/>
  <c r="Q186" i="2"/>
  <c r="AO185" i="2"/>
  <c r="AM185" i="2"/>
  <c r="AK185" i="2"/>
  <c r="AE185" i="2"/>
  <c r="Q185" i="2"/>
  <c r="AO184" i="2"/>
  <c r="AM184" i="2"/>
  <c r="AK184" i="2"/>
  <c r="AE184" i="2"/>
  <c r="Q184" i="2"/>
  <c r="AO183" i="2"/>
  <c r="AM183" i="2"/>
  <c r="AK183" i="2"/>
  <c r="AE183" i="2"/>
  <c r="Q183" i="2"/>
  <c r="AO182" i="2"/>
  <c r="AM182" i="2"/>
  <c r="AK182" i="2"/>
  <c r="AE182" i="2"/>
  <c r="Q182" i="2"/>
  <c r="AO181" i="2"/>
  <c r="AM181" i="2"/>
  <c r="AK181" i="2"/>
  <c r="AE181" i="2"/>
  <c r="Q181" i="2"/>
  <c r="AO180" i="2"/>
  <c r="AM180" i="2"/>
  <c r="AK180" i="2"/>
  <c r="AE180" i="2"/>
  <c r="Q180" i="2"/>
  <c r="AM179" i="2"/>
  <c r="AK179" i="2"/>
  <c r="S179" i="2"/>
  <c r="Q179" i="2" s="1"/>
  <c r="AM178" i="2"/>
  <c r="AK178" i="2"/>
  <c r="S178" i="2"/>
  <c r="Q178" i="2" s="1"/>
  <c r="AO177" i="2"/>
  <c r="AM177" i="2"/>
  <c r="AK177" i="2"/>
  <c r="AE177" i="2"/>
  <c r="Q177" i="2"/>
  <c r="AO176" i="2"/>
  <c r="AM176" i="2"/>
  <c r="AK176" i="2"/>
  <c r="AE176" i="2"/>
  <c r="Q176" i="2"/>
  <c r="AM175" i="2"/>
  <c r="AK175" i="2"/>
  <c r="S175" i="2"/>
  <c r="AO175" i="2" s="1"/>
  <c r="AM174" i="2"/>
  <c r="AK174" i="2"/>
  <c r="S174" i="2"/>
  <c r="AO174" i="2" s="1"/>
  <c r="AH173" i="2"/>
  <c r="AM173" i="2" s="1"/>
  <c r="AD173" i="2"/>
  <c r="S173" i="2"/>
  <c r="Q173" i="2" s="1"/>
  <c r="AH172" i="2"/>
  <c r="AM172" i="2" s="1"/>
  <c r="AD172" i="2"/>
  <c r="S172" i="2"/>
  <c r="AO171" i="2"/>
  <c r="AM171" i="2"/>
  <c r="AK171" i="2"/>
  <c r="AE171" i="2"/>
  <c r="Q171" i="2"/>
  <c r="AO170" i="2"/>
  <c r="AM170" i="2"/>
  <c r="AK170" i="2"/>
  <c r="AE170" i="2"/>
  <c r="Q170" i="2"/>
  <c r="AO169" i="2"/>
  <c r="AM169" i="2"/>
  <c r="AK169" i="2"/>
  <c r="AE169" i="2"/>
  <c r="Q169" i="2"/>
  <c r="AO168" i="2"/>
  <c r="AM168" i="2"/>
  <c r="AK168" i="2"/>
  <c r="AE168" i="2"/>
  <c r="Q168" i="2"/>
  <c r="AO167" i="2"/>
  <c r="AM167" i="2"/>
  <c r="AK167" i="2"/>
  <c r="AE167" i="2"/>
  <c r="Q167" i="2"/>
  <c r="AO166" i="2"/>
  <c r="AM166" i="2"/>
  <c r="AK166" i="2"/>
  <c r="AE166" i="2"/>
  <c r="Q166" i="2"/>
  <c r="AO165" i="2"/>
  <c r="AM165" i="2"/>
  <c r="AK165" i="2"/>
  <c r="AE165" i="2"/>
  <c r="Q165" i="2"/>
  <c r="AO164" i="2"/>
  <c r="AM164" i="2"/>
  <c r="AK164" i="2"/>
  <c r="AE164" i="2"/>
  <c r="Q164" i="2"/>
  <c r="AO163" i="2"/>
  <c r="AM163" i="2"/>
  <c r="AK163" i="2"/>
  <c r="AE163" i="2"/>
  <c r="Q163" i="2"/>
  <c r="AO162" i="2"/>
  <c r="AM162" i="2"/>
  <c r="AK162" i="2"/>
  <c r="AE162" i="2"/>
  <c r="Q162" i="2"/>
  <c r="AO161" i="2"/>
  <c r="AM161" i="2"/>
  <c r="AK161" i="2"/>
  <c r="AE161" i="2"/>
  <c r="Q161" i="2"/>
  <c r="AO160" i="2"/>
  <c r="AM160" i="2"/>
  <c r="AK160" i="2"/>
  <c r="AE160" i="2"/>
  <c r="Q160" i="2"/>
  <c r="AO159" i="2"/>
  <c r="AM159" i="2"/>
  <c r="AK159" i="2"/>
  <c r="AE159" i="2"/>
  <c r="Q159" i="2"/>
  <c r="AO158" i="2"/>
  <c r="AM158" i="2"/>
  <c r="AK158" i="2"/>
  <c r="AE158" i="2"/>
  <c r="Q158" i="2"/>
  <c r="AO157" i="2"/>
  <c r="AM157" i="2"/>
  <c r="AK157" i="2"/>
  <c r="AE157" i="2"/>
  <c r="Q157" i="2"/>
  <c r="AO156" i="2"/>
  <c r="AM156" i="2"/>
  <c r="AK156" i="2"/>
  <c r="AE156" i="2"/>
  <c r="Q156" i="2"/>
  <c r="AO155" i="2"/>
  <c r="AM155" i="2"/>
  <c r="AK155" i="2"/>
  <c r="AE155" i="2"/>
  <c r="Q155" i="2"/>
  <c r="AO154" i="2"/>
  <c r="AM154" i="2"/>
  <c r="AK154" i="2"/>
  <c r="AE154" i="2"/>
  <c r="Q154" i="2"/>
  <c r="AO153" i="2"/>
  <c r="AM153" i="2"/>
  <c r="AK153" i="2"/>
  <c r="AE153" i="2"/>
  <c r="Q153" i="2"/>
  <c r="AO152" i="2"/>
  <c r="AM152" i="2"/>
  <c r="AK152" i="2"/>
  <c r="AE152" i="2"/>
  <c r="Q152" i="2"/>
  <c r="AO151" i="2"/>
  <c r="AM151" i="2"/>
  <c r="AK151" i="2"/>
  <c r="AE151" i="2"/>
  <c r="Q151" i="2"/>
  <c r="AO150" i="2"/>
  <c r="AM150" i="2"/>
  <c r="AK150" i="2"/>
  <c r="AE150" i="2"/>
  <c r="Q150" i="2"/>
  <c r="AO149" i="2"/>
  <c r="AM149" i="2"/>
  <c r="AK149" i="2"/>
  <c r="AE149" i="2"/>
  <c r="Q149" i="2"/>
  <c r="AO148" i="2"/>
  <c r="AM148" i="2"/>
  <c r="AK148" i="2"/>
  <c r="AE148" i="2"/>
  <c r="Q148" i="2"/>
  <c r="AO147" i="2"/>
  <c r="AM147" i="2"/>
  <c r="AK147" i="2"/>
  <c r="AE147" i="2"/>
  <c r="Q147" i="2"/>
  <c r="AO146" i="2"/>
  <c r="AM146" i="2"/>
  <c r="AK146" i="2"/>
  <c r="AE146" i="2"/>
  <c r="Q146" i="2"/>
  <c r="AM145" i="2"/>
  <c r="AK145" i="2"/>
  <c r="S145" i="2"/>
  <c r="Q145" i="2" s="1"/>
  <c r="A145" i="2"/>
  <c r="B145" i="2" s="1"/>
  <c r="AM144" i="2"/>
  <c r="AK144" i="2"/>
  <c r="S144" i="2"/>
  <c r="Q144" i="2" s="1"/>
  <c r="B144" i="2"/>
  <c r="AK230" i="2" l="1"/>
  <c r="AE172" i="2"/>
  <c r="AK233" i="2"/>
  <c r="Q253" i="2"/>
  <c r="Q172" i="2"/>
  <c r="AE174" i="2"/>
  <c r="AO242" i="2"/>
  <c r="AO244" i="2"/>
  <c r="Q250" i="2"/>
  <c r="AO238" i="2"/>
  <c r="AO261" i="2"/>
  <c r="AE232" i="2"/>
  <c r="AE233" i="2"/>
  <c r="Q252" i="2"/>
  <c r="AO240" i="2"/>
  <c r="AO259" i="2"/>
  <c r="Q251" i="2"/>
  <c r="Q255" i="2"/>
  <c r="AE251" i="2"/>
  <c r="AO172" i="2"/>
  <c r="AO230" i="2"/>
  <c r="AO233" i="2"/>
  <c r="AE254" i="2"/>
  <c r="Q263" i="2"/>
  <c r="AE175" i="2"/>
  <c r="AK173" i="2"/>
  <c r="AE253" i="2"/>
  <c r="AE230" i="2"/>
  <c r="AK172" i="2"/>
  <c r="AO232" i="2"/>
  <c r="AE250" i="2"/>
  <c r="AE265" i="2"/>
  <c r="B265" i="2"/>
  <c r="AO239" i="2"/>
  <c r="AO241" i="2"/>
  <c r="AO243" i="2"/>
  <c r="AO245" i="2"/>
  <c r="AE255" i="2"/>
  <c r="AK231" i="2"/>
  <c r="AE252" i="2"/>
  <c r="Q254" i="2"/>
  <c r="AO260" i="2"/>
  <c r="AE264" i="2"/>
  <c r="B266" i="2"/>
  <c r="A267" i="2"/>
  <c r="AE144" i="2"/>
  <c r="AE145" i="2"/>
  <c r="Q174" i="2"/>
  <c r="Q175" i="2"/>
  <c r="AE178" i="2"/>
  <c r="AE179" i="2"/>
  <c r="AE204" i="2"/>
  <c r="AE205" i="2"/>
  <c r="AE206" i="2"/>
  <c r="AE207" i="2"/>
  <c r="AE216" i="2"/>
  <c r="AE217" i="2"/>
  <c r="Q224" i="2"/>
  <c r="Q225" i="2"/>
  <c r="Q232" i="2"/>
  <c r="AM233" i="2"/>
  <c r="Q238" i="2"/>
  <c r="Q239" i="2"/>
  <c r="Q240" i="2"/>
  <c r="Q241" i="2"/>
  <c r="Q242" i="2"/>
  <c r="Q243" i="2"/>
  <c r="Q244" i="2"/>
  <c r="Q245" i="2"/>
  <c r="AE173" i="2"/>
  <c r="AE231" i="2"/>
  <c r="Q259" i="2"/>
  <c r="Q260" i="2"/>
  <c r="Q261" i="2"/>
  <c r="AE224" i="2"/>
  <c r="AE225" i="2"/>
  <c r="AO264" i="2"/>
  <c r="AO265" i="2"/>
  <c r="AO144" i="2"/>
  <c r="AO145" i="2"/>
  <c r="AO178" i="2"/>
  <c r="AO179" i="2"/>
  <c r="AO204" i="2"/>
  <c r="AO205" i="2"/>
  <c r="AO206" i="2"/>
  <c r="AO207" i="2"/>
  <c r="AO216" i="2"/>
  <c r="AO217" i="2"/>
  <c r="A146" i="2"/>
  <c r="AO173" i="2"/>
  <c r="AO231" i="2"/>
  <c r="AK232" i="2"/>
  <c r="B267" i="2" l="1"/>
  <c r="A268" i="2"/>
  <c r="B146" i="2"/>
  <c r="A147" i="2"/>
  <c r="B147" i="2" l="1"/>
  <c r="A148" i="2"/>
  <c r="B268" i="2"/>
  <c r="A269" i="2"/>
  <c r="B269" i="2" l="1"/>
  <c r="A270" i="2"/>
  <c r="B148" i="2"/>
  <c r="A149" i="2"/>
  <c r="A271" i="2" l="1"/>
  <c r="B270" i="2"/>
  <c r="B149" i="2"/>
  <c r="A150" i="2"/>
  <c r="A151" i="2" l="1"/>
  <c r="B150" i="2"/>
  <c r="B271" i="2"/>
  <c r="A272" i="2"/>
  <c r="B272" i="2" l="1"/>
  <c r="A273" i="2"/>
  <c r="A152" i="2"/>
  <c r="B151" i="2"/>
  <c r="A153" i="2" l="1"/>
  <c r="B152" i="2"/>
  <c r="B273" i="2"/>
  <c r="A274" i="2"/>
  <c r="B274" i="2" l="1"/>
  <c r="A275" i="2"/>
  <c r="B153" i="2"/>
  <c r="A154" i="2"/>
  <c r="B275" i="2" l="1"/>
  <c r="A276" i="2"/>
  <c r="B154" i="2"/>
  <c r="A155" i="2"/>
  <c r="B155" i="2" l="1"/>
  <c r="A156" i="2"/>
  <c r="B276" i="2"/>
  <c r="A277" i="2"/>
  <c r="B277" i="2" l="1"/>
  <c r="A278" i="2"/>
  <c r="B156" i="2"/>
  <c r="A157" i="2"/>
  <c r="B157" i="2" l="1"/>
  <c r="A158" i="2"/>
  <c r="A279" i="2"/>
  <c r="B278" i="2"/>
  <c r="A159" i="2" l="1"/>
  <c r="B158" i="2"/>
  <c r="A280" i="2"/>
  <c r="B279" i="2"/>
  <c r="B280" i="2" l="1"/>
  <c r="A281" i="2"/>
  <c r="A160" i="2"/>
  <c r="B159" i="2"/>
  <c r="A161" i="2" l="1"/>
  <c r="B160" i="2"/>
  <c r="B281" i="2"/>
  <c r="A282" i="2"/>
  <c r="B282" i="2" l="1"/>
  <c r="A283" i="2"/>
  <c r="B161" i="2"/>
  <c r="A162" i="2"/>
  <c r="B162" i="2" l="1"/>
  <c r="A163" i="2"/>
  <c r="B283" i="2"/>
  <c r="A284" i="2"/>
  <c r="B284" i="2" l="1"/>
  <c r="A285" i="2"/>
  <c r="B163" i="2"/>
  <c r="A164" i="2"/>
  <c r="B164" i="2" l="1"/>
  <c r="A165" i="2"/>
  <c r="A286" i="2"/>
  <c r="B285" i="2"/>
  <c r="B165" i="2" l="1"/>
  <c r="A166" i="2"/>
  <c r="A287" i="2"/>
  <c r="B286" i="2"/>
  <c r="A288" i="2" l="1"/>
  <c r="B287" i="2"/>
  <c r="A167" i="2"/>
  <c r="B166" i="2"/>
  <c r="A168" i="2" l="1"/>
  <c r="B167" i="2"/>
  <c r="B288" i="2"/>
  <c r="A289" i="2"/>
  <c r="B289" i="2" l="1"/>
  <c r="A290" i="2"/>
  <c r="A169" i="2"/>
  <c r="B168" i="2"/>
  <c r="B169" i="2" l="1"/>
  <c r="A170" i="2"/>
  <c r="B290" i="2"/>
  <c r="A291" i="2"/>
  <c r="B291" i="2" l="1"/>
  <c r="A292" i="2"/>
  <c r="B292" i="2" s="1"/>
  <c r="B170" i="2"/>
  <c r="A171" i="2"/>
  <c r="B171" i="2" l="1"/>
  <c r="A172" i="2"/>
  <c r="A173" i="2" l="1"/>
  <c r="B172" i="2"/>
  <c r="A174" i="2" l="1"/>
  <c r="B173" i="2"/>
  <c r="A175" i="2" l="1"/>
  <c r="B174" i="2"/>
  <c r="A176" i="2" l="1"/>
  <c r="B175" i="2"/>
  <c r="B176" i="2" l="1"/>
  <c r="A177" i="2"/>
  <c r="B177" i="2" l="1"/>
  <c r="A178" i="2"/>
  <c r="B178" i="2" l="1"/>
  <c r="A179" i="2"/>
  <c r="B179" i="2" l="1"/>
  <c r="A180" i="2"/>
  <c r="B180" i="2" l="1"/>
  <c r="A181" i="2"/>
  <c r="B181" i="2" l="1"/>
  <c r="A182" i="2"/>
  <c r="B182" i="2" l="1"/>
  <c r="A183" i="2"/>
  <c r="B183" i="2" l="1"/>
  <c r="A184" i="2"/>
  <c r="A185" i="2" l="1"/>
  <c r="B184" i="2"/>
  <c r="A186" i="2" l="1"/>
  <c r="B185" i="2"/>
  <c r="A187" i="2" l="1"/>
  <c r="B186" i="2"/>
  <c r="B187" i="2" l="1"/>
  <c r="A188" i="2"/>
  <c r="B188" i="2" l="1"/>
  <c r="A189" i="2"/>
  <c r="B189" i="2" l="1"/>
  <c r="A190" i="2"/>
  <c r="B190" i="2" l="1"/>
  <c r="A191" i="2"/>
  <c r="B191" i="2" l="1"/>
  <c r="A192" i="2"/>
  <c r="A193" i="2" l="1"/>
  <c r="B192" i="2"/>
  <c r="A194" i="2" l="1"/>
  <c r="B193" i="2"/>
  <c r="A195" i="2" l="1"/>
  <c r="B194" i="2"/>
  <c r="B195" i="2" l="1"/>
  <c r="A196" i="2"/>
  <c r="B196" i="2" l="1"/>
  <c r="A197" i="2"/>
  <c r="B197" i="2" l="1"/>
  <c r="A198" i="2"/>
  <c r="B198" i="2" l="1"/>
  <c r="A199" i="2"/>
  <c r="B199" i="2" l="1"/>
  <c r="A200" i="2"/>
  <c r="A201" i="2" l="1"/>
  <c r="B200" i="2"/>
  <c r="A202" i="2" l="1"/>
  <c r="B201" i="2"/>
  <c r="A203" i="2" l="1"/>
  <c r="B202" i="2"/>
  <c r="B203" i="2" l="1"/>
  <c r="A204" i="2"/>
  <c r="B204" i="2" l="1"/>
  <c r="A205" i="2"/>
  <c r="B205" i="2" l="1"/>
  <c r="A206" i="2"/>
  <c r="B206" i="2" l="1"/>
  <c r="A207" i="2"/>
  <c r="B207" i="2" l="1"/>
  <c r="A208" i="2"/>
  <c r="B208" i="2" l="1"/>
  <c r="A209" i="2"/>
  <c r="B209" i="2" l="1"/>
  <c r="A210" i="2"/>
  <c r="B210" i="2" l="1"/>
  <c r="A211" i="2"/>
  <c r="B211" i="2" l="1"/>
  <c r="A212" i="2"/>
  <c r="A213" i="2" l="1"/>
  <c r="B212" i="2"/>
  <c r="A214" i="2" l="1"/>
  <c r="B213" i="2"/>
  <c r="A215" i="2" l="1"/>
  <c r="B214" i="2"/>
  <c r="B215" i="2" l="1"/>
  <c r="A216" i="2"/>
  <c r="B216" i="2" l="1"/>
  <c r="A217" i="2"/>
  <c r="B217" i="2" l="1"/>
  <c r="A218" i="2"/>
  <c r="B218" i="2" l="1"/>
  <c r="A219" i="2"/>
  <c r="B219" i="2" l="1"/>
  <c r="A220" i="2"/>
  <c r="B220" i="2" l="1"/>
  <c r="A221" i="2"/>
  <c r="B221" i="2" l="1"/>
  <c r="A222" i="2"/>
  <c r="A223" i="2" l="1"/>
  <c r="B222" i="2"/>
  <c r="A224" i="2" l="1"/>
  <c r="B223" i="2"/>
  <c r="A225" i="2" l="1"/>
  <c r="B224" i="2"/>
  <c r="A226" i="2" l="1"/>
  <c r="B225" i="2"/>
  <c r="A227" i="2" l="1"/>
  <c r="B226" i="2"/>
  <c r="B227" i="2" l="1"/>
  <c r="A228" i="2"/>
  <c r="B228" i="2" l="1"/>
  <c r="A229" i="2"/>
  <c r="B229" i="2" l="1"/>
  <c r="A230" i="2"/>
  <c r="A231" i="2" l="1"/>
  <c r="B230" i="2"/>
  <c r="A232" i="2" l="1"/>
  <c r="B231" i="2"/>
  <c r="B232" i="2" l="1"/>
  <c r="A233" i="2"/>
  <c r="A234" i="2" l="1"/>
  <c r="B233" i="2"/>
  <c r="B234" i="2" l="1"/>
  <c r="A235" i="2"/>
  <c r="B235" i="2" l="1"/>
  <c r="A236" i="2"/>
  <c r="B236" i="2" l="1"/>
  <c r="A237" i="2"/>
  <c r="A238" i="2" l="1"/>
  <c r="B237" i="2"/>
  <c r="A239" i="2" l="1"/>
  <c r="B238" i="2"/>
  <c r="A240" i="2" l="1"/>
  <c r="B239" i="2"/>
  <c r="A241" i="2" l="1"/>
  <c r="B240" i="2"/>
  <c r="A242" i="2" l="1"/>
  <c r="B241" i="2"/>
  <c r="A243" i="2" l="1"/>
  <c r="B242" i="2"/>
  <c r="A244" i="2" l="1"/>
  <c r="B243" i="2"/>
  <c r="A245" i="2" l="1"/>
  <c r="B244" i="2"/>
  <c r="A246" i="2" l="1"/>
  <c r="B245" i="2"/>
  <c r="A247" i="2" l="1"/>
  <c r="B246" i="2"/>
  <c r="B247" i="2" l="1"/>
  <c r="A248" i="2"/>
  <c r="B248" i="2" l="1"/>
  <c r="A249" i="2"/>
  <c r="B249" i="2" l="1"/>
  <c r="A250" i="2"/>
  <c r="B250" i="2" l="1"/>
  <c r="A251" i="2"/>
  <c r="B251" i="2" l="1"/>
  <c r="A252" i="2"/>
  <c r="B252" i="2" l="1"/>
  <c r="A253" i="2"/>
  <c r="B253" i="2" l="1"/>
  <c r="A254" i="2"/>
  <c r="B254" i="2" l="1"/>
  <c r="A255" i="2"/>
  <c r="B255" i="2" l="1"/>
  <c r="A256" i="2"/>
  <c r="B256" i="2" l="1"/>
  <c r="A257" i="2"/>
  <c r="B257" i="2" l="1"/>
  <c r="A258" i="2"/>
  <c r="A259" i="2" l="1"/>
  <c r="B258" i="2"/>
  <c r="B259" i="2" l="1"/>
  <c r="A260" i="2"/>
  <c r="A261" i="2" l="1"/>
  <c r="B260" i="2"/>
  <c r="A262" i="2" l="1"/>
  <c r="B262" i="2" s="1"/>
  <c r="B261" i="2"/>
  <c r="AE143" i="2" l="1"/>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E4" i="2"/>
</calcChain>
</file>

<file path=xl/comments1.xml><?xml version="1.0" encoding="utf-8"?>
<comments xmlns="http://schemas.openxmlformats.org/spreadsheetml/2006/main">
  <authors>
    <author>DIANA CAROLINA ARTEAGA ARTEAGA</author>
    <author>LINA CONSTANZA VARGAS</author>
  </authors>
  <commentList>
    <comment ref="P299" authorId="0" shapeId="0">
      <text>
        <r>
          <rPr>
            <b/>
            <sz val="9"/>
            <color indexed="81"/>
            <rFont val="Tahoma"/>
            <family val="2"/>
          </rPr>
          <t xml:space="preserve">DIANA CAROLINA ARTEAGA ARTEAGA:
</t>
        </r>
        <r>
          <rPr>
            <sz val="9"/>
            <color indexed="81"/>
            <rFont val="Tahoma"/>
            <family val="2"/>
          </rPr>
          <t>Modificación de Objeto MEMO: 2017IE2360</t>
        </r>
      </text>
    </comment>
    <comment ref="P339" authorId="0" shapeId="0">
      <text>
        <r>
          <rPr>
            <b/>
            <sz val="9"/>
            <color indexed="81"/>
            <rFont val="Tahoma"/>
            <family val="2"/>
          </rPr>
          <t>DIANA CAROLINA ARTEAGA ARTEAGA:</t>
        </r>
        <r>
          <rPr>
            <sz val="9"/>
            <color indexed="81"/>
            <rFont val="Tahoma"/>
            <family val="2"/>
          </rPr>
          <t xml:space="preserve">
Solicitud de Modificación: MEMORANDO 2017IE2102
10 FEB 2017</t>
        </r>
      </text>
    </comment>
    <comment ref="P520" authorId="1" shapeId="0">
      <text>
        <r>
          <rPr>
            <b/>
            <sz val="9"/>
            <color indexed="81"/>
            <rFont val="Tahoma"/>
            <family val="2"/>
          </rPr>
          <t>LINA CONSTANZA VARGAS:</t>
        </r>
        <r>
          <rPr>
            <sz val="9"/>
            <color indexed="81"/>
            <rFont val="Tahoma"/>
            <family val="2"/>
          </rPr>
          <t xml:space="preserve">
OBJETOS DIFERENTES POR EL REFERENTE INDIGENA
</t>
        </r>
      </text>
    </comment>
    <comment ref="P560" authorId="1" shapeId="0">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615" authorId="1"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22" authorId="1"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28" authorId="1"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29" authorId="1"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32" authorId="1" shapeId="0">
      <text>
        <r>
          <rPr>
            <b/>
            <sz val="9"/>
            <color indexed="81"/>
            <rFont val="Tahoma"/>
            <family val="2"/>
          </rPr>
          <t>LINA CONSTANZA VARGAS:</t>
        </r>
        <r>
          <rPr>
            <sz val="9"/>
            <color indexed="81"/>
            <rFont val="Tahoma"/>
            <family val="2"/>
          </rPr>
          <t xml:space="preserve">
OBJETOS DIFERENTES POR EL REFERENTE INDIGENA
</t>
        </r>
      </text>
    </comment>
    <comment ref="P635" authorId="1"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40" authorId="1" shapeId="0">
      <text>
        <r>
          <rPr>
            <b/>
            <sz val="9"/>
            <color indexed="81"/>
            <rFont val="Tahoma"/>
            <family val="2"/>
          </rPr>
          <t>LINA CONSTANZA VARGAS:</t>
        </r>
        <r>
          <rPr>
            <sz val="9"/>
            <color indexed="81"/>
            <rFont val="Tahoma"/>
            <family val="2"/>
          </rPr>
          <t xml:space="preserve">
OBJETOS DIFERENTES POR EL REFERENTE INDIGENA
</t>
        </r>
      </text>
    </comment>
    <comment ref="P641" authorId="1"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List>
</comments>
</file>

<file path=xl/sharedStrings.xml><?xml version="1.0" encoding="utf-8"?>
<sst xmlns="http://schemas.openxmlformats.org/spreadsheetml/2006/main" count="23812" uniqueCount="3768">
  <si>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</si>
  <si>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</si>
  <si>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</si>
  <si>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</si>
  <si>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</si>
  <si>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</si>
  <si>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</si>
  <si>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</si>
  <si>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</si>
  <si>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</si>
  <si>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</si>
  <si>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</si>
  <si>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</si>
  <si>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</si>
  <si>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</si>
  <si>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</si>
  <si>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</si>
  <si>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</si>
  <si>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</si>
  <si>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</si>
  <si>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</si>
  <si>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</si>
  <si>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</si>
  <si>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</si>
  <si>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</si>
  <si>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</si>
  <si>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</si>
  <si>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</si>
  <si>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</si>
  <si>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</si>
  <si>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</si>
  <si>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</si>
  <si>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SALDO SIN VIABILIZAR
(VALOR PROGRAMADO - VALOR VIABILIDAD (CDP)</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</si>
  <si>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</si>
  <si>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</si>
  <si>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</si>
  <si>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</si>
  <si>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</si>
  <si>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</si>
  <si>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</si>
  <si>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</si>
  <si>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</si>
  <si>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</si>
  <si>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</si>
  <si>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</si>
  <si>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</si>
  <si>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</si>
  <si>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Secop</t>
  </si>
  <si>
    <t>FUN-1</t>
  </si>
  <si>
    <t>Gastos de Funcionamiento</t>
  </si>
  <si>
    <t>N/A</t>
  </si>
  <si>
    <t>Servicios personales indirectos</t>
  </si>
  <si>
    <t>Honorarios</t>
  </si>
  <si>
    <t xml:space="preserve">Honorarios Entidad   </t>
  </si>
  <si>
    <t>01-Recursos del Distrito</t>
  </si>
  <si>
    <t>12-Otros distrito</t>
  </si>
  <si>
    <t>Prestar servicios profesionales para apoyar la planeación, seguimiento y evaluación de los subsistemas del Sistema Integrado de Gestión de la Caja de la Vivienda Popular</t>
  </si>
  <si>
    <t>Prestación de servicios profesionales</t>
  </si>
  <si>
    <t>Contratación Directa</t>
  </si>
  <si>
    <t>FUN-001</t>
  </si>
  <si>
    <t>CONTRATACIÓN SERV. PERS.</t>
  </si>
  <si>
    <t>HECTOR ANDRES MEJIA MEJIA</t>
  </si>
  <si>
    <t>OFICINA ASESORA DE PLANEACION</t>
  </si>
  <si>
    <t>FUN-2</t>
  </si>
  <si>
    <t>Prestar servicios profesionales para apoyar la formulación, seguimiento, evaluación, mantenimiento y mejora del Subsistema de Gestion Ambiental,  acorde a los lineamientos y normatividad vigente.</t>
  </si>
  <si>
    <t>FUN-19</t>
  </si>
  <si>
    <t>PHILLIP  KLEIN GARAVITO</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</si>
  <si>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</si>
  <si>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</si>
  <si>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</si>
  <si>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ALEJANDRO  GUAYARA MURILLO</t>
  </si>
  <si>
    <t>DIRECCION JURIDICA</t>
  </si>
  <si>
    <t>FUN-4</t>
  </si>
  <si>
    <t>Prestar los servicios profesionales especializados para llevar a cabo la representacion judicial y extrajudicial de la Caja de la Vivienda Popular, en materia laboral y laboral administrativa.</t>
  </si>
  <si>
    <t>FUN-004</t>
  </si>
  <si>
    <t>JUAN MANUEL RUSSY ESCOBAR</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</si>
  <si>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</si>
  <si>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</si>
  <si>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</si>
  <si>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ALFONSO ANDRES COVALEDA SALAS</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</si>
  <si>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</si>
  <si>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</si>
  <si>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</si>
  <si>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ESTUDIO ASESORIAS PROFESIONALES S.A.S.</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</si>
  <si>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</si>
  <si>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</si>
  <si>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</si>
  <si>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ALVARO ALEJANDRO PUENTES VARGAS</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</si>
  <si>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</si>
  <si>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</si>
  <si>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</si>
  <si>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MAYERLI  AZUERO LOZANO</t>
  </si>
  <si>
    <t>FUN-9</t>
  </si>
  <si>
    <t>Prestar los servicios profesionales para brindar apoyo respecto al seguimiento financiero y presupuestal de los contratos a cargo de la Subdirección Administrativa</t>
  </si>
  <si>
    <t>AMALIA JEANNETTE SANCHEZ GUIO</t>
  </si>
  <si>
    <t>FUN-10</t>
  </si>
  <si>
    <t>Prestar los servicios profesionales para brindar apoyo  en temas relacionados con la gestión de calidad de los procesos que lidera la Subdirección.</t>
  </si>
  <si>
    <t>FUN-010</t>
  </si>
  <si>
    <t>GINETH VIVIANA FRANCO PRADA</t>
  </si>
  <si>
    <t>FUN-11</t>
  </si>
  <si>
    <t>Prestación de servicios profesionales para el acompañamiento de las diferentes etapas de los procesos contractuales y la revisión jurídica de los temas a cargo de la Subdirección Administrativa.</t>
  </si>
  <si>
    <t>FUN-011</t>
  </si>
  <si>
    <t>IVAN DARIO GOMEZ HENAO</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</si>
  <si>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</si>
  <si>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</si>
  <si>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</si>
  <si>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HAMILTON DIAZ GARCIA</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</si>
  <si>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</si>
  <si>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</si>
  <si>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</si>
  <si>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OF. 8530</t>
  </si>
  <si>
    <t>ELITE CONSULTORA  S A S</t>
  </si>
  <si>
    <t>FUN-14</t>
  </si>
  <si>
    <t>Prestación de servicios profesionales para brindar asesoria juridica y acompañamiento externo en la gestion contractual y demás trámites administrativos que sean requeridos</t>
  </si>
  <si>
    <t>FUN-014</t>
  </si>
  <si>
    <t>LOTERO ZULUAGA ABOGADOS S A S</t>
  </si>
  <si>
    <t>Direccion de gestión corporativa</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</si>
  <si>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</si>
  <si>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</si>
  <si>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</si>
  <si>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LUIS DARIO SOTELO CARREÑO</t>
  </si>
  <si>
    <t>FUN-16</t>
  </si>
  <si>
    <t>DIEGO FERNANDO ROJAS LARA</t>
  </si>
  <si>
    <t>FUN-17</t>
  </si>
  <si>
    <t>Prestación de servicios profesionales para realizar el acompañamiento en el cumplimiento de los lineamientos relacionados con la atención y prestación del servicio a la ciudadanía, a cargo de la Caja de la Vivienda Popular</t>
  </si>
  <si>
    <t>FUN-017</t>
  </si>
  <si>
    <t>roberto carlos narvaez</t>
  </si>
  <si>
    <t>FUN-18</t>
  </si>
  <si>
    <t>Prestación de servicios profesionales para apoyar a la Oficina Asesora de Planeación en actividades de gestión y administración del Sistema Integrado de Gestión.</t>
  </si>
  <si>
    <t>FUN-018</t>
  </si>
  <si>
    <t>CRISTHIAN RODRIGUEZ</t>
  </si>
  <si>
    <t>RECURSOS DISPONIBLES DGC</t>
  </si>
  <si>
    <t>FUN-20</t>
  </si>
  <si>
    <t>Prestación de servicios profesionales para apoyar la  formulación, seguimiento,  ejecución y programación presupuestal de la Caja de la Vivienda Popular.</t>
  </si>
  <si>
    <t>FUN-020</t>
  </si>
  <si>
    <t>DORIS CARVAJAL MOJICA</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</si>
  <si>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</si>
  <si>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</si>
  <si>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</si>
  <si>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SANDRA YAMILE ROJAS RICO</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</si>
  <si>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</si>
  <si>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</si>
  <si>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</si>
  <si>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JOSE LEONARDO PINTO COLORADO</t>
  </si>
  <si>
    <t>FUN-23</t>
  </si>
  <si>
    <t>Prestación de servicios profesionales para asesorar a la Diirección General en el desarrollo y seguimiento de actividades jurídicas, presupuestales y contractuales de los diferentes proyectos de la Caja de la Vivienda Popular.</t>
  </si>
  <si>
    <t>ADICIÓN</t>
  </si>
  <si>
    <t>DIEGO ALEXANDER ROMERO PORRAS</t>
  </si>
  <si>
    <t>FUN-24</t>
  </si>
  <si>
    <t>Prestación de servicios profesionales para analizar, registrar, consolidar y presentar la información contable y tributaria de la Caja de la Vivienda Popular.</t>
  </si>
  <si>
    <t>FUN-024</t>
  </si>
  <si>
    <t>RUTH YEIMMY CIPRIAN HUERTAS</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</si>
  <si>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</si>
  <si>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</si>
  <si>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</si>
  <si>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</si>
  <si>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WALTER ARLEY RINCON QUINTERO</t>
  </si>
  <si>
    <t>FUN-26</t>
  </si>
  <si>
    <t>Prestación de servicios de apoyo a la gestión para realizar ela compañamiento técnico en los temas relacionados con el proceso de Gestión Documental a cargo de la Subdirección Administrativa.</t>
  </si>
  <si>
    <t>FUN-026</t>
  </si>
  <si>
    <t>CUPO DISPONIBLE ADMINISTRATIVA (rene)</t>
  </si>
  <si>
    <t>FUN-27</t>
  </si>
  <si>
    <t>Prestación de servicios de apoyo a la gestión en las actividades operativas requeridas en el proceso de Gestión Documental a cargo de la Subdirección Administrativa.</t>
  </si>
  <si>
    <t>FUN-027</t>
  </si>
  <si>
    <t>CRISTIAN DAVID OLACHICA SERRANO</t>
  </si>
  <si>
    <t>FUN-28</t>
  </si>
  <si>
    <t>Prestación de servicios de apoyo a la gestión para realizar el acompañamiento técnico en los temas relacionados con el proceso de Gestión Documental a cargo de la Subdirección Administrativa.</t>
  </si>
  <si>
    <t>FUN-028</t>
  </si>
  <si>
    <t>LUZ MERY PEDRAZA PEDRAZA</t>
  </si>
  <si>
    <t>FUN-29</t>
  </si>
  <si>
    <t>Prestación de servicios para apoyar las actividades operativas requeridas en la organización y consulta de los archivos de gestión de la Caja de la Vivienda Popular</t>
  </si>
  <si>
    <t>FUN-029</t>
  </si>
  <si>
    <t>NELLY NOVA PINZON</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</si>
  <si>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</si>
  <si>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</si>
  <si>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</si>
  <si>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LEYDY YOJANA FLOREZ SOLANO</t>
  </si>
  <si>
    <t>FUN-31</t>
  </si>
  <si>
    <t>FUN-031</t>
  </si>
  <si>
    <t>DAVID FELIPE CASTAÑEDA RUBIO</t>
  </si>
  <si>
    <t>FUN-32</t>
  </si>
  <si>
    <t>Prestación de servicios de apoyo a la gestión en las actividades administrativas y operativas relacionadas con los procesos a cargo de la Dirección de Gestión Corporativa y CID, especificamente en el de adquisición de bienes y servicios.</t>
  </si>
  <si>
    <t>FUN-032 (ANUL)</t>
  </si>
  <si>
    <t>Traslado  450000 a línea 100</t>
  </si>
  <si>
    <t>Of. 6949</t>
  </si>
  <si>
    <t>REDUCCIÓN</t>
  </si>
  <si>
    <t>TRASLADO PASIVOS</t>
  </si>
  <si>
    <t>FUN-33</t>
  </si>
  <si>
    <t xml:space="preserve">Prestación de servicios de apoyo a la gestión en actividades relacionadas con el proceso financiero, que permitan el pago opotuno de los compromisos adquiridos por la Caja de la Vivienda Popular con terceros. </t>
  </si>
  <si>
    <t>FUN-033</t>
  </si>
  <si>
    <t>ANDRES FELIPE CELY LUQUE</t>
  </si>
  <si>
    <t>FUN-34</t>
  </si>
  <si>
    <t>Prestar los servicios de apoyo para el trámite, seguimiento y control de las PQRS y realizar la gestión documental de la Subdirección Financiera, aplicando los lineamientos y normatividad vigentes.</t>
  </si>
  <si>
    <t>FUN-034</t>
  </si>
  <si>
    <t>ELIZABETH  CARRILLO MEDINA</t>
  </si>
  <si>
    <t>FUN-35</t>
  </si>
  <si>
    <t>FUN-035</t>
  </si>
  <si>
    <t>NELLY MARIA GUZMAN NEUTA</t>
  </si>
  <si>
    <t>FUN-36</t>
  </si>
  <si>
    <t>Prestación de servicios de apoyo a la gestión, en la atención al servicio al ciudadano, teniendo en cuenta los protocolos, procedimientos y lineamientos establecidos por la CVP.</t>
  </si>
  <si>
    <t>FUN-036</t>
  </si>
  <si>
    <t>DIANA SOFIA MELO CASTRO</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</si>
  <si>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</si>
  <si>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</si>
  <si>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</si>
  <si>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</si>
  <si>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</si>
  <si>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</si>
  <si>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ANDREA VANESSA JAIMES CARDENAS</t>
  </si>
  <si>
    <t>FUN-39</t>
  </si>
  <si>
    <t>FUN-039</t>
  </si>
  <si>
    <t>LAURA VANESA MARTINEZ PEÑA</t>
  </si>
  <si>
    <t>FUN-40</t>
  </si>
  <si>
    <t>FUN-040</t>
  </si>
  <si>
    <t>MARTHA CECILIA PERDOMO ORTIZ</t>
  </si>
  <si>
    <t>FUN-41</t>
  </si>
  <si>
    <t>FUN-041</t>
  </si>
  <si>
    <t>MARIA LUISA VILLARREAL HERNANDEZ</t>
  </si>
  <si>
    <t>FUN-42</t>
  </si>
  <si>
    <t>Prestación de servicios de apoyo a la gestión en la Dirección de Gestión Corporativa y CID, para apoyar operativamente las actividades realacionadas con la aplicación de los instrumentos archivísticos de la entidad.</t>
  </si>
  <si>
    <t>FUN-042</t>
  </si>
  <si>
    <t>MARIA ANGELICA AMEZQUITA GUZMAN</t>
  </si>
  <si>
    <t>FUN-43</t>
  </si>
  <si>
    <t>Prestación de servicios de apoyo a la gestión para el adelantamiento de actividades administrativas y operativas relacionadas con los procesos a cargo de la Dirección de Gestión Corporativa y CID</t>
  </si>
  <si>
    <t>JESSICA VIVIAN JIMENEZ BERNAL</t>
  </si>
  <si>
    <t>FUN-44</t>
  </si>
  <si>
    <t>Prestación de servicios de apoyo a la gestion en las actividades relacionadas con el análisis y depuración de la cartera de la Entidad que se encuentran a cargo de la Subdireccion Financiera.</t>
  </si>
  <si>
    <t>FUN-044</t>
  </si>
  <si>
    <t>JEIMY KATHERINE BERNAL</t>
  </si>
  <si>
    <t>FUN-45</t>
  </si>
  <si>
    <t>Gastos Generales</t>
  </si>
  <si>
    <t>Adquisición de sevicios</t>
  </si>
  <si>
    <t>Energia</t>
  </si>
  <si>
    <t>Pago de servicio de energia</t>
  </si>
  <si>
    <t>No requiere modalidad de contratacion</t>
  </si>
  <si>
    <t>NA</t>
  </si>
  <si>
    <t>SIN</t>
  </si>
  <si>
    <t>FUN-46</t>
  </si>
  <si>
    <t>Acueducto</t>
  </si>
  <si>
    <t>Pago de servicio de acueducto</t>
  </si>
  <si>
    <t>FUN-47</t>
  </si>
  <si>
    <t>Aseo</t>
  </si>
  <si>
    <t>Pago de servicio de aseo</t>
  </si>
  <si>
    <t>FUN-48</t>
  </si>
  <si>
    <t>Telefono</t>
  </si>
  <si>
    <t>Pago de servicio de telefono</t>
  </si>
  <si>
    <t>FUN-49</t>
  </si>
  <si>
    <t>Capacitación Interna</t>
  </si>
  <si>
    <t>Prestación de servicios para la implementación del plan institucional de capacitación de la CVP a través de diplomados, talleres, conferencia, cursos, en procura del fortalecimiento institucional</t>
  </si>
  <si>
    <t>Selección Abreviada</t>
  </si>
  <si>
    <t>FUN-090</t>
  </si>
  <si>
    <t>FUN-50</t>
  </si>
  <si>
    <t>n/a</t>
  </si>
  <si>
    <t>Congreso colombiano de derecho procesal</t>
  </si>
  <si>
    <t>FUN-51</t>
  </si>
  <si>
    <t>Bienestar e incentivos</t>
  </si>
  <si>
    <t>Pago auxilio de estudio según convencion colectiva de trabajadores de noviembre 29 de 1990 clausula 10</t>
  </si>
  <si>
    <t>FUN-060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</si>
  <si>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</si>
  <si>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</si>
  <si>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Prestación de servicios </t>
  </si>
  <si>
    <t>FUN-087</t>
  </si>
  <si>
    <t>$2,346,902 A LINEA 95</t>
  </si>
  <si>
    <t>T2,346,902 A LINEA 95   OF. 3948       Of. 5460</t>
  </si>
  <si>
    <t>fecha de inicio</t>
  </si>
  <si>
    <t>FUN-53</t>
  </si>
  <si>
    <t>Adquisición de bienes</t>
  </si>
  <si>
    <t>Dotacion</t>
  </si>
  <si>
    <t>53100000
53110000</t>
  </si>
  <si>
    <t>Contratar el suministro de dotación del vestido labor y calzado para los funcionarios de la Caja de la Vivienda Popular durante la vigencia 2018 a través del sistema de bonos, vales o tarjetas canjeables.</t>
  </si>
  <si>
    <t>Suministro</t>
  </si>
  <si>
    <t>Rec. De líneas 74 y 104</t>
  </si>
  <si>
    <t>Adición</t>
  </si>
  <si>
    <t>FUN-54</t>
  </si>
  <si>
    <t>Salud Ocupacional</t>
  </si>
  <si>
    <t>Contratar los servicios en salud ocupacional en especial lo relacionado con los exámenes médicos ocupacionales, de pre-ingreso, por cambio de ocupación, post-incapacidad y de egreso para la Caja de la Vivienda Popular.</t>
  </si>
  <si>
    <t>Minima Cuantia</t>
  </si>
  <si>
    <t>FUN-079</t>
  </si>
  <si>
    <t>7000000 A LINEA 96      2954210 A LINEA 97</t>
  </si>
  <si>
    <t>MEM 4959           OF.6236</t>
  </si>
  <si>
    <t>FUN-55</t>
  </si>
  <si>
    <t>Contratar la adquisición de elementos de protección personal requeridos para el personal de la Caja de la Vivienda Popular de conformidad con las especificaciones técnicas establecidas por la Entidad.</t>
  </si>
  <si>
    <t>FUN-088</t>
  </si>
  <si>
    <t>2000000 A LINEA 97       9000000 A LINEA 98</t>
  </si>
  <si>
    <t>MEM 4959</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</si>
  <si>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</si>
  <si>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</si>
  <si>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</si>
  <si>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</si>
  <si>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</si>
  <si>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</si>
  <si>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</si>
  <si>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Mod. Objeto: Of. 2740 Feb. 27  $10,66`Reduc. Pptal Circ. 2/2018</t>
  </si>
  <si>
    <t>FUN-58</t>
  </si>
  <si>
    <t>Combustibles, lubricantes y llantas</t>
  </si>
  <si>
    <t>Contratar el suministro de combustible para los vehículos de propiedad de la CVP</t>
  </si>
  <si>
    <t>$9,9`Reduc. Pptal Circ. 2/2018</t>
  </si>
  <si>
    <t>FUN-59</t>
  </si>
  <si>
    <t>Materiales y Suministros</t>
  </si>
  <si>
    <t>Suministro de elementos de papelería y oficina requeridos por las diferentes dependencias de la Caja de la Vivienda Popular</t>
  </si>
  <si>
    <t>Of. 5460</t>
  </si>
  <si>
    <t>FUN-60</t>
  </si>
  <si>
    <t>CONSTITUCIÓN CAJA MENOR DE LA CAJA DE LA VIVIENDA POPULAR PARA LA VIGENCIA 2018</t>
  </si>
  <si>
    <t>FUN-052</t>
  </si>
  <si>
    <t>Traslado 240000 a linea 102</t>
  </si>
  <si>
    <t>OF. 6968</t>
  </si>
  <si>
    <t>Reducción</t>
  </si>
  <si>
    <t>TRASLADO</t>
  </si>
  <si>
    <t>FUN-61</t>
  </si>
  <si>
    <t>Seguros Entidad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</si>
  <si>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</si>
  <si>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Licitación pública</t>
  </si>
  <si>
    <t>FUN-62</t>
  </si>
  <si>
    <t>Gastos de Transporte y Comunicación</t>
  </si>
  <si>
    <t>Prestación del servicio de mensajería expresa y motorizada para la recolección, transporte y entrega de la correspondencia de la Caja de la Vivienda Popular.</t>
  </si>
  <si>
    <t>FUN-077</t>
  </si>
  <si>
    <t>OF. 5254</t>
  </si>
  <si>
    <t>Cambio objeto y modalidad</t>
  </si>
  <si>
    <t>FUN-63</t>
  </si>
  <si>
    <t>81112000                                                81112100</t>
  </si>
  <si>
    <t>Adición al contrato de canal alterno de la CVP</t>
  </si>
  <si>
    <t>747,185 A LINEA    OF. 2240      $22``Reduc. Pptal Circ. 2/2018</t>
  </si>
  <si>
    <t>FUN-64</t>
  </si>
  <si>
    <t xml:space="preserve">SERVICIO DE CELULAR </t>
  </si>
  <si>
    <t>Selección abreviada de menor cuantia</t>
  </si>
  <si>
    <t>FUN-051</t>
  </si>
  <si>
    <t>FUN-65</t>
  </si>
  <si>
    <t>no requiere modalidad de contratacion</t>
  </si>
  <si>
    <t>FUN-053</t>
  </si>
  <si>
    <t>$4,5 a línea `93. Oficio.  de marzo 15</t>
  </si>
  <si>
    <t>FUN-66</t>
  </si>
  <si>
    <t>Buzones de correo</t>
  </si>
  <si>
    <t> Selección abreviada para la adquisición de bienes y servicio de características técnicas uniformes por compra por catálogo derivado de la celebración de acuerdos marco de precios.</t>
  </si>
  <si>
    <t>$15`Reduc. Pptal Circ. 2/2018</t>
  </si>
  <si>
    <t>FUN-67</t>
  </si>
  <si>
    <t>Cable</t>
  </si>
  <si>
    <t>$1.1 Reduc. Pptal Circ. 2/2018</t>
  </si>
  <si>
    <t>FUN-68</t>
  </si>
  <si>
    <t>Transporte de residuos</t>
  </si>
  <si>
    <t>Selección de Minima cuantía</t>
  </si>
  <si>
    <t>Traslado 1179964 a linea 104</t>
  </si>
  <si>
    <t>FUN-69</t>
  </si>
  <si>
    <t>Impresos y publicaciones</t>
  </si>
  <si>
    <t>FUN-70</t>
  </si>
  <si>
    <t xml:space="preserve">Selección Abreviada </t>
  </si>
  <si>
    <t>FUN-075</t>
  </si>
  <si>
    <t>$20``Reduc. Pptal Circ. 2/2018  Mod. Objeto: Of: 5174</t>
  </si>
  <si>
    <t>Objeto definitivo</t>
  </si>
  <si>
    <t>FUN-71</t>
  </si>
  <si>
    <t>FUN-100</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</si>
  <si>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</si>
  <si>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</si>
  <si>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</si>
  <si>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</si>
  <si>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</si>
  <si>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</si>
  <si>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</si>
  <si>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t>Traslado de recursos</t>
  </si>
  <si>
    <t>FUN-74</t>
  </si>
  <si>
    <t>TRASLADO PARA DOTACIÓN</t>
  </si>
  <si>
    <t>FUN-081 (Anul)</t>
  </si>
  <si>
    <t>Traslado 240000 de línea 80   Traslado rec. A lineas 53 y 106</t>
  </si>
  <si>
    <t>OF. 6968          Of. 8328</t>
  </si>
  <si>
    <t>24/05/2018 15/06/2018</t>
  </si>
  <si>
    <t>FUN-75</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</si>
  <si>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</si>
  <si>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FUN-078</t>
  </si>
  <si>
    <t>$61,4´ de línea 75</t>
  </si>
  <si>
    <t>$95,7`trasladados a linea 92. Of. 3772 de marzo 15           $61,4´ de linea 75 con of. 5306</t>
  </si>
  <si>
    <t>Traslado de recursos para apertura de licitación</t>
  </si>
  <si>
    <t>FUN-76</t>
  </si>
  <si>
    <t>ADQUISICION DE ELEMENTOS DE FERRETERIA PARA LA CAJA DE LA VIVIENDA POPULAR</t>
  </si>
  <si>
    <t>FUN-059</t>
  </si>
  <si>
    <t>FUN-77</t>
  </si>
  <si>
    <t>FUN-096</t>
  </si>
  <si>
    <t>FUN-78</t>
  </si>
  <si>
    <t>CONTRATAR LA PRESTACIÓN DEL SERVICIO DE MANTENIMIENTO PREVENTIVO Y CORRECTIVO CON SUMINISTRO DE REPUESTOS PARA EL ELEVADOR DE LA CAJA DE LA VIVIENDA POPULAR</t>
  </si>
  <si>
    <t>FUN-094</t>
  </si>
  <si>
    <t>OF. 8553</t>
  </si>
  <si>
    <t>03/0/2018</t>
  </si>
  <si>
    <t>CONTRATO</t>
  </si>
  <si>
    <t>FUN-79</t>
  </si>
  <si>
    <t>FUN-101</t>
  </si>
  <si>
    <t>FUN-80</t>
  </si>
  <si>
    <t>FUN-055</t>
  </si>
  <si>
    <t>FUN-81</t>
  </si>
  <si>
    <t>Impuestos, tasas, contribuciones y multas</t>
  </si>
  <si>
    <t>FUN-056</t>
  </si>
  <si>
    <t>Traslado 240000 a línea 75</t>
  </si>
  <si>
    <t>Creación linea</t>
  </si>
  <si>
    <t>Traslado a dotación</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</si>
  <si>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</si>
  <si>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</si>
  <si>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</si>
  <si>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</si>
  <si>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</si>
  <si>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</si>
  <si>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</si>
  <si>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</si>
  <si>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</si>
  <si>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</si>
  <si>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</si>
  <si>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</si>
  <si>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</si>
  <si>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</si>
  <si>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</si>
  <si>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</si>
  <si>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</si>
  <si>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</si>
  <si>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</si>
  <si>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</si>
  <si>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</si>
  <si>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</si>
  <si>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</si>
  <si>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</si>
  <si>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</si>
  <si>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</si>
  <si>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</si>
  <si>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</si>
  <si>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</si>
  <si>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</si>
  <si>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</si>
  <si>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</si>
  <si>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</si>
  <si>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</si>
  <si>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</si>
  <si>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</si>
  <si>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</si>
  <si>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</si>
  <si>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</si>
  <si>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</si>
  <si>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</si>
  <si>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</si>
  <si>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</si>
  <si>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</si>
  <si>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</si>
  <si>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</si>
  <si>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</si>
  <si>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Mínima Cuantía</t>
  </si>
  <si>
    <t>FUN-086</t>
  </si>
  <si>
    <t xml:space="preserve">7000000 de LINEA 54     </t>
  </si>
  <si>
    <t>MEM 4959      OF 7334</t>
  </si>
  <si>
    <t>FUN-97</t>
  </si>
  <si>
    <t xml:space="preserve">Adquirir detectores de humo, que permita a la CVP estar preparada en caso de incendio </t>
  </si>
  <si>
    <t>recursos de lineas 54, 55 y 56. $2,3´ a línea 105.</t>
  </si>
  <si>
    <t>MEM 4959         MEM 8230</t>
  </si>
  <si>
    <t>FUN-98</t>
  </si>
  <si>
    <t>FUN-99</t>
  </si>
  <si>
    <t>FUN-076</t>
  </si>
  <si>
    <t xml:space="preserve">   Recursos de L. 62 (OF. 5254)</t>
  </si>
  <si>
    <t>Traslado presupuestal para pago de pasivo exigible</t>
  </si>
  <si>
    <t>FUN-080</t>
  </si>
  <si>
    <t xml:space="preserve">Traslado  de línea 32  </t>
  </si>
  <si>
    <t>Creación</t>
  </si>
  <si>
    <t>FUN-082 (Anul)</t>
  </si>
  <si>
    <t>Traslado de línea 81  Rec. A línea 107</t>
  </si>
  <si>
    <t>24/05/2018  15/06/2018</t>
  </si>
  <si>
    <t>Creación                  Traslado</t>
  </si>
  <si>
    <t xml:space="preserve">Traslado </t>
  </si>
  <si>
    <t>FUN-102</t>
  </si>
  <si>
    <t>FUN-083 (Anul)</t>
  </si>
  <si>
    <t>Traslado de linea 60  Rec. A línea 107</t>
  </si>
  <si>
    <t>FUN-103</t>
  </si>
  <si>
    <t>FUN-084  )Anul)</t>
  </si>
  <si>
    <t>Traslado de linea 69  Rec. A línea 107</t>
  </si>
  <si>
    <t>FUN-104</t>
  </si>
  <si>
    <t>FUN-085 (Anul)</t>
  </si>
  <si>
    <t>Traslado de linea 68   Traslado a línea 53 Rec. A línea 107</t>
  </si>
  <si>
    <t>FUN-105</t>
  </si>
  <si>
    <t>Adición al contrato 646 de 2017 cuyo objeto es: "Contratar los servicios en salud ocupacional refeente a la realización de los exámenes médicos ocupacionales, de pre-ingreso, periódicos programados, por cambio de ocupación, post-incapacidad y de egreso para la Caja de la Vivienda Popular."</t>
  </si>
  <si>
    <t>FUN-089</t>
  </si>
  <si>
    <t>Recursos de linea 97</t>
  </si>
  <si>
    <t xml:space="preserve">  MEM 8230</t>
  </si>
  <si>
    <t>Adición de contrato</t>
  </si>
  <si>
    <t>FUN-106</t>
  </si>
  <si>
    <t>Adición contrato de dotación para el pago de dotaciones pendientes</t>
  </si>
  <si>
    <t>FUN-107</t>
  </si>
  <si>
    <t xml:space="preserve">Pago de dotaciones pendientes </t>
  </si>
  <si>
    <t>Resolución</t>
  </si>
  <si>
    <t>FUN-108</t>
  </si>
  <si>
    <t>Adición y prórroga al contrato 404 de 2018, cuyo objeto es “Prestación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</si>
  <si>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FUN-109</t>
  </si>
  <si>
    <t>Prestación de servicios de apoyo a la gestión de la Subdirección Financiera, en el desarrollo de actividades propias de su gestión, en especial las relacionadas con tesorería, de acuerdo con las normas vigentes, los procedimientos y los lineamientos internos de la Caja de la Vivienda Popular</t>
  </si>
  <si>
    <t>Of. 9102</t>
  </si>
  <si>
    <t>208-Mejoramiento de Barrios</t>
  </si>
  <si>
    <t>Desarrollar el 100% de las intervenciones priorizadas de mejoramiento</t>
  </si>
  <si>
    <t>15- Contribuir 100% al Mejoramiento de Barrios en los Territorios Priorizados por la SDHT a través de Procesos Estudios y Diseños de Infraestructura en Espacios Públicos a escala barrial para la accesibilidad de los ciudadanos a un Hábitat.</t>
  </si>
  <si>
    <t>01-Infraestructura</t>
  </si>
  <si>
    <t>01-Construcción, Adecuación y ampliación de infraestructura propia del sector</t>
  </si>
  <si>
    <t>0108-Obras de Urbanismo</t>
  </si>
  <si>
    <t xml:space="preserve">03-Recursos Administrados </t>
  </si>
  <si>
    <t xml:space="preserve">146 Recursos del balance de libre destinación </t>
  </si>
  <si>
    <t>2.1.03.01.05.03.01.01.98 - A Otras Entidades No Financieras Municipales y/o Distritales no consideradas Empresas</t>
  </si>
  <si>
    <t>095 - Vivienda - General</t>
  </si>
  <si>
    <t>7018 - Transferencias de carácter general entre diferentes niveles de gobierno</t>
  </si>
  <si>
    <t>A.7.5 - PLANES Y PROYECTOS PARA LA ADQUISICIÓN Y/O CONSTRUCCIÓN DE VIVIENDA</t>
  </si>
  <si>
    <t>Estudios y Diseños de Infraestructura en espacio público a escala barrial</t>
  </si>
  <si>
    <t>Licitación Pública</t>
  </si>
  <si>
    <t>MARZO</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</si>
  <si>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</si>
  <si>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</si>
  <si>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02-Dotación</t>
  </si>
  <si>
    <t>01- Adquisición y/o producción de equipo, materiales, suministros y servicios propios del sector.</t>
  </si>
  <si>
    <t>0754-Actividades para el fortalecimiento de estrategias de comunicación.</t>
  </si>
  <si>
    <t>A.7.3 - PLANES Y PROYECTOS DE MEJORAMIENTO DE VIVIENDA Y SANEAMIENTO BÁSICO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</si>
  <si>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</si>
  <si>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Concurso de Meritos</t>
  </si>
  <si>
    <t>ABRIL</t>
  </si>
  <si>
    <t>A.17.1 - PROCESOS INTEGRALES DE EVALUACIÓN INSTITUCIONAL Y REORGANIZACIÓN ADMINISTRATIVA</t>
  </si>
  <si>
    <t xml:space="preserve">Contratar los servicios de divulgación masiva que optimice la estrategia de comunicación de la Caja de la Vovienda Popular, a traves de los diferentes medios de comunicación y promocione la gestión de las direcciones misionales. </t>
  </si>
  <si>
    <t>AGOSTO</t>
  </si>
  <si>
    <t>03-Recurso Humano</t>
  </si>
  <si>
    <t>04-Gastos de Personal Operativo</t>
  </si>
  <si>
    <t>0312-Personal Contratado para Apoyar las Actividades Propias de los Proyectos de Inversión Misionales de la Entidad</t>
  </si>
  <si>
    <t>Pago de nómina y aportes patronales de funcionarios de planta temporal de la dirección de mejoramiento de barrios</t>
  </si>
  <si>
    <t>Orden de Prestacion de Servicios</t>
  </si>
  <si>
    <t>ENERO</t>
  </si>
  <si>
    <t>1608-1800-1837-1902-1946-1978-2020-2050-2492-2526</t>
  </si>
  <si>
    <t>CAJA DE VIVIENDA POPULAR</t>
  </si>
  <si>
    <t>25-28-31-34-37-40-43-46-49</t>
  </si>
  <si>
    <t>Viabilización</t>
  </si>
  <si>
    <t>Contratacion Recurso Humano</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</si>
  <si>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</si>
  <si>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1542-1720-1911-2007-2457-183</t>
  </si>
  <si>
    <t>POSITIVA COMPAÑIA DE SEGUROS SA</t>
  </si>
  <si>
    <t>3-4-5-6-7</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</si>
  <si>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</si>
  <si>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</si>
  <si>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</si>
  <si>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</si>
  <si>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</si>
  <si>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</si>
  <si>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</si>
  <si>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</si>
  <si>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</si>
  <si>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</si>
  <si>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</si>
  <si>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</si>
  <si>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</si>
  <si>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</si>
  <si>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</si>
  <si>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</si>
  <si>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</si>
  <si>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LAURA FERNANDA GOMEZ RAMIREZ</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</si>
  <si>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</si>
  <si>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</si>
  <si>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</si>
  <si>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</si>
  <si>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</si>
  <si>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</si>
  <si>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</si>
  <si>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</si>
  <si>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</si>
  <si>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</si>
  <si>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</si>
  <si>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</si>
  <si>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</si>
  <si>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</si>
  <si>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</si>
  <si>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</si>
  <si>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</si>
  <si>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</si>
  <si>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</si>
  <si>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</si>
  <si>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</si>
  <si>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</si>
  <si>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</si>
  <si>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</si>
  <si>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</si>
  <si>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en los procesos misionales y proyectos especiales, para apoyar la gestión, planeación, concertación y seguimiento a los planes y cronogramas del componente social.</t>
  </si>
  <si>
    <t>LINA MARIA AZUERO GUTIERREZ</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</si>
  <si>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</si>
  <si>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</si>
  <si>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</si>
  <si>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</si>
  <si>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</si>
  <si>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</si>
  <si>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</si>
  <si>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</si>
  <si>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</si>
  <si>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</si>
  <si>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</si>
  <si>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</si>
  <si>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</si>
  <si>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</si>
  <si>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</si>
  <si>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</si>
  <si>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</si>
  <si>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</si>
  <si>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</si>
  <si>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</si>
  <si>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</si>
  <si>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</si>
  <si>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</si>
  <si>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</si>
  <si>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</si>
  <si>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</si>
  <si>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</si>
  <si>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</si>
  <si>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</si>
  <si>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</si>
  <si>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</si>
  <si>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</si>
  <si>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</si>
  <si>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</si>
  <si>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MONICA VIVIANA CEBALLOS CRIOLLO</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</si>
  <si>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</si>
  <si>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</si>
  <si>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FRANCISCO JOSE ARGUELLO ROJAS</t>
  </si>
  <si>
    <t xml:space="preserve"> 15/01/2018</t>
  </si>
  <si>
    <t>005 (Anulado) - 110</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</si>
  <si>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</si>
  <si>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JHON CARLOS RINCON AGREDO</t>
  </si>
  <si>
    <t>Prestar servicios profesionales en la implementacion y seguimiento de la politica de responsabilidad social, bajo los tres pilares de sostenibilidad a los procesos de gestion misional de la entidad.</t>
  </si>
  <si>
    <t>JULY PAOLA TORRES RISCANEVO</t>
  </si>
  <si>
    <t>Prestación de Servicios profesionales para apoyar a la Dirección de Mejoramiento de Barrios de la Caja de la Vivienda Popular.</t>
  </si>
  <si>
    <t>NOVIEMBRE</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</si>
  <si>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</si>
  <si>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</si>
  <si>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</si>
  <si>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FEBRERO</t>
  </si>
  <si>
    <t>208-2</t>
  </si>
  <si>
    <t>UNION TEMPORAL INTERVENCION VIAL CIV</t>
  </si>
  <si>
    <t>Traslado para pagos pasivos exigibles</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</si>
  <si>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</si>
  <si>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</si>
  <si>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</si>
  <si>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</si>
  <si>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</si>
  <si>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</si>
  <si>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</si>
  <si>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Realizar las obras de intervención física a escala barrial consistentes en la construcción de  los tramos viales con los códigos de identificación vial - CIV priorizados, ubicados en las localidades de Bogotá D.C.</t>
  </si>
  <si>
    <t>JULIO</t>
  </si>
  <si>
    <t>Realizar la interventoría técnica, administrativa, financiera, social, jurídica, ambiental y SSTMA para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</si>
  <si>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Contrato de Interventoria</t>
  </si>
  <si>
    <t>MONICA JOHANNA CHIPATECUA QUEVEDO</t>
  </si>
  <si>
    <t>LUIS ALFONSO DIAZ MARTIN</t>
  </si>
  <si>
    <t>NATALY ANGELICA NOGALES VARGAS</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</si>
  <si>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</si>
  <si>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AGUSTIN  LOBATON CORTES</t>
  </si>
  <si>
    <t xml:space="preserve">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</si>
  <si>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Prestación de Servicios profesionales de carácter jurídico para apoyar a la Dirección de Mejoramiento de Barrios de la Caja de la Vivienda Popular.</t>
  </si>
  <si>
    <t>Realizar las obras de intervención física a escala barrial consistentes en la construcción de los tramos viales con los códigos de identificación vial - CIV priorizados, ubicados en las localidades de Bogotá D.C.</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</si>
  <si>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</si>
  <si>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</si>
  <si>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</si>
  <si>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</si>
  <si>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0311-Personal Contratado para Apoyar y Fortalecer las Labores Administrativas de la Entidad</t>
  </si>
  <si>
    <t>Pago de nómina y aportes patronales para funcionarios de planta temporal y transitoria</t>
  </si>
  <si>
    <t>FOR-035</t>
  </si>
  <si>
    <t>SUBDIRECCION ADMINISTRATIVA</t>
  </si>
  <si>
    <t>404-2</t>
  </si>
  <si>
    <t>PRESTACION DE SERVICIOS PROFESIONALES</t>
  </si>
  <si>
    <t>FOR-040</t>
  </si>
  <si>
    <t>5922500 a lineas 29 y 34        3131100 DE LINEA 3</t>
  </si>
  <si>
    <t>OF.483</t>
  </si>
  <si>
    <t>Traslado a lineas 29 y 34</t>
  </si>
  <si>
    <t>404-3</t>
  </si>
  <si>
    <t xml:space="preserve">Prestar servicios profesionales para apoyar la planeación,  seguimiento, proyección y evaluación de los proyectos de inversión y los planes de gestión de la Caja de la Vivienda Popular. </t>
  </si>
  <si>
    <t>OF.483                    OF. 8486                 Of. 8515</t>
  </si>
  <si>
    <t>26/06/2018           27/06/2018</t>
  </si>
  <si>
    <t>TRASLADO A LINEA 27           Traslado a linea 67</t>
  </si>
  <si>
    <t>CONTRATACIÓN DE SERV PERS.</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</si>
  <si>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</si>
  <si>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</si>
  <si>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</si>
  <si>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</si>
  <si>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</si>
  <si>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</si>
  <si>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404-6</t>
  </si>
  <si>
    <t>Prestación de servicios profesionales para apoyar la formulación, seguimiento y monitoreo al cumplimiento de objetivos y metas de los programas, proyectos y planes de acción de gestión que se ejecutan en la entidad</t>
  </si>
  <si>
    <t>FOR-004</t>
  </si>
  <si>
    <t>404-7</t>
  </si>
  <si>
    <t>FOR-005</t>
  </si>
  <si>
    <t>OF. 8486</t>
  </si>
  <si>
    <t>TRASLADO A LINEA 27</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</si>
  <si>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</si>
  <si>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</si>
  <si>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</si>
  <si>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</si>
  <si>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CONTROL INTERNO</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</si>
  <si>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</si>
  <si>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</si>
  <si>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</si>
  <si>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Of. 9944</t>
  </si>
  <si>
    <t>Contratación de serv pers.</t>
  </si>
  <si>
    <t>404-10</t>
  </si>
  <si>
    <t xml:space="preserve">Prestación de servicios profesionales para realizar el seguimiento y control al cumplimiento del Sistema Integrado de Gestión de la CVP, así como del Plan Operativo de Control Interno. </t>
  </si>
  <si>
    <t>FOR-008</t>
  </si>
  <si>
    <t>404-11</t>
  </si>
  <si>
    <t>Prestar servicios profesionales en el seguimiento y ajustes que resulten necesarios dentro del sistema integrado de gestión de la Caja de la Vivienda Popular y sus componentes, que se encuentren a cargo de la Dirección Jurídica.</t>
  </si>
  <si>
    <t>FOR-009</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</si>
  <si>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</si>
  <si>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</si>
  <si>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</si>
  <si>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404-13</t>
  </si>
  <si>
    <t>Prestación de servicios profesionales para apoyar el mejoramiento continuo y la operación del proceso de Gestión Documental a cargo de la Subdirección Administrativa.</t>
  </si>
  <si>
    <t>FOR-011</t>
  </si>
  <si>
    <t>404-14</t>
  </si>
  <si>
    <t>Prestar los servicios profesionales para apoyar a la Subdirección Administrativa en los temas administrativos y de ejecución contractual tendientes al cumplimiento de las metas establecidas.</t>
  </si>
  <si>
    <t>FOR-012</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</si>
  <si>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</si>
  <si>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</si>
  <si>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</si>
  <si>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404-16</t>
  </si>
  <si>
    <t>96 - Vivienda - General</t>
  </si>
  <si>
    <t>7019 - Transferencias de carácter general entre diferentes niveles de gobierno</t>
  </si>
  <si>
    <t>FOR-014</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</si>
  <si>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</si>
  <si>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</si>
  <si>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</si>
  <si>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Of. 8515</t>
  </si>
  <si>
    <t>SUBDIRECCION FINANCIERA</t>
  </si>
  <si>
    <t xml:space="preserve">   Of. 8515</t>
  </si>
  <si>
    <t xml:space="preserve"> 27/06/2018</t>
  </si>
  <si>
    <t xml:space="preserve"> Traslado a linea 67</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</si>
  <si>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</si>
  <si>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</si>
  <si>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</si>
  <si>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404-19</t>
  </si>
  <si>
    <t xml:space="preserve">Prestación de servicios profesionales para realizar el  proceso de convergencia y adapatabilidad del nuevo marco de regulación contable en la Caja de la Vivienda Popular. </t>
  </si>
  <si>
    <t>FOR-017</t>
  </si>
  <si>
    <t>404-20</t>
  </si>
  <si>
    <t>Prestación de servicios profesionales para apoyar a la Subdirección Financiera en la ejecución y seguimiento presupuestal de la Caja de la Vivienda Popular.</t>
  </si>
  <si>
    <t>FOR-018</t>
  </si>
  <si>
    <t>404-21</t>
  </si>
  <si>
    <t>Prestación de servicios profesionales para apoyar las actividades de contabilidad a cargo de la Subdirección Financiera, aplicando la normatividad vigente y atendiendo los procesos y procedimientos establecidos por la entidad.</t>
  </si>
  <si>
    <t>FOR-019</t>
  </si>
  <si>
    <t>404-22</t>
  </si>
  <si>
    <t xml:space="preserve">Prestación de servicios profesionalespara apoyar las actividades relacionadas con el proceso de cartera, aplicando la normatividad vigente y los procedimientos establecidos por la Subdirección Financiera </t>
  </si>
  <si>
    <t>FOR-020</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</si>
  <si>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</si>
  <si>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</si>
  <si>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</si>
  <si>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404-24</t>
  </si>
  <si>
    <t>Prestación de servicios profesionales para el acompañamiento jurídico en las diferentes etapas de los procesos de contratación que adelante la Caja de la Vivienda Popular</t>
  </si>
  <si>
    <t>FOR-022</t>
  </si>
  <si>
    <t>404-25</t>
  </si>
  <si>
    <t>Prestación de servicios profesionales para apoyar a la Dirección de Gestión Corporativa y CID en la revisión, estructuración, seguimiento y control de los aspectos financieros y presupuestales a su cargo.</t>
  </si>
  <si>
    <t>FOR-023</t>
  </si>
  <si>
    <t>404-26</t>
  </si>
  <si>
    <t>Prestar servicios profesionales para apoyar el impulso de los procesos disciplinarios que se adelanten en la Caja de la Vivienda Popular y que se encuentran a cargo de la Dirección de Gestión Corporativa y CID en primera instancia.</t>
  </si>
  <si>
    <t>FOR-024</t>
  </si>
  <si>
    <t>404-27</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</si>
  <si>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</si>
  <si>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 LINEAS 58 Y 59</t>
  </si>
  <si>
    <t>OF.483                    OF. 8486</t>
  </si>
  <si>
    <t>CONTRATO SERV.</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</si>
  <si>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</si>
  <si>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</si>
  <si>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</si>
  <si>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404-29</t>
  </si>
  <si>
    <t>5922500 DE LINEA 2</t>
  </si>
  <si>
    <t>Anulacion viab.</t>
  </si>
  <si>
    <t>404-30</t>
  </si>
  <si>
    <t>FOR-028</t>
  </si>
  <si>
    <t>02-JAN-18</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</si>
  <si>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</si>
  <si>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</si>
  <si>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</si>
  <si>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</si>
  <si>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</si>
  <si>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</si>
  <si>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</si>
  <si>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404-33</t>
  </si>
  <si>
    <t>Prestación de servicios profesionales para acompañar a la DGC y CID en la revisión, actualización, y/o mejora de los diferentes procesos que se encuentran a su cargo.</t>
  </si>
  <si>
    <t>FOR-031</t>
  </si>
  <si>
    <t>404-34</t>
  </si>
  <si>
    <t>Anulación viab.</t>
  </si>
  <si>
    <t>404-35</t>
  </si>
  <si>
    <t xml:space="preserve">Prestación de servicios profesionales para apoyar la gestión documental del archivo de gestión contractual que se encuentra a cargo de la Dirección de Gestión Corporativa y CID de la Caja de Vivienda Popular. </t>
  </si>
  <si>
    <t>FOR-033</t>
  </si>
  <si>
    <t>404-36</t>
  </si>
  <si>
    <t>FOR-034</t>
  </si>
  <si>
    <t>404-37</t>
  </si>
  <si>
    <t>05-Administración Institucional</t>
  </si>
  <si>
    <t>02-ADMINISTRACIÓN,
CONTROL Y
ORGANIZACIÓN
INSTITUCIONAL PARA
APOYO A LA GESTIÓN DEL
DISTRITO</t>
  </si>
  <si>
    <t>0141-Otros Gastos Administración, Control Y Organización
Institucional Para Apoyo Gestión Del Estado</t>
  </si>
  <si>
    <t xml:space="preserve">CONTRATO DE PRESTACION DE SERVICIOS </t>
  </si>
  <si>
    <t>404-38</t>
  </si>
  <si>
    <t>06-Gastos Operativos</t>
  </si>
  <si>
    <t>0004-Otros Gastos Operativos</t>
  </si>
  <si>
    <t>Realizar la auditoría interna al Sistema de Gestión de Calidad de la Caja de la Vivienda Popular, de acuerdo con los parámetros establecidos en la Norma Técnica de Calidad ISO 9001:2015.</t>
  </si>
  <si>
    <t>FOR-046</t>
  </si>
  <si>
    <t>3150609 de fun-39</t>
  </si>
  <si>
    <t>Mod. Objeto-valor oficio 3103 de fmarzo 2</t>
  </si>
  <si>
    <t>404-39</t>
  </si>
  <si>
    <t>Contratar el servicio para la realización de actividades de sensibilización ambiental, pedagógicas y lúdicas, para una semana en la Caja de la Vivienda Popular, de acuerdo con el marco del acuerdo 197 de 2005</t>
  </si>
  <si>
    <t>FOR-062</t>
  </si>
  <si>
    <t>3150609 a fun-38</t>
  </si>
  <si>
    <t>404-40</t>
  </si>
  <si>
    <t>Suministro de alimentación y catering requeridos para las actividades programadas a nivel interno y externo para el desarrollo de las funciones de la Caja de la Vivienda Popular.</t>
  </si>
  <si>
    <t>FOR-047</t>
  </si>
  <si>
    <t>404-41</t>
  </si>
  <si>
    <t>Pago de Servicios Publicos</t>
  </si>
  <si>
    <t>FOR-043</t>
  </si>
  <si>
    <t>404-42</t>
  </si>
  <si>
    <t xml:space="preserve">
Prestación del servicio integral de fotocopiado, anillado y fotoplanos que requiera la Caja de la Vivienda Popular, de acuerdo con las especificaciones técnicas.</t>
  </si>
  <si>
    <t>FOR-051</t>
  </si>
  <si>
    <t>61900000 DE LINEA 48</t>
  </si>
  <si>
    <t>$36,3`a líneas 60 y 61  con cambio de concepto Of. 3819.  $61,9´  DE LINEA 48 (OF. 5174)</t>
  </si>
  <si>
    <t>TRASLADO PRESUPUESTAL</t>
  </si>
  <si>
    <t>404-43</t>
  </si>
  <si>
    <t>ORDEN DE COMPRA</t>
  </si>
  <si>
    <t>404-44</t>
  </si>
  <si>
    <t>Servicio de Telefonía Celular</t>
  </si>
  <si>
    <t>FOR-044</t>
  </si>
  <si>
    <t>404-45</t>
  </si>
  <si>
    <t>0005-Alquiler de vehículos</t>
  </si>
  <si>
    <t>Contratar el servicio público de transporte terrestre auotomotor especial en la modalidad de buses, busetas y vans para la Caja de la Vivienda Popular.</t>
  </si>
  <si>
    <t>1204/2018</t>
  </si>
  <si>
    <t>FOR-053</t>
  </si>
  <si>
    <t>$35´DE LINEA 46</t>
  </si>
  <si>
    <t>404-46</t>
  </si>
  <si>
    <t>Prestar el servicio público de transporte terrestre automotor especial para la caja de la vivienda popular</t>
  </si>
  <si>
    <t>$35´A LINEA 45                    $38,3 a lin. 67            38,9´A LINEAS 69 Y 70</t>
  </si>
  <si>
    <t xml:space="preserve"> 27/06/2018             05/07/2018</t>
  </si>
  <si>
    <t xml:space="preserve"> Traslado a linea 67, 69, 70</t>
  </si>
  <si>
    <t>404-47</t>
  </si>
  <si>
    <t>0133-Vigilancia</t>
  </si>
  <si>
    <t>FOR-054</t>
  </si>
  <si>
    <t>OF. 5306</t>
  </si>
  <si>
    <t>APERTURA LICITACION</t>
  </si>
  <si>
    <t>404-48</t>
  </si>
  <si>
    <t>01-Adquisición y/o Producción de Equipos, Materiales, Suministros y Servicios Propios del Sector</t>
  </si>
  <si>
    <t>0376-Póliza de Seguro para cartera</t>
  </si>
  <si>
    <t>Contratar la póliza de vida grupo deudores para los adjudicatarios y/o cesionarios (aprobados por la entidad) de los créditos para financiación de vivienda.</t>
  </si>
  <si>
    <t>CONTRATO DE SEGUROS</t>
  </si>
  <si>
    <t>404-49</t>
  </si>
  <si>
    <t>0366-Adquisición de Equipos, Materiales y Suministros, Software y Otros Servicios para el Fortalecimiento Institucional</t>
  </si>
  <si>
    <t>Contratar el arrendamiento de un inmueble para la atención oportuna y de calidad a los ciudadanos de la Caja de Vivienda Popular en el local de la carrera 13 N, 54 - 21.</t>
  </si>
  <si>
    <t>CONTRATO DE ARRENDAMIENTO</t>
  </si>
  <si>
    <t>404-50</t>
  </si>
  <si>
    <t>FOR-041</t>
  </si>
  <si>
    <t>OF.0483</t>
  </si>
  <si>
    <t>404-51</t>
  </si>
  <si>
    <t xml:space="preserve">Adquisición de unidades de almacenamiento y conservación (cajas de archivo, tapas legajadoras y carpetas de cuatro aletas en propalcote) para la conservación de los documentos que produce, recibe y custodia la Caja de la Vivienda Popular en sus archivos de Gestión y Central.    </t>
  </si>
  <si>
    <t>CONTRATO DE SUMINISTRO</t>
  </si>
  <si>
    <t>FOR-069</t>
  </si>
  <si>
    <t>Mod. Fecha of. 762                        Of. 9750</t>
  </si>
  <si>
    <t>Objeto - Tipo</t>
  </si>
  <si>
    <t>404-52</t>
  </si>
  <si>
    <t>Contratar la adquisicion de insumos y conservación para la intervenciòn de primeros auxilios documentales de la CVP</t>
  </si>
  <si>
    <t>CONTRATO DE COMPRA VENTA</t>
  </si>
  <si>
    <t>404-53</t>
  </si>
  <si>
    <t>Adquirir los insumos para el saneamiento ambiental que garanticen la adecuada conservación de los archivos de la CVP y la protección del personal que allí labora</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</si>
  <si>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</si>
  <si>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</si>
  <si>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$810,386 A L. 66                         4,1´a lin.72</t>
  </si>
  <si>
    <t>Of. 5460                      Of. 8273</t>
  </si>
  <si>
    <t>25/04/2018    13/06/2018</t>
  </si>
  <si>
    <t>fecha de inicio            creacion de linea</t>
  </si>
  <si>
    <t>404-55</t>
  </si>
  <si>
    <t>Contratar el servicio de mantenimiento preventivo y correctivo para el sistema de sonido de propiedad de la Caja de la Vivienda Popular.</t>
  </si>
  <si>
    <t>FOR-057</t>
  </si>
  <si>
    <t>404-56</t>
  </si>
  <si>
    <t>06-Mejoramiento y mantenimiento de la infraestructura administrativa</t>
  </si>
  <si>
    <t>0008-Mejoramiento de la Infraestructura Administrativa</t>
  </si>
  <si>
    <t>Contratar la prestación del servicio de mantenimiento del jardín vertical de la caja de la vivienda popular.</t>
  </si>
  <si>
    <t>404-57</t>
  </si>
  <si>
    <t>Adición al contrato 659 de 2017 cuyo objeto es "Contratar el servicio de transporte terrestre auotomotor especial en la modalidad de buses, busetas y vans para la caja de la vivienda popular."</t>
  </si>
  <si>
    <t>Selección Abreviada subasta inversa</t>
  </si>
  <si>
    <t>FOR-038</t>
  </si>
  <si>
    <t>De linea 45</t>
  </si>
  <si>
    <t>Of 9504</t>
  </si>
  <si>
    <t>404-58</t>
  </si>
  <si>
    <t>FOR-039</t>
  </si>
  <si>
    <t>De linea 27</t>
  </si>
  <si>
    <t>404-59</t>
  </si>
  <si>
    <t>PRESTACION DE SERVICIOS DE APOYO A LA GESTIÓN</t>
  </si>
  <si>
    <t>OF.483                            OF. 8486</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</si>
  <si>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</si>
  <si>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</si>
  <si>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</si>
  <si>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</si>
  <si>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</si>
  <si>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</si>
  <si>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</si>
  <si>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</si>
  <si>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</si>
  <si>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</si>
  <si>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</si>
  <si>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</si>
  <si>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$35`DE LINEA 42. OF 3847</t>
  </si>
  <si>
    <t>404-63</t>
  </si>
  <si>
    <t>FOR-052</t>
  </si>
  <si>
    <t>DE LINEA 48</t>
  </si>
  <si>
    <t>TRASLADO ENTRE CONCEPTOS  (OF. 5254)</t>
  </si>
  <si>
    <t>404-64</t>
  </si>
  <si>
    <t>Adición y prorroga al contrato 419 de 2017 cuyo objeto es "Prestar el servicio de mensajería expresa y motorizada para la recolección, transporte y entrega de la correspondencia de la Caja de la Vivienda Popular."</t>
  </si>
  <si>
    <t>FOR-055</t>
  </si>
  <si>
    <t>TRASLADO ENTRE CONCEPTOS  (OF. 6991)</t>
  </si>
  <si>
    <t>ADICIÓN CONTRATO</t>
  </si>
  <si>
    <t>404-65</t>
  </si>
  <si>
    <t>Adición y prorroga al contrato 421 de 2017 cuyo objeto es "Contratar la prestación del servicio integral de fotocopiado, encuadernación y fotoplanos que requiera la Caja de la Vivienda Popular de acuerdo con las especificaciones técnicas."</t>
  </si>
  <si>
    <t>FOR-056</t>
  </si>
  <si>
    <t>404-66</t>
  </si>
  <si>
    <t>Adquisición de dos (2) grabadoras para la Caja de la Vivienda Popular</t>
  </si>
  <si>
    <t>CONTRATO DE COMPRAVENTA</t>
  </si>
  <si>
    <t>FOR-058</t>
  </si>
  <si>
    <t>Recursos de línea 54</t>
  </si>
  <si>
    <t xml:space="preserve">      Of. 8273</t>
  </si>
  <si>
    <t xml:space="preserve">  13/06/2018</t>
  </si>
  <si>
    <t xml:space="preserve">        creacion de linea</t>
  </si>
  <si>
    <t xml:space="preserve"> 13/06/2018</t>
  </si>
  <si>
    <t>404-67</t>
  </si>
  <si>
    <t xml:space="preserve">Prestación de servicios profesionales en el desarrollo de actividades jurídicas y administrativas transversales relacionadas con los diferentes proyectos de la Entidad, para su correspondiente reporte ante la Dirección General de la Caja de la Vivienda Popular </t>
  </si>
  <si>
    <t>FOR-060</t>
  </si>
  <si>
    <t>404-68</t>
  </si>
  <si>
    <t>Prestación de servicios profesionales para el acompañamiento jurídico en las diferentes etapas de los procesos de contratación que adelante la Caja de la Vivienda Popular.</t>
  </si>
  <si>
    <t>FOR-061</t>
  </si>
  <si>
    <t>404-69</t>
  </si>
  <si>
    <t>FOR-063</t>
  </si>
  <si>
    <t xml:space="preserve"> Traslado de linea 46</t>
  </si>
  <si>
    <t>404-70</t>
  </si>
  <si>
    <t>Prestar servicios profesionales para apoyar la planeación, seguimiento y evaluación de los subsistemas del Sistema Integrado de Gestión de la Caja de la Vivienda Popular.</t>
  </si>
  <si>
    <t>FOR-064</t>
  </si>
  <si>
    <t>404-71</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</si>
  <si>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</si>
  <si>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FOR-065</t>
  </si>
  <si>
    <t>$36,3`a líneas 60 y 61  con cambio de concepto Of. 3819   $61,9´  A LINEA 42 (OF. 5174)       $29,5´A LINEA NUEVA (OF. 5254)  $29,5´A LINEA NUEVA (OF. 6991)      of. 8816</t>
  </si>
  <si>
    <t>13/04/2018      25/05/2018   05/07/2018</t>
  </si>
  <si>
    <t>13/04/2018      25/05/2018</t>
  </si>
  <si>
    <t>404-72</t>
  </si>
  <si>
    <t>Contratar la adquisición de detectores de humo, con los cuales se garantice una respuesta oportuna en caso de incendio, de conformidad con las especificaciones técnicas establecidas por la entidad.</t>
  </si>
  <si>
    <t>FOR-066</t>
  </si>
  <si>
    <t>Of. 9504</t>
  </si>
  <si>
    <t>404-73</t>
  </si>
  <si>
    <t xml:space="preserve">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    </t>
  </si>
  <si>
    <t>FOR-070</t>
  </si>
  <si>
    <t xml:space="preserve">Of. 8816              Of. 9605                   Of. 9750                                   </t>
  </si>
  <si>
    <t>404-74</t>
  </si>
  <si>
    <t>FOR-067</t>
  </si>
  <si>
    <t>Rec. De lin. 73 Of. 9605</t>
  </si>
  <si>
    <t>Of. 9605</t>
  </si>
  <si>
    <t>404-75</t>
  </si>
  <si>
    <t xml:space="preserve">Prestación de servicios profesionales como enlace jurídico para la atención de los requerimientos y trámites que adelante la Dirección General de la Caja de la Vivienda Popular ante los diferentes órganos de control.    </t>
  </si>
  <si>
    <t>FOR-068</t>
  </si>
  <si>
    <t>De lin. 73</t>
  </si>
  <si>
    <t xml:space="preserve">Of. 9750                                   </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</si>
  <si>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</si>
  <si>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</si>
  <si>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</si>
  <si>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</si>
  <si>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</si>
  <si>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</si>
  <si>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</si>
  <si>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</si>
  <si>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Prestación de servicios</t>
  </si>
  <si>
    <t>Directa</t>
  </si>
  <si>
    <t>TIT-001</t>
  </si>
  <si>
    <t>GRETTA SORAYA BOLAÑO VALENCIA</t>
  </si>
  <si>
    <t>DIRECCION DE TITULACIONES</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</si>
  <si>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</si>
  <si>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</si>
  <si>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</si>
  <si>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RAUL  TOVAR MARTINEZ</t>
  </si>
  <si>
    <t>471-3</t>
  </si>
  <si>
    <t>Prestación de servicios profesionales especializados para la asesoría jurídica en materia contractual, fiduciaria y tributaria de la Caja de la Vivienda Popular.</t>
  </si>
  <si>
    <t>TIT-003 ANULADA</t>
  </si>
  <si>
    <t>216 ANULADO</t>
  </si>
  <si>
    <t>Se Anula la Viabilidad TIT-003 mediante memorendo enviado por la DUT según radicado 2018IE2231 de fecha 16/02/2018 y recibido en la OAP el 19/02/2018</t>
  </si>
  <si>
    <t>Anulación viabilidad</t>
  </si>
  <si>
    <t>Se anula en razón que el objeto contractual no fue suscrito.</t>
  </si>
  <si>
    <t>471-4</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</si>
  <si>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</si>
  <si>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</si>
  <si>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</si>
  <si>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</si>
  <si>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</si>
  <si>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</si>
  <si>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</si>
  <si>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</si>
  <si>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</si>
  <si>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</si>
  <si>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</si>
  <si>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</si>
  <si>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</si>
  <si>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</si>
  <si>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</si>
  <si>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</si>
  <si>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</si>
  <si>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</si>
  <si>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</si>
  <si>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</si>
  <si>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</si>
  <si>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</si>
  <si>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</si>
  <si>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</si>
  <si>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</si>
  <si>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</si>
  <si>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</si>
  <si>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</si>
  <si>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</si>
  <si>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</si>
  <si>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</si>
  <si>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</si>
  <si>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</si>
  <si>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</si>
  <si>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</si>
  <si>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</si>
  <si>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</si>
  <si>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</si>
  <si>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</si>
  <si>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</si>
  <si>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</si>
  <si>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</si>
  <si>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</si>
  <si>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</si>
  <si>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</si>
  <si>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</si>
  <si>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</si>
  <si>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</si>
  <si>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</si>
  <si>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</si>
  <si>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</si>
  <si>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</si>
  <si>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</si>
  <si>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</si>
  <si>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</si>
  <si>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</si>
  <si>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</si>
  <si>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</si>
  <si>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</si>
  <si>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</si>
  <si>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</si>
  <si>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</si>
  <si>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</si>
  <si>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</si>
  <si>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</si>
  <si>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</si>
  <si>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</si>
  <si>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238 ANULADO</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</si>
  <si>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</si>
  <si>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</si>
  <si>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</si>
  <si>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</si>
  <si>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</si>
  <si>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</si>
  <si>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</si>
  <si>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</si>
  <si>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</si>
  <si>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</si>
  <si>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</si>
  <si>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</si>
  <si>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</si>
  <si>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</si>
  <si>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</si>
  <si>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</si>
  <si>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</si>
  <si>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</si>
  <si>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</si>
  <si>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</si>
  <si>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</si>
  <si>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</si>
  <si>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</si>
  <si>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</si>
  <si>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</si>
  <si>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</si>
  <si>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</si>
  <si>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</si>
  <si>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</si>
  <si>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</si>
  <si>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</si>
  <si>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</si>
  <si>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</si>
  <si>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</si>
  <si>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</si>
  <si>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</si>
  <si>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</si>
  <si>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</si>
  <si>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</si>
  <si>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</si>
  <si>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</si>
  <si>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</si>
  <si>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</si>
  <si>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</si>
  <si>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</si>
  <si>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</si>
  <si>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</si>
  <si>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</si>
  <si>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</si>
  <si>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</si>
  <si>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</si>
  <si>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</si>
  <si>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</si>
  <si>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</si>
  <si>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</si>
  <si>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</si>
  <si>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</si>
  <si>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</si>
  <si>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</si>
  <si>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</si>
  <si>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</si>
  <si>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</si>
  <si>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</si>
  <si>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</si>
  <si>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</si>
  <si>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</si>
  <si>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</si>
  <si>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</si>
  <si>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</si>
  <si>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</si>
  <si>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</si>
  <si>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</si>
  <si>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</si>
  <si>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</si>
  <si>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</si>
  <si>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</si>
  <si>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</si>
  <si>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</si>
  <si>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</si>
  <si>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</si>
  <si>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</si>
  <si>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</si>
  <si>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</si>
  <si>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</si>
  <si>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</si>
  <si>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</si>
  <si>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</si>
  <si>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</si>
  <si>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</si>
  <si>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</si>
  <si>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</si>
  <si>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</si>
  <si>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</si>
  <si>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</si>
  <si>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</si>
  <si>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</si>
  <si>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</si>
  <si>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</si>
  <si>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</si>
  <si>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</si>
  <si>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</si>
  <si>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</si>
  <si>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</si>
  <si>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</si>
  <si>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</si>
  <si>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</si>
  <si>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</si>
  <si>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</si>
  <si>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</si>
  <si>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</si>
  <si>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</si>
  <si>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</si>
  <si>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</si>
  <si>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</si>
  <si>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</si>
  <si>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</si>
  <si>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</si>
  <si>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</si>
  <si>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</si>
  <si>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</si>
  <si>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</si>
  <si>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</si>
  <si>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</si>
  <si>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</si>
  <si>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</si>
  <si>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</si>
  <si>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</si>
  <si>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</si>
  <si>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</si>
  <si>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</si>
  <si>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</si>
  <si>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</si>
  <si>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</si>
  <si>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</si>
  <si>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</si>
  <si>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</si>
  <si>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</si>
  <si>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</si>
  <si>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</si>
  <si>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</si>
  <si>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</si>
  <si>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</si>
  <si>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</si>
  <si>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</si>
  <si>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</si>
  <si>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</si>
  <si>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</si>
  <si>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</si>
  <si>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</si>
  <si>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</si>
  <si>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</si>
  <si>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</si>
  <si>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</si>
  <si>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</si>
  <si>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</si>
  <si>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</si>
  <si>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</si>
  <si>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</si>
  <si>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</si>
  <si>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</si>
  <si>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</si>
  <si>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</si>
  <si>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</si>
  <si>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</si>
  <si>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</si>
  <si>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</si>
  <si>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</si>
  <si>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</si>
  <si>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</si>
  <si>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</si>
  <si>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</si>
  <si>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</si>
  <si>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</si>
  <si>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</si>
  <si>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</si>
  <si>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</si>
  <si>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</si>
  <si>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</si>
  <si>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</si>
  <si>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</si>
  <si>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</si>
  <si>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</si>
  <si>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</si>
  <si>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</si>
  <si>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</si>
  <si>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</si>
  <si>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</si>
  <si>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</si>
  <si>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</si>
  <si>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</si>
  <si>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</si>
  <si>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</si>
  <si>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</si>
  <si>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</si>
  <si>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</si>
  <si>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</si>
  <si>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</si>
  <si>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</si>
  <si>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</si>
  <si>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</si>
  <si>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</si>
  <si>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</si>
  <si>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</si>
  <si>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</si>
  <si>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</si>
  <si>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</si>
  <si>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</si>
  <si>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</si>
  <si>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</si>
  <si>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</si>
  <si>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</si>
  <si>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</si>
  <si>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LUKAS FERNANDO URIBE FRANCO</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</si>
  <si>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</si>
  <si>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</si>
  <si>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</si>
  <si>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</si>
  <si>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</si>
  <si>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</si>
  <si>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</si>
  <si>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</si>
  <si>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</si>
  <si>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</si>
  <si>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</si>
  <si>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</si>
  <si>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</si>
  <si>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</si>
  <si>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</si>
  <si>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</si>
  <si>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</si>
  <si>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</si>
  <si>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</si>
  <si>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TIT-085</t>
  </si>
  <si>
    <t>471-86</t>
  </si>
  <si>
    <t>Entregar 8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</si>
  <si>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</si>
  <si>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</si>
  <si>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</si>
  <si>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</si>
  <si>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</si>
  <si>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</si>
  <si>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</si>
  <si>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</si>
  <si>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</si>
  <si>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</si>
  <si>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</si>
  <si>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</si>
  <si>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</si>
  <si>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</si>
  <si>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</si>
  <si>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</si>
  <si>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</si>
  <si>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282 ANULADO</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</si>
  <si>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</si>
  <si>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</si>
  <si>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</si>
  <si>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</si>
  <si>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</si>
  <si>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Se solicita traslador el valor de las lineas 3,21,90 a la línea 92 por haberse anulado las viabilidades y los cdp de dichas lineas.</t>
  </si>
  <si>
    <t>Traslado de valor programado</t>
  </si>
  <si>
    <t>Por lanulación de las viabiliddes y los cdp se traslada los valoires de las lineas 3,21 y 90 a la linea 92</t>
  </si>
  <si>
    <t>471-93</t>
  </si>
  <si>
    <t>Planta Temporal enero diciembre</t>
  </si>
  <si>
    <t>Resolucion</t>
  </si>
  <si>
    <t>TIT-099-1</t>
  </si>
  <si>
    <t>471-94</t>
  </si>
  <si>
    <t>TIT-100</t>
  </si>
  <si>
    <t>471-95</t>
  </si>
  <si>
    <t>01-Adquisicón y/o producción de equipos, materiales, suministros y servicios propios del sector</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</si>
  <si>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</si>
  <si>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</si>
  <si>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</si>
  <si>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</si>
  <si>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</si>
  <si>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</si>
  <si>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</si>
  <si>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</si>
  <si>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02-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</si>
  <si>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</si>
  <si>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</si>
  <si>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DICIEMBRE</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</si>
  <si>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</si>
  <si>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</si>
  <si>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</si>
  <si>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</si>
  <si>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</si>
  <si>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</si>
  <si>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</si>
  <si>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</si>
  <si>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</si>
  <si>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</si>
  <si>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</si>
  <si>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</si>
  <si>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</si>
  <si>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</si>
  <si>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</si>
  <si>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</si>
  <si>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</si>
  <si>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</si>
  <si>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</si>
  <si>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</si>
  <si>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</si>
  <si>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</si>
  <si>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</si>
  <si>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</si>
  <si>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</si>
  <si>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</si>
  <si>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</si>
  <si>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</si>
  <si>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</si>
  <si>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</si>
  <si>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</si>
  <si>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DEPARTAMENTO DE CUNDINAMARCA - TESORERIA GENERAL</t>
  </si>
  <si>
    <t>471-108</t>
  </si>
  <si>
    <t>SUPERINTENDENCIA DE NOTARIADO Y REGISTRO</t>
  </si>
  <si>
    <t>471-109</t>
  </si>
  <si>
    <t>Titular 10000 predios</t>
  </si>
  <si>
    <t xml:space="preserve">0268- Otros Gastos Operativos  de Titulación </t>
  </si>
  <si>
    <t>Realizar tramites de escrituracion sobre los predios susceptibles de ser titulados por la CVP</t>
  </si>
  <si>
    <t>JUNIO</t>
  </si>
  <si>
    <t>471-110</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</si>
  <si>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</si>
  <si>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</si>
  <si>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</si>
  <si>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</si>
  <si>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</si>
  <si>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TIT-101</t>
  </si>
  <si>
    <t>AXA COLPATRIA  SEGUROS S.A</t>
  </si>
  <si>
    <t>471-113</t>
  </si>
  <si>
    <t>TIT-102</t>
  </si>
  <si>
    <t>Creación linea nueva mediante oficio con radicado 2018IE2798</t>
  </si>
  <si>
    <t>471-114</t>
  </si>
  <si>
    <t>PAGO DE NOMINA DEL MES DE FEBRERO DE 2018 DE LA PLANTA TEMPORAL PROYECTO 471</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</si>
  <si>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</si>
  <si>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</si>
  <si>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</si>
  <si>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</si>
  <si>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</si>
  <si>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</si>
  <si>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</si>
  <si>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</si>
  <si>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471-118</t>
  </si>
  <si>
    <t>PAGO DE MI PLANILLA SEGURIDAD SOCIAL Y PARAFISCALES DE LA PLANTA TEMPORAL DE LA ENTIDAD DEL MES DE FEBRERO DE 2018 PROYECTO 471</t>
  </si>
  <si>
    <t>CAJA DE LA VIVIENDA POPULAR</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</si>
  <si>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</si>
  <si>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</si>
  <si>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06/03//2018</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</si>
  <si>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</si>
  <si>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</si>
  <si>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</si>
  <si>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</si>
  <si>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</si>
  <si>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</si>
  <si>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TIT-105</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</si>
  <si>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</si>
  <si>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</si>
  <si>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TIT-106</t>
  </si>
  <si>
    <t>471-124</t>
  </si>
  <si>
    <t>Sufragar los costos de liquidación de expensas ante Curaduría Urbana, impuestos de delineación urbana, copias de los planos y demás trámites requeridos ante las Curadurías Urbanas N° 1,3 y 5 de Bogotá, para el proceso de licenciamiento de Demolición y Cerramiento de las Viviendas Transitorias de propiedad de la CVP localizadas en el barrio Los Laches.</t>
  </si>
  <si>
    <t>TIT-107</t>
  </si>
  <si>
    <t>HECTOR CARLOS FERNANDO  HERRERA REYES</t>
  </si>
  <si>
    <t>471-125</t>
  </si>
  <si>
    <t>Sufragar los costos por concepto de gastos notariales en el proceso de la escritura de la transferencia al DADEP de las zonas de cesión de Atahualpa ante la noratía 24 de Círculo de Bogota D.C.</t>
  </si>
  <si>
    <t>TIT-108</t>
  </si>
  <si>
    <t>471-126</t>
  </si>
  <si>
    <t>Sufragar los costos por concepto de gastos notariales e impuestos de registro en el proceso de la escritura de desemglobe y cesión al DADEP del lote denominado equipamiento de la Urbanización Arboleda Santa Teresita ante la notaría 34 del Circulo de Bogotá D.C.</t>
  </si>
  <si>
    <t>Resulucion</t>
  </si>
  <si>
    <t>TIT-109</t>
  </si>
  <si>
    <t>471-127</t>
  </si>
  <si>
    <t>PAGO DE SEGURIDAD SOCIAL Y PARAFISCALES DE FUNCIONARIOS DE PLANTA TEMPORAL DE LA DIRECCIÓN DE URBANIZACIONES Y TITULACIÓN MES MARZO 2018</t>
  </si>
  <si>
    <t>471-128</t>
  </si>
  <si>
    <t>PAGO DE NOMINA DEL MES DE ABRIL DE 2018 DE LA PLANTA TEMPORAL, PROYECTO 471</t>
  </si>
  <si>
    <t>471-129</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</si>
  <si>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</si>
  <si>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</si>
  <si>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471-131</t>
  </si>
  <si>
    <t>Sufragar los gastos que impliquen la trasferencia de dominio de los buienes fiscales propiedad de la  Caja de la Vivienda Popular por concepto de registro y beneficiencia, conforme a los establecido por el Acuerdo N° 07 de 02d e Junio  de 2017 de la Junta Directiva de la caja de la Vivienda Popular.</t>
  </si>
  <si>
    <t>TIT-110</t>
  </si>
  <si>
    <t>471-132</t>
  </si>
  <si>
    <t>Sufragar los costos por concepto de gastos notariales en el proceso de otorgamiento y autorización de la escritura aclaratoria y de ratificación de la EP N° 4364 de 2016, ante la notaría 62 del Circuito de Bogotá, afin de realizar la transferencia al DADEP de la zona de cesión ubicada en el barrio Arborizadora Alta de la Localidad de Ciudad Bolivar.</t>
  </si>
  <si>
    <t>TIT-111</t>
  </si>
  <si>
    <t>471-133</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</si>
  <si>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entidqd en el desrrollo de su actividad".</t>
  </si>
  <si>
    <t>TIT-112</t>
  </si>
  <si>
    <t>AXA COLPATRIA SEGUROS SA</t>
  </si>
  <si>
    <t>471-134</t>
  </si>
  <si>
    <t>TIT-113</t>
  </si>
  <si>
    <t>225/05/2018</t>
  </si>
  <si>
    <t>Yair Josue Lizarazo</t>
  </si>
  <si>
    <t>471-135</t>
  </si>
  <si>
    <t>PAGO DE SEGURIDAD SOCIAL Y PARAFISCALES DE FUNCIONARIOS DE PLANTA TEMPORAL DE LA DIRECCIÓN DE URBANIZACIONES Y TITULACIÓN MES Abril 2018</t>
  </si>
  <si>
    <t>CAJA DE VIIVIENDA POPULAR</t>
  </si>
  <si>
    <t>471-136</t>
  </si>
  <si>
    <t>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t>
  </si>
  <si>
    <t>471-137</t>
  </si>
  <si>
    <t>LEIDY PAOLA FLOREZ GALEANO</t>
  </si>
  <si>
    <t>471-138</t>
  </si>
  <si>
    <t>471-139</t>
  </si>
  <si>
    <t>PAGO DE NOMINA A FUNCIONARIOS DE PLANTA TEMPORAL DE LA DIRECCIÓN DE URBANIZACIONES Y TITULACIÓN MES DE MAYO DE 2018</t>
  </si>
  <si>
    <t>471-140</t>
  </si>
  <si>
    <t>471-141</t>
  </si>
  <si>
    <t>01-Construcción, adecuación y ampliación de Infraestructura propia del sector.</t>
  </si>
  <si>
    <t xml:space="preserve">0529-Sentencias Judiciales </t>
  </si>
  <si>
    <t xml:space="preserve">Sufragar los gastos que se incurran para la radicación de la demanda ante el Tribunal de Arbitramento, relacionada con el proceso arbitral que se adelanta por parte de la CVP contra la sociedad comercial CONSTRUCCIONAR Y CIA LTDA, hoy DESARROLLOS INMOBILIARIOS ATAHUALPA II LTDA y la entonces Fiduciaria Tequendama, hoy Servitrust Sudameris, vocera del Patrimonio Autónomo Parques de Atahualpa. </t>
  </si>
  <si>
    <t>TIT-114</t>
  </si>
  <si>
    <t>YAIR JOSUE LIZARAZO CALDERON</t>
  </si>
  <si>
    <t>471-142</t>
  </si>
  <si>
    <t>Sufragar los costos por concepto impuesto de registro en el proceso de escritura de desenglobe y cesión al DADEP del lote denominado equipamiento de la urbanización Arboleda Santa Teresita ante la Notaría 34 del Circulo de Bogotá D.C.</t>
  </si>
  <si>
    <t>TITI-115</t>
  </si>
  <si>
    <t>471-143</t>
  </si>
  <si>
    <t>Prestar servicios técnicos a nivel operativo apoyando transversalmente en la atención a las comunidades a cargo de la Dirección de Urbanizaciones y Titulación para el cumplimiento de sus metas, asi como adelantar actividades de clasificación, registro y archivo de la información generada en la Dirección.</t>
  </si>
  <si>
    <t>TIT-116</t>
  </si>
  <si>
    <t>471-144</t>
  </si>
  <si>
    <t>Prestación de servicios profesionales para realizar el acompañamiento y seguimiento jurídico a las actividades de titulación predial, urbanizaciones y saneamiento predial  que adelanta la Dirección de Urbanizacione y Titulación.</t>
  </si>
  <si>
    <t>TIT-117</t>
  </si>
  <si>
    <t>ENRIQUE JOSE NATES GUERRA</t>
  </si>
  <si>
    <t>471-145</t>
  </si>
  <si>
    <t>PAGO DE LA PRIMA SE SERVICIOS 2018 FUNCIONARIOS DE PLANTA TEMPORAL DE LA DIRECCIÓN DE URBANIZACIONES Y TITULACIÓN</t>
  </si>
  <si>
    <t>471-146</t>
  </si>
  <si>
    <t>471-147</t>
  </si>
  <si>
    <t>PAGO DE SEGURIDAD SOCIAL Y PARAFISCALES DE FUNCIONARIOS DE PLANTA TEMPORAL DE LA DIRECCIÓN DE URBANIZACIONES Y TITULACIÓN MES MAYO 2018</t>
  </si>
  <si>
    <t>471-148</t>
  </si>
  <si>
    <t>PAGO DE NOMINA A FUNCIONARIOS DE PLANTA TEMPORAL DE LA DIRECCIÓN DE URBANIZACIONES Y TITULACIÓN MES DE JUNIOO DE 2018</t>
  </si>
  <si>
    <t>471-149</t>
  </si>
  <si>
    <t>095- Vivienda - General</t>
  </si>
  <si>
    <t>PAGO DE NOMINA A FUNCIONARIOS DE PLANTA TEMPORAL DE LA DIRECCIÓN DE URBANIZACIONES Y TITULACIÓN MES DE JUNIOO DE 2019</t>
  </si>
  <si>
    <t>471-150</t>
  </si>
  <si>
    <t>POSITIVA COMPAÑÍA DE SEGUROS</t>
  </si>
  <si>
    <t>471-151</t>
  </si>
  <si>
    <t>471-152</t>
  </si>
  <si>
    <t>06- Subsidio Directo</t>
  </si>
  <si>
    <t>471-153</t>
  </si>
  <si>
    <t>01- Construcción, adecuación y ampliacion de infraestructura propia del sector</t>
  </si>
  <si>
    <t>0526-Desarrollo de proyectos de vivienda</t>
  </si>
  <si>
    <t>095-Viviends general</t>
  </si>
  <si>
    <t>A7.7</t>
  </si>
  <si>
    <t>Adición N° al contrato N° 694 de 2017, cuyo objeto es:"reparaciones locativas de acabados y lineas vitales que requieran en las unidades de vifenda y zonas comunes de los proyectos de vivienda de interés prioritario VIP de Bosa El Porvenir, Arborizadora Baja (MZ65) y Candelaria La Nueva (MZ67)".</t>
  </si>
  <si>
    <t>Selección abrevidad de menor cuantía</t>
  </si>
  <si>
    <t>TIT-118</t>
  </si>
  <si>
    <t>WILVER FRANCINY RUSSY LADINO</t>
  </si>
  <si>
    <t>471-154</t>
  </si>
  <si>
    <t>A7.8</t>
  </si>
  <si>
    <t>Sufragar los gastos que se incurran en la adición al contrato de Fiducia Mercantil suscrito con la Fiduciaria Tequendama S.A hoy Fiduciaria GNB Sudameris S.A -Pagrimonio Autónomo Atahualpa II en liquidación, de acuerdo con lo aprobado en el Acta de Junta Ordinaria N° 1/2018 del 28 de junio de 2018,</t>
  </si>
  <si>
    <t>TIT-119</t>
  </si>
  <si>
    <t>FIDEICOMISOS SERVITRUST GNB SUDAMERIS S.A.</t>
  </si>
  <si>
    <t>471-155</t>
  </si>
  <si>
    <t>Prestación de servicios profesionales a la Dirección de Urbanizaciones y Titulación en el diseño, orientación y ejecución de estratégias técnicas encamindas a realizar el cierre y entrega de los proyectos de vivienda VIP, obras de urbanismo y equipamientos en los proyectos constructivos desarrollados por la Caja de la Viviend Popular.</t>
  </si>
  <si>
    <t>TIT-120</t>
  </si>
  <si>
    <t>Anulada</t>
  </si>
  <si>
    <t>Se anula la viabilidad TIT-120 de Julio 18 de 2018 mediante solicitud enviada por la DUT con número de radicado 2018IE10442 de Agosto de 2018</t>
  </si>
  <si>
    <t>471-156</t>
  </si>
  <si>
    <t>Prestar servicios profesionales a la Dirección Jurídica como enlace y apoyo de la Dirección de Urbanizaciones y Titulación, en temas relacionados con el desarrollo de las actividades de apoyo jurídico en titulación predial, derecho inmobiliario, actuaciones y trámites en general relacionados con la ejcución de las actividades propias de la CVP.</t>
  </si>
  <si>
    <t>TIT-121</t>
  </si>
  <si>
    <t>471-157</t>
  </si>
  <si>
    <t>Prestación de servicios profesionales a la Dirección de Urbanizaciones y Titulación en la orientación y ejecución de estratégias técnicas encaminadas a realizar el cierre y entrega de los proyectos de vivienda VIP, obras de urbanismo y equipamientos en los proyectos constructivos desarrollados por la Caja de la Vivienda Popular.</t>
  </si>
  <si>
    <t>TIT-122</t>
  </si>
  <si>
    <t>471-158</t>
  </si>
  <si>
    <t>Prestación de servicios profesionales a la Dirección de Urbanizaciones y Titulación para el acompañamiento jurídico en los proyectos Constructivos de Vivienda de Interés Prioritario - VIP  que adelanta la Caja de la Vivienda Popular.</t>
  </si>
  <si>
    <t>TIT-123</t>
  </si>
  <si>
    <t>471-159</t>
  </si>
  <si>
    <t>TIT-124</t>
  </si>
  <si>
    <t>471-160</t>
  </si>
  <si>
    <t>PAGO DE MI PLANILLA Y PARAFISCALES DE LA PLANTA TEMPORAL DE LA ENTIDAD DEL MES DE JUNIO DE 2018. PROYECTO 471</t>
  </si>
  <si>
    <t>471-161</t>
  </si>
  <si>
    <t>PAGO DE NÓMINA A FUNCIONARIOS DE PLANTA TEMPORAL DE LA DIRECCIÓN DE URBANIZACIONES Y TITULACIÓN MES DE JULIO DE 2018</t>
  </si>
  <si>
    <t>471-162</t>
  </si>
  <si>
    <t>471-163</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</si>
  <si>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JULIO DE 2018</t>
  </si>
  <si>
    <t>471-164</t>
  </si>
  <si>
    <t>471-165</t>
  </si>
  <si>
    <t>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t>
  </si>
  <si>
    <t xml:space="preserve">No RP </t>
  </si>
  <si>
    <t>11-JAN-18</t>
  </si>
  <si>
    <t>Prestación de servicios profesionales para acompañar a la Dirección de Gestión Corporativa y CID en el seguimiento y monitoreo de las diferentes herramientas del Sistema Integrado de Gestión de los procesos que se encuentran a su cargo.</t>
  </si>
  <si>
    <t>18-JAN-18</t>
  </si>
  <si>
    <t>ADRIANA  DURAN CABRA</t>
  </si>
  <si>
    <t>FOR-045                 FOR-001 (anul)</t>
  </si>
  <si>
    <t>3131100 A LINEA 2                   OF. 8486          Of. 8515</t>
  </si>
  <si>
    <t>JOAN MANUELWILHAYNER GAITAN FERRER</t>
  </si>
  <si>
    <t>RONALD  ARCILA MORENO</t>
  </si>
  <si>
    <t>03-JAN-18</t>
  </si>
  <si>
    <t>SONIA MILENA GIL MONTOYA</t>
  </si>
  <si>
    <t>CLAUDIA MARCELA GARCIA</t>
  </si>
  <si>
    <t>RAUL ALEJANDRO MESA VARGAS</t>
  </si>
  <si>
    <t>JEFFERSON  MALAVER GOMEZ</t>
  </si>
  <si>
    <t>JEFFERSON MALAVER</t>
  </si>
  <si>
    <t>CAROLINA  MONTOYA DUQUE</t>
  </si>
  <si>
    <t>CAROLINA MONTOYA</t>
  </si>
  <si>
    <t>CLAUDIA YANET D ANTONIO ADAME</t>
  </si>
  <si>
    <t>JONNATHAN ANDRES LARA HERRERA</t>
  </si>
  <si>
    <t>YENNY MILENA VILLAMIL GUERRERO</t>
  </si>
  <si>
    <t>GILBERTO ANTONIO SUAREZ FAJARDO</t>
  </si>
  <si>
    <t>NICOLAS ANDRES GUZMAN PADILLA</t>
  </si>
  <si>
    <t>DANIEL DUARDO ROJAS POVEDA</t>
  </si>
  <si>
    <t>04-JAN-18</t>
  </si>
  <si>
    <t>NATACHA  ESLAVA VELEZ</t>
  </si>
  <si>
    <t>NATACHA ESLAVA VELEZ</t>
  </si>
  <si>
    <t>12-JAN-18</t>
  </si>
  <si>
    <t>SANDRA MILENA HERNANDEZ CUBILLOS</t>
  </si>
  <si>
    <t>PERSONAL DISPONIBLE SUB ADMON</t>
  </si>
  <si>
    <t>JIMMY ALEXANDER MONTAÑO DUQUE</t>
  </si>
  <si>
    <t>SANDRA YOVANNA SIERRA CUERVO</t>
  </si>
  <si>
    <t>Prestar los servicios profesionales para el mantenimiento y mejora continua del Sistema Integrado de Gestión de los procesos a cargo de la Subdirección Administrativa, así como el seguimiento financiero a las actividades a su cargo.</t>
  </si>
  <si>
    <t>JHON FREDY CASTELLANOS TORO</t>
  </si>
  <si>
    <t>RAFAEL  PINILLA CUEVA</t>
  </si>
  <si>
    <t>JAIME VARGAS</t>
  </si>
  <si>
    <t>BIBIANA ANDREA TRUJILLO SANCHEZ</t>
  </si>
  <si>
    <t>MARIA ELIZABETH SALINAS BUSTOS</t>
  </si>
  <si>
    <t>MAGDA CECILIA ALBA DAZA</t>
  </si>
  <si>
    <t>RAFAEL  OSORIO CANTILLO</t>
  </si>
  <si>
    <t>CARLOS IVAN MUÑOZ ARIAS</t>
  </si>
  <si>
    <t>CARLOS MUÑOZ</t>
  </si>
  <si>
    <t>ANGELA ROCIO DIAZ MORALES</t>
  </si>
  <si>
    <t>NELSON MIGUEL JAIME OLAYA</t>
  </si>
  <si>
    <t>NELSON JAIME</t>
  </si>
  <si>
    <t>ORLANDO  BARBOSA SILVA</t>
  </si>
  <si>
    <t>ORLANDO BARBOSA</t>
  </si>
  <si>
    <t>MARITH ELISA BLANCHAR MARTINEZ</t>
  </si>
  <si>
    <t>MARTH BLANCHAR</t>
  </si>
  <si>
    <t>FOR-059   FOR-025 (anul)</t>
  </si>
  <si>
    <t>JUAN JOSE CORREDOR CABUYA</t>
  </si>
  <si>
    <t>JUAN PABLO ROBLEDO</t>
  </si>
  <si>
    <t>LAURA JIMENA RINCON ROMERO</t>
  </si>
  <si>
    <t>FOR-036           FOR-027 (Anulada)</t>
  </si>
  <si>
    <t>KENNY BIVIANA ROJAS AMUD</t>
  </si>
  <si>
    <t>YUDY MARIETH VELEZ CALDERON</t>
  </si>
  <si>
    <t>YUDY VELEZ</t>
  </si>
  <si>
    <t>SILENIA  NEIRA TORRES</t>
  </si>
  <si>
    <t>RODRIGO HERNAN RIOS OLIVEROS</t>
  </si>
  <si>
    <t>DARRYN  CALDERON TRUJILLO</t>
  </si>
  <si>
    <t>DARRIN CALDERON</t>
  </si>
  <si>
    <t>FOR-037      FOR-032 (Anulada)</t>
  </si>
  <si>
    <t>JULIETH TATIANA SANCHEZ CASTILLO</t>
  </si>
  <si>
    <t>GERMAN ALEXANDER SANCHEZ RODRIGUEZ</t>
  </si>
  <si>
    <t>GERMAN ALEXANDER SANCHEZ</t>
  </si>
  <si>
    <t>JORGE ENRIQUE DURAN HERRERA</t>
  </si>
  <si>
    <t>Prestación del servicio integral de organización y levantamiento de inventario único documental de archivos misionales de la caja de la vivienda popular a partir de las tablas de retención documental convalidadas por el Consejo Distrital de Archivos de Bogotá D.C.</t>
  </si>
  <si>
    <t>convenio 472</t>
  </si>
  <si>
    <t>SGS COLOMBIA S.A.S</t>
  </si>
  <si>
    <t>Mod. Valor - oficio 3103 de marzo 2          OF. 8553</t>
  </si>
  <si>
    <t>CODENSA S. A. ESP</t>
  </si>
  <si>
    <t>EMPRESA DE ACUEDUCTO ALCANTARILLADO Y ASEO DE BOGOTA ESP</t>
  </si>
  <si>
    <t xml:space="preserve"> </t>
  </si>
  <si>
    <t>12-APR-18</t>
  </si>
  <si>
    <t>COLOMBIA TELECOMUNICACIONES S A E S P</t>
  </si>
  <si>
    <t>17-APR-18</t>
  </si>
  <si>
    <t xml:space="preserve">   Of. 8515                   OF. 8553  TRASL      OF. 8816</t>
  </si>
  <si>
    <t>61900000 A LINEA 42          $29,5´A LINEA 63   $29,5´A LINEAS 64 Y 65      140´a lin. 71</t>
  </si>
  <si>
    <t>Contratar el arrendamiento de una bodega para el archivo de gestión documental de la Caja de la Vivienda Popular , según acuerdo No. 049 de 2000 del Archivo General de la Nación.</t>
  </si>
  <si>
    <t>BIENES RAICES ECA LTDA</t>
  </si>
  <si>
    <t>16-JAN-18</t>
  </si>
  <si>
    <t>EXPRESOS Y SERVICIOS SOCIEDAD POR ACCIONES SIMPLIFICADA</t>
  </si>
  <si>
    <t>Prestación de servicios de apoyo a la gestión para el adelantamiento de actividades administrativas y operativas relacionadas con los procesos a cargo de la Dirección de Gestión Corporativa y CID.</t>
  </si>
  <si>
    <t>FOR-042     FOR-025 (anul)</t>
  </si>
  <si>
    <t>De linea 27      OF. 8486</t>
  </si>
  <si>
    <t>LAURA CAMILA FLOREZ CHAVERRA</t>
  </si>
  <si>
    <t>HORACIO  DUQUE DUQUE</t>
  </si>
  <si>
    <t>METALWOOD DE COLOMBIA LTDA</t>
  </si>
  <si>
    <t>T &amp; G MINOLTA LIMITADA</t>
  </si>
  <si>
    <t>SERVICIOS POSTALES NACIONALES S A</t>
  </si>
  <si>
    <t>REDEX S A S</t>
  </si>
  <si>
    <t>EDGAR DAVID MOTTA REVOLLO</t>
  </si>
  <si>
    <t>LIESET KATHERINE REYES ACHIPIZ</t>
  </si>
  <si>
    <t>ANDREA JOHANNA GUTIERREZ MARTINEZ</t>
  </si>
  <si>
    <t>GUSTAVO ANDRES POLANIA CALDERON</t>
  </si>
  <si>
    <t>UNION TEMPORAL SS 2017</t>
  </si>
  <si>
    <t>MAURICIO ALFONSO CALDERON ACERO</t>
  </si>
  <si>
    <t>7328-1</t>
  </si>
  <si>
    <t>7328 - Mejoramiento de vivienda en sus condiciones físicas y de habitabilidad en los asentamientos humanos priorizados en área urbana y rural.</t>
  </si>
  <si>
    <t>Realizar 22.900 asistencias técnicas, jurídicas y sociales a las intervenciones integrales de mejoramiento de vivienda en los territorios priorizados por la Secretaria Distrital del Hábitat en el área urbana y rural del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</si>
  <si>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</si>
  <si>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</si>
  <si>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</si>
  <si>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</si>
  <si>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</si>
  <si>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RELACION DE AUTORIZACION</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</si>
  <si>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</si>
  <si>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</si>
  <si>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</si>
  <si>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</si>
  <si>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</si>
  <si>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t>
  </si>
  <si>
    <t>Viabilizacion</t>
  </si>
  <si>
    <t>Pago de Nómina y Pago patronales Planta Temporal</t>
  </si>
  <si>
    <t>7328-4</t>
  </si>
  <si>
    <t>Prestación de servicios profesionales para apoyar la estructuración, seguimiento y supervisión de los proyectos asignados por la Dirección de Mejoramiento de Vivienda de la CVP</t>
  </si>
  <si>
    <t>CONTRATO DE PRESTACION DE SERVICIOS PROFESIONALES</t>
  </si>
  <si>
    <t>MV - 001</t>
  </si>
  <si>
    <t>ANULADA</t>
  </si>
  <si>
    <t>Se anula la viabilidad, por solicitud de la dirección de mejoramiento de vivienda, mediante radicado 2018IE286 del 11 de enero de 2018</t>
  </si>
  <si>
    <t>Contratacion recurso humano</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</si>
  <si>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</si>
  <si>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</si>
  <si>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</si>
  <si>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</si>
  <si>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</si>
  <si>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</si>
  <si>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</si>
  <si>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</si>
  <si>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</si>
  <si>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</si>
  <si>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CONTRATO DE PRESTACION DE SERVICIOS DE APOYO A LA GESTION</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</si>
  <si>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</si>
  <si>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</si>
  <si>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</si>
  <si>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</si>
  <si>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</si>
  <si>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</si>
  <si>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</si>
  <si>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</si>
  <si>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</si>
  <si>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</si>
  <si>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Adicion y prorroga contrato 348</t>
  </si>
  <si>
    <t>7328-10</t>
  </si>
  <si>
    <t>MV - 007</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</si>
  <si>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</si>
  <si>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</si>
  <si>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</si>
  <si>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</si>
  <si>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</si>
  <si>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</si>
  <si>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</si>
  <si>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</si>
  <si>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</si>
  <si>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</si>
  <si>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</si>
  <si>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</si>
  <si>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</si>
  <si>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</si>
  <si>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</si>
  <si>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</si>
  <si>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</si>
  <si>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</si>
  <si>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</si>
  <si>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</si>
  <si>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</si>
  <si>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NÚÑEZ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</si>
  <si>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</si>
  <si>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</si>
  <si>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</si>
  <si>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</si>
  <si>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</si>
  <si>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</si>
  <si>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</si>
  <si>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</si>
  <si>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</si>
  <si>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</si>
  <si>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</si>
  <si>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</si>
  <si>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</si>
  <si>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</si>
  <si>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</si>
  <si>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</si>
  <si>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</si>
  <si>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</si>
  <si>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</si>
  <si>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</si>
  <si>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</si>
  <si>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</si>
  <si>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Adicion y prorroga contrato 145</t>
  </si>
  <si>
    <t>7328-23</t>
  </si>
  <si>
    <t>MV - 090</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</si>
  <si>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</si>
  <si>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</si>
  <si>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</si>
  <si>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</si>
  <si>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</si>
  <si>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</si>
  <si>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</si>
  <si>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</si>
  <si>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</si>
  <si>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</si>
  <si>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</si>
  <si>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</si>
  <si>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</si>
  <si>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</si>
  <si>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</si>
  <si>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</si>
  <si>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</si>
  <si>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</si>
  <si>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</si>
  <si>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</si>
  <si>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</si>
  <si>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</si>
  <si>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</si>
  <si>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</si>
  <si>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</si>
  <si>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</si>
  <si>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</si>
  <si>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</si>
  <si>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</si>
  <si>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</si>
  <si>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</si>
  <si>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</si>
  <si>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</si>
  <si>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</si>
  <si>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</si>
  <si>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</si>
  <si>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</si>
  <si>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</si>
  <si>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</si>
  <si>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</si>
  <si>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</si>
  <si>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7328-35</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</si>
  <si>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</si>
  <si>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MV - 089 (Anulada)</t>
  </si>
  <si>
    <t>Viavilidad anulada mediante oficio número 2018IE9914</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</si>
  <si>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</si>
  <si>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</si>
  <si>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</si>
  <si>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</si>
  <si>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</si>
  <si>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</si>
  <si>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</si>
  <si>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</si>
  <si>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</si>
  <si>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</si>
  <si>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</si>
  <si>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</si>
  <si>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</si>
  <si>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</si>
  <si>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</si>
  <si>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</si>
  <si>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</si>
  <si>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</si>
  <si>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</si>
  <si>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</si>
  <si>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</si>
  <si>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</si>
  <si>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</si>
  <si>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</si>
  <si>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</si>
  <si>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</si>
  <si>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</si>
  <si>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</si>
  <si>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</si>
  <si>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</si>
  <si>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</si>
  <si>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</si>
  <si>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</si>
  <si>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</si>
  <si>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</si>
  <si>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</si>
  <si>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</si>
  <si>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</si>
  <si>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</si>
  <si>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</si>
  <si>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</si>
  <si>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</si>
  <si>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</si>
  <si>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</si>
  <si>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</si>
  <si>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</si>
  <si>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</si>
  <si>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</si>
  <si>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</si>
  <si>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</si>
  <si>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</si>
  <si>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</si>
  <si>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</si>
  <si>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</si>
  <si>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</si>
  <si>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</si>
  <si>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</si>
  <si>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</si>
  <si>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</si>
  <si>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</si>
  <si>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</si>
  <si>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</si>
  <si>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MV - 047</t>
  </si>
  <si>
    <t>7328-56</t>
  </si>
  <si>
    <t>Prestar los Servicios profesionales en la implementación y seguimiento de la política de responsabilidad social, bajo los tres pilares de sostenibilidad a los procesos de gestión misional de la entidad.</t>
  </si>
  <si>
    <t>MV - 052</t>
  </si>
  <si>
    <t>7328-57</t>
  </si>
  <si>
    <t>MV - 051</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</si>
  <si>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</si>
  <si>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</si>
  <si>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</si>
  <si>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</si>
  <si>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</si>
  <si>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</si>
  <si>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</si>
  <si>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0754-Actividades para el fortalecimiento de estratégias de comunicación.</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</si>
  <si>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</si>
  <si>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</si>
  <si>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</si>
  <si>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DIVULGACION</t>
  </si>
  <si>
    <t>7328-60</t>
  </si>
  <si>
    <t>7328-61</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</si>
  <si>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</si>
  <si>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</si>
  <si>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</si>
  <si>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</si>
  <si>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7328-63</t>
  </si>
  <si>
    <t>0113- Estudios de Evaluación, diseño geotécnico y/o estructural de las viviendas a mejorar</t>
  </si>
  <si>
    <t>03-Recursos Administrados</t>
  </si>
  <si>
    <t>21-Administrados de Libre Destinación</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</si>
  <si>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</si>
  <si>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</si>
  <si>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</si>
  <si>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</si>
  <si>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</si>
  <si>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- 067 (Anulada)</t>
  </si>
  <si>
    <t>LAURA MARCELA MORENO CASTILLO</t>
  </si>
  <si>
    <t>Viavilidad anulada mediante oficio número 2018IE9824</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</si>
  <si>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</si>
  <si>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</si>
  <si>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MV - 068 (Anulada)</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</si>
  <si>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</si>
  <si>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</si>
  <si>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</si>
  <si>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- 069 (Anulada)</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</si>
  <si>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</si>
  <si>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</si>
  <si>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</si>
  <si>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MV - 070 (Anulada)</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</si>
  <si>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</si>
  <si>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</si>
  <si>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</si>
  <si>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- 071 (Anulada)</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</si>
  <si>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</si>
  <si>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</si>
  <si>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</si>
  <si>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MV - 072 (Anulada)</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</si>
  <si>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</si>
  <si>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</si>
  <si>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</si>
  <si>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MV - 073 (Anulada)</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</si>
  <si>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</si>
  <si>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</si>
  <si>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</si>
  <si>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- 074 (Anulada)</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</si>
  <si>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</si>
  <si>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</si>
  <si>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</si>
  <si>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MV - 075 (Anulada)</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</si>
  <si>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</si>
  <si>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</si>
  <si>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</si>
  <si>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MV - 076 (Anulada)</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</si>
  <si>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</si>
  <si>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</si>
  <si>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</si>
  <si>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MV - 077 (Anulada)</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</si>
  <si>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</si>
  <si>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</si>
  <si>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</si>
  <si>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MV - 078 (Anulada)</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</si>
  <si>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</si>
  <si>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</si>
  <si>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</si>
  <si>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MV - 079 (Anulada)</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</si>
  <si>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</si>
  <si>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</si>
  <si>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</si>
  <si>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MV - 080</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</si>
  <si>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</si>
  <si>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</si>
  <si>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</si>
  <si>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MV - 081 (Anulada)</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</si>
  <si>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</si>
  <si>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</si>
  <si>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</si>
  <si>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MV - 082</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</si>
  <si>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</si>
  <si>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</si>
  <si>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</si>
  <si>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MV - 083 (Anulada)</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</si>
  <si>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</si>
  <si>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</si>
  <si>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</si>
  <si>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MV - 084 (Anulada)</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</si>
  <si>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</si>
  <si>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</si>
  <si>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</si>
  <si>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- 085 (Anulada)</t>
  </si>
  <si>
    <t xml:space="preserve">RAMIRO EDUARDO PACHON </t>
  </si>
  <si>
    <t>7328-83</t>
  </si>
  <si>
    <t>Adición y Prórroga al contrato 668 de 2017, cuyo objeto es:  “Prestar los servicios profesionales para apoyar desde el componente jurídico,  la ejecución de actividades asociadas a la estructuración de proyectos del subsidio distrital para el mejoramiento de vivienda”</t>
  </si>
  <si>
    <t>MV - 086 (Anulada)</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</si>
  <si>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</si>
  <si>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</si>
  <si>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</si>
  <si>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MV - 087</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</si>
  <si>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</si>
  <si>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</si>
  <si>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</si>
  <si>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- 088 (Anulada)</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</si>
  <si>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</si>
  <si>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</si>
  <si>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</si>
  <si>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</si>
  <si>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</si>
  <si>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</si>
  <si>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</si>
  <si>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</si>
  <si>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</si>
  <si>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</si>
  <si>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</si>
  <si>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</si>
  <si>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</si>
  <si>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</si>
  <si>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</si>
  <si>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</si>
  <si>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</si>
  <si>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</si>
  <si>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</si>
  <si>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</si>
  <si>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</si>
  <si>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</si>
  <si>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</si>
  <si>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</si>
  <si>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</si>
  <si>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</si>
  <si>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</si>
  <si>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</si>
  <si>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</si>
  <si>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7328-93</t>
  </si>
  <si>
    <t>146-Recursos del Balance de Libre Destinación</t>
  </si>
  <si>
    <t>Prestar los servicios profesionales para apoyar y gestionar los procedimientos técnicos y de información de la Dirección de Mejoramiento de Vivienda en el desarrollo de la estructuración de los proyectos para asignación de Subsidios de Vivienda en Especie.</t>
  </si>
  <si>
    <t>MV - 091</t>
  </si>
  <si>
    <t>7328-94</t>
  </si>
  <si>
    <t>Prestar los servicios profesionales para apoyar la gestión de campo con componente técnico, para la ejecución de actividades  durante la ejecución de todo el proceso de estructuración de proyectos que optan por el subsidio distrital de vivienda en especie.</t>
  </si>
  <si>
    <t>MV - 092 (Anulada)</t>
  </si>
  <si>
    <t>7328-95</t>
  </si>
  <si>
    <t>Prestar los servicios profesionales para apoyar desde el componente social,  la ejecución de actividades asociadas a la estructuración de proyectos del subsidio distrital para el mejoramiento de vivienda.</t>
  </si>
  <si>
    <t>MV - 093</t>
  </si>
  <si>
    <t>DIEGO HERNÁN CALDERON</t>
  </si>
  <si>
    <t>7328-96</t>
  </si>
  <si>
    <t>Prestar los servicios para apoyar desde el componente de sistematización,  la ejecución de actividades asociadas a la estructuración de proyectos del subsidio distrital para el mejoramiento de vivienda.</t>
  </si>
  <si>
    <t>MV - 094 (Anulada)</t>
  </si>
  <si>
    <t>7328-97</t>
  </si>
  <si>
    <t>MV - 095</t>
  </si>
  <si>
    <t>JAIME ANDRES SAAVEDRA</t>
  </si>
  <si>
    <t>7328-98</t>
  </si>
  <si>
    <t>Prestar los servicios profesionales para apoyar desde el componente social, la ejecución de actividades asociadas a la estructuración de proyectos del subsidio distrital para el mejoramiento de vivienda.</t>
  </si>
  <si>
    <t>MV - 096</t>
  </si>
  <si>
    <t>7328-99</t>
  </si>
  <si>
    <t>MV - 097</t>
  </si>
  <si>
    <t>7328-100</t>
  </si>
  <si>
    <t>Apoyar desde el componente jurídico,  la ejecución de actividades asociadas a la estructuración de proyectos del subsidio distrital para el mejoramiento de vivienda.</t>
  </si>
  <si>
    <t>MV - 098 (Anulada)</t>
  </si>
  <si>
    <t>Viavilidad anulada mediante oficio número 2018IE9873</t>
  </si>
  <si>
    <t>7328-101</t>
  </si>
  <si>
    <t xml:space="preserve"> Prestar los servicios profesionales para apoyar desde el componente social,  la ejecución de actividades asociadas a la estructuración de proyectos del subsidio distrital para el mejoramiento de vivienda.</t>
  </si>
  <si>
    <t>MV - 099</t>
  </si>
  <si>
    <t>DAVID ARREAZA</t>
  </si>
  <si>
    <t>7328-102</t>
  </si>
  <si>
    <t>MV - 100</t>
  </si>
  <si>
    <t>GINA QUITIAN</t>
  </si>
  <si>
    <t>7328-103</t>
  </si>
  <si>
    <t>MV - 101</t>
  </si>
  <si>
    <t>GIORDY H. CADENA</t>
  </si>
  <si>
    <t>7328-104</t>
  </si>
  <si>
    <t>Prestar los servicios para apoyar desde el componente de sistematización,  la ejecución de actividades asociadas a la estructuración de proyectos del subsidio distrital para el mejoramiento de vivienda</t>
  </si>
  <si>
    <t>MV - 102</t>
  </si>
  <si>
    <t>DIEGO FERNANDO CALDAS</t>
  </si>
  <si>
    <t>7328-105</t>
  </si>
  <si>
    <t>Prestar los servicios para apoyar en el manejo documental,  la ejecución de actividades asociadas a la estructuración de proyectos del subsidio distrital para el mejoramiento de vivienda. </t>
  </si>
  <si>
    <t>MV - 103</t>
  </si>
  <si>
    <t>NINI HERNANDEZ</t>
  </si>
  <si>
    <t>7328-106</t>
  </si>
  <si>
    <t>Prestar los servicios profesionales para apoyar desde el componente jurídico, la ejecución de actividades asociadas a la estructuración de proyectos del subsidio distrital para el mejoramiento de vivienda.</t>
  </si>
  <si>
    <t>MV - 104</t>
  </si>
  <si>
    <t>DIANA MARCELA GALVEZ</t>
  </si>
  <si>
    <t>7328-107</t>
  </si>
  <si>
    <t>MV - 105</t>
  </si>
  <si>
    <t>MARIA CAMILA SANCHEZ</t>
  </si>
  <si>
    <t>7328-108</t>
  </si>
  <si>
    <t>MV - 106</t>
  </si>
  <si>
    <t>MARIA ALEJANDRA SIERRA</t>
  </si>
  <si>
    <t>7328-109</t>
  </si>
  <si>
    <t>MV - 108</t>
  </si>
  <si>
    <t>7328-110</t>
  </si>
  <si>
    <t>MV - 107</t>
  </si>
  <si>
    <t>7328-111</t>
  </si>
  <si>
    <t>MV - 109</t>
  </si>
  <si>
    <t>LINA MARIA SAZIPA</t>
  </si>
  <si>
    <t>7328-112</t>
  </si>
  <si>
    <t>Prestar los servicios profesionales para apoyar desde el componente de sistematización,  la ejecución de actividades asociadas a la estructuración de proyectos del subsidio distrital para el mejoramiento de vivienda.</t>
  </si>
  <si>
    <t>7328-113</t>
  </si>
  <si>
    <t>7328-114</t>
  </si>
  <si>
    <t>7328-115</t>
  </si>
  <si>
    <t>7328-116</t>
  </si>
  <si>
    <t>Prestar los servicios profesionales para apoyar la ejecución de actividades asociadas a la estructuración de proyectos del subsidio distrital para el mejoramiento de vivienda.</t>
  </si>
  <si>
    <t>7328-117</t>
  </si>
  <si>
    <t>7328-118</t>
  </si>
  <si>
    <t>7328-119</t>
  </si>
  <si>
    <t>Prestar los servicios profesionales para apoyar desde el componente jurídico, la ejecución de actividades asociadas a la estructuración de proyectos del subsidio distrital para el mejoramiento de vivienda</t>
  </si>
  <si>
    <t>7328-120</t>
  </si>
  <si>
    <t>7328-121</t>
  </si>
  <si>
    <t>7328-122</t>
  </si>
  <si>
    <t>7328-123</t>
  </si>
  <si>
    <t>Prestar los servicios profesionales para apoyar desde el componente jurídico,  la ejecución de actividades asociadas a la estructuración de proyectos del subsidio distrital para el mejoramiento de vivienda</t>
  </si>
  <si>
    <t>7328-124</t>
  </si>
  <si>
    <t>7328-125</t>
  </si>
  <si>
    <t>Prestar los servicios para apoyar desde el componente de sistematización, la ejecución de actividades asociadas a la estructuración de proyectos del subsidio distrital para el mejoramiento de vivienda.</t>
  </si>
  <si>
    <t>7328-126</t>
  </si>
  <si>
    <t>7328-127</t>
  </si>
  <si>
    <t>Prestar los servicios asistenciales en la gestión documental, captura de datos, inventario y manejo de archivo físico, en cumplimiento de los procedimientos de la Direccion de Mejoramiento de Vivienda.</t>
  </si>
  <si>
    <t>MV - 110</t>
  </si>
  <si>
    <t>VIVIANA RODRÍGUEZ MELO</t>
  </si>
  <si>
    <t>7328-128</t>
  </si>
  <si>
    <t>MV - 111</t>
  </si>
  <si>
    <t>7328-129</t>
  </si>
  <si>
    <t>MV-112</t>
  </si>
  <si>
    <t>7328-130</t>
  </si>
  <si>
    <t>Prestar los servicios profesionales a la Dirección de Mejoramiento de Vivienda, en la proyección de conceptos, revisión de oficios y demás actuaciones administrativas y juridicas requeridas, en concordancia con los procesos propios de la Direccion.</t>
  </si>
  <si>
    <t>MV-113 (Anulada)</t>
  </si>
  <si>
    <t>Viavilidad anulada mediante oficio número 2018IE10209</t>
  </si>
  <si>
    <t>7328-131</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</si>
  <si>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</si>
  <si>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MV-114</t>
  </si>
  <si>
    <t>7328-132</t>
  </si>
  <si>
    <t>Prestar los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</si>
  <si>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MV-115</t>
  </si>
  <si>
    <t>7328-133</t>
  </si>
  <si>
    <t xml:space="preserve">Prestar los servicios profesionales para apoyar desde el componente jurídico, la ejecución de actividades asociadas a la estructuración de proyectos del subsidio distrital para el mejoramiento de vivienda.  </t>
  </si>
  <si>
    <t>MV-116</t>
  </si>
  <si>
    <t>7328-134</t>
  </si>
  <si>
    <t xml:space="preserve">Prestar los servicios profesionales para apoyar la gestión de campo con componente técnico, para la ejecución de actividades durante la ejecución de todo el proceso de estructuración de proyectos que optan por el subsidio distrital de vivienda en especie. </t>
  </si>
  <si>
    <t>MV-117</t>
  </si>
  <si>
    <t>7328-135</t>
  </si>
  <si>
    <t>MV-118</t>
  </si>
  <si>
    <t>7328-136</t>
  </si>
  <si>
    <t>MV-119</t>
  </si>
  <si>
    <t>7328-137</t>
  </si>
  <si>
    <t>MV-120</t>
  </si>
  <si>
    <t>7328-138</t>
  </si>
  <si>
    <t>Prestaer los servicios para apoyar en el manejo documental, la ejecución de actividades asociadas a la estructuración de proyectos del subcidio distrital para el mejoramiento de vivienda.</t>
  </si>
  <si>
    <t>MV-121</t>
  </si>
  <si>
    <t>7328-139</t>
  </si>
  <si>
    <t>MV-122</t>
  </si>
  <si>
    <t>7328-140</t>
  </si>
  <si>
    <t>MV-123</t>
  </si>
  <si>
    <t>7328-141</t>
  </si>
  <si>
    <t>MV-124</t>
  </si>
  <si>
    <t xml:space="preserve"> 32.359.167   
</t>
  </si>
  <si>
    <t>7328-142</t>
  </si>
  <si>
    <t>MV-125</t>
  </si>
  <si>
    <t>7328-143</t>
  </si>
  <si>
    <t>MV-126</t>
  </si>
  <si>
    <t>7328-144</t>
  </si>
  <si>
    <t>Prestar los servicios profesionales para apoyar desde el componente jurídico, la ejecución de actividades asociadas  a la estructuración de proyectos del subsidio distrital para el mejoramiento de vivienda.</t>
  </si>
  <si>
    <t>MV-127</t>
  </si>
  <si>
    <t>7328-145</t>
  </si>
  <si>
    <t>Prestar los servicios profesionales para apoyar la gestión de campo con componente técnico, para la ejecución de actividades durante la ejecución de todo el proceso de estructuración de proyectos que optan por el subsidio distrital de vivienda en especie.</t>
  </si>
  <si>
    <t>MV-128</t>
  </si>
  <si>
    <t>7328-146</t>
  </si>
  <si>
    <t>MV-129</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</si>
  <si>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</si>
  <si>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</si>
  <si>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</si>
  <si>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</si>
  <si>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</si>
  <si>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A.17.1</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</si>
  <si>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</si>
  <si>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</si>
  <si>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</si>
  <si>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</si>
  <si>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</si>
  <si>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</si>
  <si>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</si>
  <si>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Juan fernando betacour</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</si>
  <si>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</si>
  <si>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</si>
  <si>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</si>
  <si>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</si>
  <si>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Robert Urrego</t>
  </si>
  <si>
    <t>943-4</t>
  </si>
  <si>
    <t>Implementar el 100%  del plan de acción de Servicio  a la Ciudadanía</t>
  </si>
  <si>
    <t>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t>
  </si>
  <si>
    <t>TRA-004</t>
  </si>
  <si>
    <t>JULIO ANDRES CENDALES MORA</t>
  </si>
  <si>
    <t>Julio Cendales</t>
  </si>
  <si>
    <t>943-5</t>
  </si>
  <si>
    <t>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t>
  </si>
  <si>
    <t>TRA-005</t>
  </si>
  <si>
    <t>JOHANA PATRICIA REYES MARCIALES</t>
  </si>
  <si>
    <t>Johana Reyes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</si>
  <si>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</si>
  <si>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</si>
  <si>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</si>
  <si>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</si>
  <si>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Juan Botero</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</si>
  <si>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</si>
  <si>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</si>
  <si>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</si>
  <si>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</si>
  <si>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Edna Gonzalez</t>
  </si>
  <si>
    <t>943-8</t>
  </si>
  <si>
    <t>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</si>
  <si>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</si>
  <si>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</si>
  <si>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</si>
  <si>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TRA-009</t>
  </si>
  <si>
    <t>ALVARO  DAVILA REMOLINA</t>
  </si>
  <si>
    <t>943-10</t>
  </si>
  <si>
    <t>01-Gastos Operativos</t>
  </si>
  <si>
    <t>Contratar los servicios de un operador logístico para que lleve a cabo la organización, administración y realización de actividades y estrategias necesarios para la promoción de los programas y servicios prestados por la Caja de la Vivienda Popular, así como el cimplimiento y socialización de las metas misionales de la entidad.</t>
  </si>
  <si>
    <t>Licitacion pública</t>
  </si>
  <si>
    <t>943-11</t>
  </si>
  <si>
    <t>Prestar los servicios de socialización y divulgación necesarios para la ejecución de una estrategia de comunicación en canales de información masiva, que permita la promoción de cada una de las direcciones misionales de la Caja de la Vivienda Popular.</t>
  </si>
  <si>
    <t>943-12</t>
  </si>
  <si>
    <t>Prestar los servicios profesionales a la Oficina Asesora de Comunicaciones como apoyo en la conceptualización y desarrollo de campañas de comunicación conforme al Plan Estratégico de Comunicaciones de la entidad.</t>
  </si>
  <si>
    <t>TRA-010</t>
  </si>
  <si>
    <t>JOHNNY ALEXANDER RADA ESTEBAN</t>
  </si>
  <si>
    <t>disponible DGC</t>
  </si>
  <si>
    <t>943-13</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</si>
  <si>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</si>
  <si>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</si>
  <si>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</si>
  <si>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</si>
  <si>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2.1.03.01.05.03.01.01.98 
A Otras Entidades No Financieras Municipales y/o Distritales no consideradas Empresas</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</si>
  <si>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</si>
  <si>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</si>
  <si>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</si>
  <si>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</si>
  <si>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</si>
  <si>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</si>
  <si>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</si>
  <si>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</si>
  <si>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</si>
  <si>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</si>
  <si>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</si>
  <si>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</si>
  <si>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</si>
  <si>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</si>
  <si>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</si>
  <si>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</si>
  <si>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</si>
  <si>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</si>
  <si>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</si>
  <si>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</si>
  <si>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</si>
  <si>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</si>
  <si>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</si>
  <si>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</si>
  <si>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</si>
  <si>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</si>
  <si>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</si>
  <si>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</si>
  <si>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</si>
  <si>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</si>
  <si>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</si>
  <si>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</si>
  <si>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</si>
  <si>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</si>
  <si>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</si>
  <si>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</si>
  <si>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</si>
  <si>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</si>
  <si>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</si>
  <si>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</si>
  <si>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</si>
  <si>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</si>
  <si>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</si>
  <si>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</si>
  <si>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</si>
  <si>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</si>
  <si>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</si>
  <si>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</si>
  <si>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</si>
  <si>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</si>
  <si>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A.7.3</t>
  </si>
  <si>
    <t>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t>
  </si>
  <si>
    <t>Contrato Interadministrativo</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</si>
  <si>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</si>
  <si>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</si>
  <si>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</si>
  <si>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</si>
  <si>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</si>
  <si>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</si>
  <si>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</si>
  <si>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Adición al contrato 532 de 2017 cuyo objeto es "Prestar el servicio de mantenimiento preventivo y correctivo del sistema de aire  acondicionado tipo mini-Split ubicado en el centro de cómputo de la Caja de la Vivienda Popular"</t>
  </si>
  <si>
    <t>SEPTIEMBRE</t>
  </si>
  <si>
    <t>1174-17</t>
  </si>
  <si>
    <t>Soporte Mantenimiento y Actualización de Licenciamiento. (Antivirus,  Autocad, 3D Max, Etabs, Adobe Cloude, Carteleras Digitales, ArcGis, CellyCript, Microsoft Office, Windows Server)</t>
  </si>
  <si>
    <t>MAYO</t>
  </si>
  <si>
    <t>1174-18</t>
  </si>
  <si>
    <t>Contratar el servicio de mantenimiento preventivo y correctivo para los equipos de cómputo, servidores, impresoras y escaner de propiedad de la Caja de la Vivienda Popular.</t>
  </si>
  <si>
    <t>1174-19</t>
  </si>
  <si>
    <t xml:space="preserve">Contratar el sumistro e instalación, desmontaje y montaje del cableado estructurado acorde a las necesidades establecidad por la caja de vivienda popular. </t>
  </si>
  <si>
    <t>compra venta</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</si>
  <si>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</si>
  <si>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</si>
  <si>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</si>
  <si>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</si>
  <si>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TIC-017</t>
  </si>
  <si>
    <t xml:space="preserve">Mediante Ofi. 2018IE1126 solictan que se disminuya la linea 21 y se cree nueva linea , crea la linea 29 por valor de $ 62.302.353,  Se traslada por solictud mediante Ofi. IE6226 la suma de $92,303,874  de la linea No. 21 a la linea No. 26 y se expide viabilidad.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</si>
  <si>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</si>
  <si>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</si>
  <si>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</si>
  <si>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</si>
  <si>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</si>
  <si>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</si>
  <si>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</si>
  <si>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</si>
  <si>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</si>
  <si>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</si>
  <si>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TIC-023</t>
  </si>
  <si>
    <t>UT   CCE   TECNOLOGICO</t>
  </si>
  <si>
    <t>1174-26</t>
  </si>
  <si>
    <t>Adquisición de buzones de correo electrónico y herramientas de colaboración sobre la plataforma Google por medio del Licenciamiento G Suite para la Caja de la Vivienda Popular</t>
  </si>
  <si>
    <t>TIC-022</t>
  </si>
  <si>
    <t xml:space="preserve"> Se traslada por solictud mediante Ofi. IE6226 la suma de $92,303,874  de la linea No. 21 a la linea No. 26 y se expide viabilidad por $ 25.1903.874 millones .</t>
  </si>
  <si>
    <t>EFORCERS S.A.</t>
  </si>
  <si>
    <t>1174-27</t>
  </si>
  <si>
    <t>SUMINISTRO DE TONNER, CINTAS Y DEMÁS ELEMENTOS REQUERIDOS PARA EQUIPOS DE IMPRESIÓN DE LA CAJA DE LA VIVIENDA POPULAR</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</si>
  <si>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</si>
  <si>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</si>
  <si>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</si>
  <si>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</si>
  <si>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</si>
  <si>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</si>
  <si>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</si>
  <si>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</si>
  <si>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 xml:space="preserve">Mediante Ofi. 2018IE1126 solictan que se disminuya la linea 21 y se cree nueva linea , crea la linea 29 por valor de $ 62.302.353  </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</si>
  <si>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</si>
  <si>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</si>
  <si>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</si>
  <si>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</si>
  <si>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</si>
  <si>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</si>
  <si>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</si>
  <si>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 anulada</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</si>
  <si>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</si>
  <si>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</si>
  <si>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</si>
  <si>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</si>
  <si>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</si>
  <si>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</si>
  <si>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</si>
  <si>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SISELCOM SISTEMAS ELECTRICOS Y DE COMUNICACIONES SAS</t>
  </si>
  <si>
    <t>1174-33</t>
  </si>
  <si>
    <t>Adquirir el licenciamiento de Microsoft Office Profesional para uso de la Caja de la Vivienda Popular.</t>
  </si>
  <si>
    <t>mayo</t>
  </si>
  <si>
    <t>TIC-021</t>
  </si>
  <si>
    <t>UT SOFT  IG</t>
  </si>
  <si>
    <t>1174-34</t>
  </si>
  <si>
    <t>TRASLADO A PASIVOS EXIGIBLES</t>
  </si>
  <si>
    <t>1174-35</t>
  </si>
  <si>
    <t>Adición al contrato 666 de 2017 cuyo objeto es "Adquisición de la suscripción de licenciamiento para el software autodesk (autocad, autocad civil 3d y 3ds max) última versión, para uso de la caja de vivienda popular, según especificaciones y cantidades descritas en el anexo técnico."</t>
  </si>
  <si>
    <t xml:space="preserve">ADQUISICIÓN </t>
  </si>
  <si>
    <t>TIC-024</t>
  </si>
  <si>
    <t>1174-36</t>
  </si>
  <si>
    <t>Adquirir licenciamiento del software ETABS PLUS - NETWORK ULTIMA VERSION, para diseño estructural para uso de la Dirección de Mejoramiento de Vivienda de la Caja de la Vivienda Popular</t>
  </si>
  <si>
    <t>1174-37</t>
  </si>
  <si>
    <t>Adquisición de licenciamiento de Adove Creative Cloud para la generación de piezas comunicativas para uso de la Caja de la Vivienda Popular</t>
  </si>
  <si>
    <t>1174-38</t>
  </si>
  <si>
    <t>Adquisición de licenciamiento cellcrypt enterprise mobile app para la Caja de la Vivienda Popular</t>
  </si>
  <si>
    <t>1174-39</t>
  </si>
  <si>
    <t>Renovación y actualización de licenciamiento para windows server</t>
  </si>
  <si>
    <t>1174-40</t>
  </si>
  <si>
    <t>Renovar el licenciamiento de software Arcview Gis (ARCGIS) para la Caja de la Vivienda Popular</t>
  </si>
  <si>
    <t>1174-41</t>
  </si>
  <si>
    <t>Adición al contrato 651 de 2017 cuyo objeto es "Adquirir la renovación del licenciamiento Antivirus ESET ENDPOINT PROTECTION ADVANCED, incluyendo el componente de Seguridad Informatica para prevención de fuga de información, con las condiciones descritas en el documento de estudios previos y anexo técnico."</t>
  </si>
  <si>
    <t>1174-42</t>
  </si>
  <si>
    <t>Prestar los servicios de apoyo técnico para la gestión de la oficina tic, en la solución de requerimientos de servicios tecnológicos y soporte técnico presencial para la caja de la vivienda popular</t>
  </si>
  <si>
    <t>TIC-025</t>
  </si>
  <si>
    <t>LUIS GABRIEL BAREÑO ROMERO</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</si>
  <si>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</si>
  <si>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</si>
  <si>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</si>
  <si>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</si>
  <si>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</si>
  <si>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</si>
  <si>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</si>
  <si>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</si>
  <si>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</si>
  <si>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A.17.1 - Procesos integrales de evaluación institucional y reorganización administrativa</t>
  </si>
  <si>
    <t>Contratar los servicios de un operador logístico para que lleve a cabo la organización, administración y realización de actividades y estratégias necesarios para la promoción de los programas y servicios prestados por la Caja de la Vivienda Popular, así como el cumplimiento y socialización de las metas misionales de la entidad.</t>
  </si>
  <si>
    <t>LICITACION PUBLICA</t>
  </si>
  <si>
    <t>REAS-469</t>
  </si>
  <si>
    <t>3075-2</t>
  </si>
  <si>
    <t>DIRECCION DE REASENTAMIENTOS</t>
  </si>
  <si>
    <t>02 Modificación de la Línea</t>
  </si>
  <si>
    <t>04 - Investigacion y Estudios</t>
  </si>
  <si>
    <t>01 - Investigación Básica Aplicada Y Estudios Propios Del Sector</t>
  </si>
  <si>
    <t>0101 - Estudios aplicables al fortalecimiento de los procesos misionales</t>
  </si>
  <si>
    <t>81111800
43232300</t>
  </si>
  <si>
    <t>A.7.3 - 
planes y proyectos de mejoramiento de vivienda y saneamiento básico</t>
  </si>
  <si>
    <t>Actualización del Sistema de informacion de la Dirección de Reasentamientos</t>
  </si>
  <si>
    <t>OCTUBRE</t>
  </si>
  <si>
    <t>05 - Adquirir 370 Predios en Alto Riesgo</t>
  </si>
  <si>
    <t>01 - Infraestructura</t>
  </si>
  <si>
    <t>02 - Adquisición de Infrasestructura Propia del sector</t>
  </si>
  <si>
    <t>0027 - Aquisición de predios</t>
  </si>
  <si>
    <t>A.7.6 - 
subsidios para reubicación de viviendas asentadas en zonas alto riesgo</t>
  </si>
  <si>
    <t>Adquisición predial por Decreto 511 de 2010. LOCALIDAD: CIUDAD BOLIVAR; BARRIO: PARAISO QUIBA; ID:2013-Q04-00540</t>
  </si>
  <si>
    <t>RESOLUCION</t>
  </si>
  <si>
    <t>REAS-378</t>
  </si>
  <si>
    <t>SANTIAGO ELIAS CARDONA LOMDOÑO</t>
  </si>
  <si>
    <t>02 Modificación de la Linea</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</si>
  <si>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</si>
  <si>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</si>
  <si>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</si>
  <si>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</si>
  <si>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</si>
  <si>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</si>
  <si>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REAS-352</t>
  </si>
  <si>
    <t>21/032018</t>
  </si>
  <si>
    <t>MARIA CECILIA BERNAL</t>
  </si>
  <si>
    <t>41 - Plusvalia</t>
  </si>
  <si>
    <t>VUR de la actual vigencia. Decreto 255 de 2013. LOCALIDAD: SAN CRISTOBAL; BARRIO: LOS LIBERTADORES; ID: 2017-04-14979</t>
  </si>
  <si>
    <t>REAS-362</t>
  </si>
  <si>
    <t>3075-339</t>
  </si>
  <si>
    <t>MIGUEL AUGUSTO BOBADILLA</t>
  </si>
  <si>
    <t>Reajuste de VUR por avalúo comercial. Decreto 255 de 2013. LOCALIDAD: CIUDAD BOLIVAR; BARRIO: SAN REAFAEL; ID: 2013-Q21-00569</t>
  </si>
  <si>
    <t>REAS-422</t>
  </si>
  <si>
    <t>LUIS ERNESTO CURREA BRAVO</t>
  </si>
  <si>
    <t>Se reintegra saldo por disminución de valor en viabilidad de la linea 3075-411 (CORDIS 2018IE5467)
Se reintegra saldo por anulación de viabilidad REAS-183 de la linea 3075-221 (CORDIS 2018IE8529)</t>
  </si>
  <si>
    <t>03 - Recursos Administrados</t>
  </si>
  <si>
    <t>146 - Recursos del Balance de Libre Destinacion</t>
  </si>
  <si>
    <t>VUR de la actual vigencia. Decreto 255 de 2013. LOCALIDAD: CIUDAD BOLIVAR; BARRIO: SAN FRANCISCO; ID: 2018-Q03-15550</t>
  </si>
  <si>
    <t>REAS-415</t>
  </si>
  <si>
    <t>3075-348</t>
  </si>
  <si>
    <t>ANGIE MARCELA GONZALEZ SASTOQUE</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</si>
  <si>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</si>
  <si>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</si>
  <si>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</si>
  <si>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</si>
  <si>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REAS-162</t>
  </si>
  <si>
    <t>REGISTROS ADICIONALES</t>
  </si>
  <si>
    <t>03 - Levantamiento y/o actualización de información</t>
  </si>
  <si>
    <t>0040 - Avalúo de Predios</t>
  </si>
  <si>
    <t>Realizar los avalúos comerciales y las tasaciones de daño emergente y lucro cesante de los predios que hacen parte de la acción popular 2009-0036 Sector “Perpetuo Socorro” Localidad 08-Kennedy.</t>
  </si>
  <si>
    <t>CONTRATOS INTERADMINISTRATIVOS</t>
  </si>
  <si>
    <t>CONTRATACION DIRECTA</t>
  </si>
  <si>
    <t>REAS-421</t>
  </si>
  <si>
    <t>3075-357
 3075-358
 3075-359
 3075-360
3075-361</t>
  </si>
  <si>
    <t>UNIDAD ADMINISTRATIVA ESPECIAL DE CATASTRO DISTRITAL</t>
  </si>
  <si>
    <t>TRASLADO ENTRE CONCEPTOS DE GASTO 0271 A 0040</t>
  </si>
  <si>
    <t xml:space="preserve">03 - Recurso Humano </t>
  </si>
  <si>
    <t>04 - Gastos de personal operativo</t>
  </si>
  <si>
    <t>0312 - Personal contratado para apoyar las actividades propias de los proyectos de inversión misionales de la entidad</t>
  </si>
  <si>
    <t xml:space="preserve">A.7.5 - Planes y proyectos para la adquisicón y/o construcción de vivienda
</t>
  </si>
  <si>
    <t xml:space="preserve">Pago de Nómina y Aportes Patronales de Funcionarios de Planta Temporal de la Dirección de Reasentamientos de la Caja de la Vivienda Popular </t>
  </si>
  <si>
    <t xml:space="preserve"> AGOSTO ($158.525.370)
 SEPTIEMBRE ($158.525.370)
 OCTUBRE ($158.525.370)
NOVIEMBRE ($158.525.370)
 DICIEMBRE ($810.974.359)</t>
  </si>
  <si>
    <t>REAS-181</t>
  </si>
  <si>
    <t>Prestación de servicios de apoyo a la gestión en lo relacionado con los trámites requeridos para el manejo de archivo y gestión documental generado desde la Dirección de Reasentamientos de la Caja de la Vivienda Popular.</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</si>
  <si>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</si>
  <si>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</si>
  <si>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</si>
  <si>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</si>
  <si>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</si>
  <si>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</si>
  <si>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</si>
  <si>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</si>
  <si>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</si>
  <si>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</si>
  <si>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</si>
  <si>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</si>
  <si>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</si>
  <si>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</si>
  <si>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</si>
  <si>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</si>
  <si>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</si>
  <si>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</si>
  <si>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</si>
  <si>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</si>
  <si>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</si>
  <si>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</si>
  <si>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</si>
  <si>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</si>
  <si>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</si>
  <si>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</si>
  <si>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</si>
  <si>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</si>
  <si>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</si>
  <si>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</si>
  <si>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</si>
  <si>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</si>
  <si>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</si>
  <si>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</si>
  <si>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</si>
  <si>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</si>
  <si>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</si>
  <si>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</si>
  <si>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</si>
  <si>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</si>
  <si>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</si>
  <si>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</si>
  <si>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</si>
  <si>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</si>
  <si>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</si>
  <si>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</si>
  <si>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</si>
  <si>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</si>
  <si>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</si>
  <si>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</si>
  <si>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</si>
  <si>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</si>
  <si>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</si>
  <si>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</si>
  <si>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</si>
  <si>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</si>
  <si>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</si>
  <si>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</si>
  <si>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</si>
  <si>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</si>
  <si>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</si>
  <si>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</si>
  <si>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</si>
  <si>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</si>
  <si>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</si>
  <si>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</si>
  <si>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</si>
  <si>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</si>
  <si>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</si>
  <si>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</si>
  <si>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</si>
  <si>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</si>
  <si>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</si>
  <si>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</si>
  <si>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</si>
  <si>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</si>
  <si>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</si>
  <si>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</si>
  <si>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</si>
  <si>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</si>
  <si>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</si>
  <si>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</si>
  <si>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</si>
  <si>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</si>
  <si>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</si>
  <si>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</si>
  <si>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</si>
  <si>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</si>
  <si>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</si>
  <si>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</si>
  <si>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</si>
  <si>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</si>
  <si>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</si>
  <si>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</si>
  <si>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</si>
  <si>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</si>
  <si>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</si>
  <si>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</si>
  <si>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</si>
  <si>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</si>
  <si>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</si>
  <si>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</si>
  <si>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</si>
  <si>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</si>
  <si>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</si>
  <si>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</si>
  <si>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</si>
  <si>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</si>
  <si>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</si>
  <si>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</si>
  <si>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</si>
  <si>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</si>
  <si>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</si>
  <si>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</si>
  <si>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</si>
  <si>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</si>
  <si>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</si>
  <si>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</si>
  <si>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</si>
  <si>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</si>
  <si>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MANUEL LEONARDO TELLEZ BELTRAN</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</si>
  <si>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</si>
  <si>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</si>
  <si>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</si>
  <si>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</si>
  <si>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</si>
  <si>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</si>
  <si>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</si>
  <si>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</si>
  <si>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</si>
  <si>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</si>
  <si>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</si>
  <si>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</si>
  <si>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</si>
  <si>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</si>
  <si>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</si>
  <si>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</si>
  <si>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</si>
  <si>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</si>
  <si>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</si>
  <si>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</si>
  <si>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</si>
  <si>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</si>
  <si>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</si>
  <si>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</si>
  <si>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</si>
  <si>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</si>
  <si>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</si>
  <si>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</si>
  <si>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</si>
  <si>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</si>
  <si>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</si>
  <si>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</si>
  <si>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</si>
  <si>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</si>
  <si>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</si>
  <si>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</si>
  <si>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</si>
  <si>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</si>
  <si>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</si>
  <si>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</si>
  <si>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</si>
  <si>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</si>
  <si>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</si>
  <si>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</si>
  <si>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</si>
  <si>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</si>
  <si>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</si>
  <si>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</si>
  <si>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</si>
  <si>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</si>
  <si>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</si>
  <si>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</si>
  <si>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</si>
  <si>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</si>
  <si>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</si>
  <si>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</si>
  <si>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</si>
  <si>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</si>
  <si>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</si>
  <si>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</si>
  <si>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</si>
  <si>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</si>
  <si>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</si>
  <si>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</si>
  <si>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</si>
  <si>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</si>
  <si>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</si>
  <si>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</si>
  <si>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</si>
  <si>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</si>
  <si>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</si>
  <si>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</si>
  <si>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</si>
  <si>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</si>
  <si>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</si>
  <si>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</si>
  <si>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</si>
  <si>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</si>
  <si>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</si>
  <si>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</si>
  <si>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</si>
  <si>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</si>
  <si>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</si>
  <si>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</si>
  <si>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</si>
  <si>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</si>
  <si>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Asignación del Instrumento financiero a las familias ocupantes del predio que hayan superado la fase de verificación dentro del marco del Decreto 457 de 2017. LOCALIDAD: KENNEDY; BARRIO: VEREDITAS; ID: 2018-8-384316</t>
  </si>
  <si>
    <t>REAS-394</t>
  </si>
  <si>
    <t>3075-93</t>
  </si>
  <si>
    <t>MARIA MARILI ZEA GUTIERREZ</t>
  </si>
  <si>
    <t>Asignación del Instrumento financiero a las familias ocupantes del predio que hayan superado la fase de verificación dentro del marco del Decreto 457 de 2017. LOCALIDAD: KENNEDY; BARRIO: VEREDITAS; ID: 2018-8-384318</t>
  </si>
  <si>
    <t>REAS-390</t>
  </si>
  <si>
    <t>NIDIA BIBIANA LESMES SANCHEZ</t>
  </si>
  <si>
    <t>Asignación del Instrumento financiero a las familias ocupantes del predio que hayan superado la fase de verificación dentro del marco del Decreto 457 de 2017. LOCALIDAD: KENNEDY; BARRIO: VEREDITAS; ID: 2018-8-384584</t>
  </si>
  <si>
    <t>REAS-391</t>
  </si>
  <si>
    <t>3075-93
3075-94</t>
  </si>
  <si>
    <t>JHOAN ESNEIDER SAMACA ROSERO</t>
  </si>
  <si>
    <t>Asignación del Instrumento financiero a las familias ocupantes del predio que hayan superado la fase de verificación dentro del marco del Decreto 457 de 2017. LOCALIDAD: KENNEDY; BARRIO: VEREDITAS; ID: 2017-8-383735</t>
  </si>
  <si>
    <t>REAS-404</t>
  </si>
  <si>
    <t>3075-94
3075-108</t>
  </si>
  <si>
    <t>YOLIMA GERTRUDIS AGUILAR VELASQUES</t>
  </si>
  <si>
    <t>Se anula la Viabilidad REAS-392 (CORDIS 2018IE6976)</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</si>
  <si>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</si>
  <si>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</si>
  <si>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</si>
  <si>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</si>
  <si>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</si>
  <si>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</si>
  <si>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</si>
  <si>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</si>
  <si>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</si>
  <si>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</si>
  <si>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Garantizar la disponibilidad de personal de apoyo jurídico, técnico, operativo y financiero que adelantará los procesos y acciones en cumplimiento del objeto y obligaciones…</t>
  </si>
  <si>
    <t>REAS-453</t>
  </si>
  <si>
    <t>REAS-205</t>
  </si>
  <si>
    <t>WADY JORGE CHICA ORDOÑEZ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</si>
  <si>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</si>
  <si>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</si>
  <si>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</si>
  <si>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</si>
  <si>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</si>
  <si>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</si>
  <si>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</si>
  <si>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</si>
  <si>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</si>
  <si>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</si>
  <si>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</si>
  <si>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</si>
  <si>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</si>
  <si>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</si>
  <si>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</si>
  <si>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</si>
  <si>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</si>
  <si>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profesionals para el acompañamiento jurídico en las actuaciones propias que requiera la Dirección de Reasentamientos de la Caja de la Vivienda Popular</t>
  </si>
  <si>
    <t>REAS-470</t>
  </si>
  <si>
    <t>3075-112
 3075-114
 3075-202</t>
  </si>
  <si>
    <t>REAS-465</t>
  </si>
  <si>
    <t>Se anula la viabilidad REAS-109 (CORDIS 2018IE11001)</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</si>
  <si>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</si>
  <si>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REAS-317</t>
  </si>
  <si>
    <t>MANUEL CAMILO MARTINEZ OSORIO</t>
  </si>
  <si>
    <t>Valor mes: 2.400.000 x 3 meses</t>
  </si>
  <si>
    <t>REAS-463</t>
  </si>
  <si>
    <t>3075-99
 3075-108
 3075-116</t>
  </si>
  <si>
    <t>REAS-454</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</si>
  <si>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</si>
  <si>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</si>
  <si>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</si>
  <si>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REAS-455</t>
  </si>
  <si>
    <t>Prestación de servicios profesionales para el acompañamiento jurídico en las actuaciones propias que requiera la Dirección de Reasentamientos de la Caja de la Vivienda Popular.</t>
  </si>
  <si>
    <t>REAS-456</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</si>
  <si>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</si>
  <si>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</si>
  <si>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MARIA CRISTINA FLORIAN RODRIGUEZ</t>
  </si>
  <si>
    <t>Valor mes: 4.890.000 x 3 meses</t>
  </si>
  <si>
    <t>REAS-457</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</si>
  <si>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</si>
  <si>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REAS-460</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</si>
  <si>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</si>
  <si>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</si>
  <si>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</si>
  <si>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</si>
  <si>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</si>
  <si>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</si>
  <si>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</si>
  <si>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</si>
  <si>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</si>
  <si>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</si>
  <si>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</si>
  <si>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</si>
  <si>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</si>
  <si>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</si>
  <si>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</si>
  <si>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</si>
  <si>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</si>
  <si>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</si>
  <si>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</si>
  <si>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</si>
  <si>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</si>
  <si>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</si>
  <si>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</si>
  <si>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</si>
  <si>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</si>
  <si>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</si>
  <si>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</si>
  <si>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</si>
  <si>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</si>
  <si>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</si>
  <si>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</si>
  <si>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</si>
  <si>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</si>
  <si>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</si>
  <si>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</si>
  <si>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</si>
  <si>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</si>
  <si>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</si>
  <si>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</si>
  <si>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</si>
  <si>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</si>
  <si>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</si>
  <si>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</si>
  <si>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</si>
  <si>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</si>
  <si>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</si>
  <si>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</si>
  <si>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</si>
  <si>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</si>
  <si>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</si>
  <si>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</si>
  <si>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</si>
  <si>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</si>
  <si>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</si>
  <si>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</si>
  <si>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</si>
  <si>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</si>
  <si>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</si>
  <si>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</si>
  <si>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</si>
  <si>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</si>
  <si>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</si>
  <si>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</si>
  <si>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</si>
  <si>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</si>
  <si>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</si>
  <si>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</si>
  <si>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</si>
  <si>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</si>
  <si>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</si>
  <si>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</si>
  <si>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</si>
  <si>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</si>
  <si>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</si>
  <si>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</si>
  <si>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</si>
  <si>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</si>
  <si>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</si>
  <si>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</si>
  <si>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</si>
  <si>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</si>
  <si>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</si>
  <si>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</si>
  <si>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</si>
  <si>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</si>
  <si>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</si>
  <si>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</si>
  <si>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</si>
  <si>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</si>
  <si>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</si>
  <si>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</si>
  <si>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</si>
  <si>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</si>
  <si>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</si>
  <si>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</si>
  <si>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</si>
  <si>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</si>
  <si>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</si>
  <si>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</si>
  <si>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</si>
  <si>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</si>
  <si>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</si>
  <si>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</si>
  <si>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</si>
  <si>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</si>
  <si>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</si>
  <si>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</si>
  <si>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</si>
  <si>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</si>
  <si>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</si>
  <si>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</si>
  <si>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</si>
  <si>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</si>
  <si>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</si>
  <si>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</si>
  <si>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</si>
  <si>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</si>
  <si>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</si>
  <si>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</si>
  <si>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</si>
  <si>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</si>
  <si>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</si>
  <si>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</si>
  <si>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</si>
  <si>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</si>
  <si>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</si>
  <si>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</si>
  <si>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</si>
  <si>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</si>
  <si>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</si>
  <si>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</si>
  <si>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</si>
  <si>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</si>
  <si>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03 Eliminación de la Linea</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</si>
  <si>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</si>
  <si>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</si>
  <si>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</si>
  <si>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</si>
  <si>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</si>
  <si>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</si>
  <si>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</si>
  <si>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</si>
  <si>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</si>
  <si>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</si>
  <si>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</si>
  <si>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</si>
  <si>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</si>
  <si>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</si>
  <si>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</si>
  <si>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</si>
  <si>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</si>
  <si>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</si>
  <si>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</si>
  <si>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</si>
  <si>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</si>
  <si>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</si>
  <si>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</si>
  <si>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</si>
  <si>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</si>
  <si>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</si>
  <si>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</si>
  <si>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</si>
  <si>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</si>
  <si>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</si>
  <si>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</si>
  <si>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</si>
  <si>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</si>
  <si>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</si>
  <si>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</si>
  <si>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</si>
  <si>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</si>
  <si>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</si>
  <si>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</si>
  <si>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</si>
  <si>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</si>
  <si>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</si>
  <si>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</si>
  <si>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</si>
  <si>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</si>
  <si>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</si>
  <si>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</si>
  <si>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</si>
  <si>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</si>
  <si>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REAS-466</t>
  </si>
  <si>
    <t>3075-114</t>
  </si>
  <si>
    <t>Se anula la viabilidad REAS-117(CORDIS 2018IE11001)</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</si>
  <si>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</si>
  <si>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</si>
  <si>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</si>
  <si>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</si>
  <si>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</si>
  <si>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</si>
  <si>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</si>
  <si>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</si>
  <si>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</si>
  <si>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</si>
  <si>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</si>
  <si>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</si>
  <si>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</si>
  <si>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</si>
  <si>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</si>
  <si>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</si>
  <si>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</si>
  <si>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</si>
  <si>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</si>
  <si>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</si>
  <si>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</si>
  <si>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</si>
  <si>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</si>
  <si>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</si>
  <si>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</si>
  <si>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</si>
  <si>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</si>
  <si>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</si>
  <si>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</si>
  <si>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</si>
  <si>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</si>
  <si>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</si>
  <si>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</si>
  <si>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VICTOR MANUEL LOPEZ RINCON</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</si>
  <si>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</si>
  <si>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</si>
  <si>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</si>
  <si>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</si>
  <si>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</si>
  <si>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</si>
  <si>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</si>
  <si>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</si>
  <si>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</si>
  <si>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</si>
  <si>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</si>
  <si>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</si>
  <si>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</si>
  <si>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MARIENT LORENA PADILLA GARCIA</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</si>
  <si>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</si>
  <si>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</si>
  <si>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</si>
  <si>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</si>
  <si>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</si>
  <si>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</si>
  <si>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</si>
  <si>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</si>
  <si>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</si>
  <si>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</si>
  <si>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</si>
  <si>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</si>
  <si>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</si>
  <si>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</si>
  <si>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</si>
  <si>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</si>
  <si>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</si>
  <si>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</si>
  <si>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</si>
  <si>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</si>
  <si>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</si>
  <si>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</si>
  <si>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</si>
  <si>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</si>
  <si>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</si>
  <si>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</si>
  <si>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</si>
  <si>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</si>
  <si>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</si>
  <si>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</si>
  <si>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</si>
  <si>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</si>
  <si>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</si>
  <si>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</si>
  <si>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</si>
  <si>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</si>
  <si>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</si>
  <si>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</si>
  <si>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</si>
  <si>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</si>
  <si>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</si>
  <si>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</si>
  <si>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</si>
  <si>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</si>
  <si>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</si>
  <si>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</si>
  <si>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</si>
  <si>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</si>
  <si>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</si>
  <si>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</si>
  <si>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</si>
  <si>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</si>
  <si>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</si>
  <si>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EUTIMIO  CHAPARRO HUERFANO</t>
  </si>
  <si>
    <t>Ajuste de VUR por Decreto 249 de 2015 (Altos de la Estancia). LOCALIDAD: CIUDAD BOLIVAR; BARRIO: MIRADOR DE LA ESTANCIA; ID: 2012-ALES-69</t>
  </si>
  <si>
    <t>REAS-183
 ANULADA</t>
  </si>
  <si>
    <t>493
 ANULADO</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</si>
  <si>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</si>
  <si>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</si>
  <si>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</si>
  <si>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</si>
  <si>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</si>
  <si>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</si>
  <si>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</si>
  <si>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</si>
  <si>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</si>
  <si>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</si>
  <si>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</si>
  <si>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</si>
  <si>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</si>
  <si>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</si>
  <si>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</si>
  <si>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</si>
  <si>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</si>
  <si>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</si>
  <si>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</si>
  <si>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</si>
  <si>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</si>
  <si>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</si>
  <si>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</si>
  <si>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</si>
  <si>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</si>
  <si>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</si>
  <si>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MIGUEL JOSE DELGADO</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</si>
  <si>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</si>
  <si>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</si>
  <si>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</si>
  <si>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</si>
  <si>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</si>
  <si>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</si>
  <si>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</si>
  <si>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</si>
  <si>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</si>
  <si>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</si>
  <si>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</si>
  <si>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</si>
  <si>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</si>
  <si>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</si>
  <si>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</si>
  <si>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</si>
  <si>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</si>
  <si>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</si>
  <si>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</si>
  <si>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</si>
  <si>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</si>
  <si>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</si>
  <si>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</si>
  <si>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</si>
  <si>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</si>
  <si>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</si>
  <si>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</si>
  <si>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</si>
  <si>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</si>
  <si>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</si>
  <si>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</si>
  <si>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</si>
  <si>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</si>
  <si>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</si>
  <si>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</si>
  <si>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</si>
  <si>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</si>
  <si>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</si>
  <si>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</si>
  <si>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</si>
  <si>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</si>
  <si>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</si>
  <si>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</si>
  <si>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</si>
  <si>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</si>
  <si>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</si>
  <si>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</si>
  <si>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</si>
  <si>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</si>
  <si>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</si>
  <si>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</si>
  <si>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</si>
  <si>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</si>
  <si>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</si>
  <si>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</si>
  <si>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</si>
  <si>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</si>
  <si>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</si>
  <si>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</si>
  <si>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</si>
  <si>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</si>
  <si>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</si>
  <si>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</si>
  <si>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</si>
  <si>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</si>
  <si>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</si>
  <si>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</si>
  <si>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</si>
  <si>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</si>
  <si>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</si>
  <si>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</si>
  <si>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</si>
  <si>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</si>
  <si>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</si>
  <si>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</si>
  <si>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</si>
  <si>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</si>
  <si>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</si>
  <si>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</si>
  <si>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</si>
  <si>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</si>
  <si>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</si>
  <si>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</si>
  <si>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</si>
  <si>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</si>
  <si>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</si>
  <si>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</si>
  <si>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</si>
  <si>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</si>
  <si>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</si>
  <si>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</si>
  <si>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</si>
  <si>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</si>
  <si>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</si>
  <si>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</si>
  <si>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</si>
  <si>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</si>
  <si>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</si>
  <si>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</si>
  <si>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</si>
  <si>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</si>
  <si>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</si>
  <si>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</si>
  <si>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</si>
  <si>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</si>
  <si>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</si>
  <si>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</si>
  <si>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</si>
  <si>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</si>
  <si>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</si>
  <si>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</si>
  <si>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</si>
  <si>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</si>
  <si>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</si>
  <si>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</si>
  <si>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</si>
  <si>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</si>
  <si>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</si>
  <si>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</si>
  <si>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</si>
  <si>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</si>
  <si>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</si>
  <si>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</si>
  <si>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</si>
  <si>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</si>
  <si>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</si>
  <si>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</si>
  <si>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</si>
  <si>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</si>
  <si>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</si>
  <si>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</si>
  <si>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</si>
  <si>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</si>
  <si>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</si>
  <si>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</si>
  <si>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</si>
  <si>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</si>
  <si>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</si>
  <si>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</si>
  <si>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</si>
  <si>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</si>
  <si>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</si>
  <si>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</si>
  <si>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</si>
  <si>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</si>
  <si>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</si>
  <si>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</si>
  <si>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</si>
  <si>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</si>
  <si>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</si>
  <si>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</si>
  <si>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</si>
  <si>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</si>
  <si>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</si>
  <si>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</si>
  <si>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</si>
  <si>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</si>
  <si>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</si>
  <si>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</si>
  <si>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</si>
  <si>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</si>
  <si>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</si>
  <si>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</si>
  <si>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</si>
  <si>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</si>
  <si>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</si>
  <si>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</si>
  <si>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</si>
  <si>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</si>
  <si>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</si>
  <si>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</si>
  <si>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</si>
  <si>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</si>
  <si>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</si>
  <si>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</si>
  <si>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</si>
  <si>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</si>
  <si>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</si>
  <si>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</si>
  <si>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</si>
  <si>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</si>
  <si>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</si>
  <si>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</si>
  <si>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JEIMY ALEJANDRA RUEDA LEON</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</si>
  <si>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</si>
  <si>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</si>
  <si>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</si>
  <si>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</si>
  <si>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</si>
  <si>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</si>
  <si>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</si>
  <si>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</si>
  <si>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EDNA MARGARITA JIMENEZ VEGA</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</si>
  <si>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</si>
  <si>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</si>
  <si>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</si>
  <si>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</si>
  <si>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</si>
  <si>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ARMANDO  LOPERA SANCHEZ</t>
  </si>
  <si>
    <t>Reajuste de VUR por avalúo comercial (Segunda vez). Decreto 255 de 2013. LOCALIDAD: CIUDAD BOLIVAR; BARRIO: POTOSI; ID: 2013000474</t>
  </si>
  <si>
    <t>REAS-264</t>
  </si>
  <si>
    <t>3075-5</t>
  </si>
  <si>
    <t>PABLO ALFONSO LEON ORTIZ</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</si>
  <si>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</si>
  <si>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</si>
  <si>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</si>
  <si>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</si>
  <si>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</si>
  <si>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</si>
  <si>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</si>
  <si>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</si>
  <si>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</si>
  <si>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</si>
  <si>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</si>
  <si>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</si>
  <si>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</si>
  <si>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</si>
  <si>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</si>
  <si>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</si>
  <si>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</si>
  <si>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</si>
  <si>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</si>
  <si>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</si>
  <si>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</si>
  <si>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</si>
  <si>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</si>
  <si>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</si>
  <si>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</si>
  <si>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</si>
  <si>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</si>
  <si>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</si>
  <si>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</si>
  <si>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</si>
  <si>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</si>
  <si>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</si>
  <si>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</si>
  <si>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</si>
  <si>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</si>
  <si>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</si>
  <si>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</si>
  <si>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</si>
  <si>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</si>
  <si>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</si>
  <si>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JORGE  LOMBANA MOTTA</t>
  </si>
  <si>
    <t>VUR de la actual vigencia. Decreto 255 de 2013. LOCALIDAD: CHAPINERO; BARRIO: SAN LUIS ALTOS DEL CABO; ID: 2009-2-11209</t>
  </si>
  <si>
    <t>REAS-278</t>
  </si>
  <si>
    <t>GRACIELA  LEGUIZAMON CALDERON</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</si>
  <si>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</si>
  <si>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</si>
  <si>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</si>
  <si>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</si>
  <si>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</si>
  <si>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</si>
  <si>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</si>
  <si>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</si>
  <si>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</si>
  <si>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</si>
  <si>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</si>
  <si>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</si>
  <si>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</si>
  <si>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</si>
  <si>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</si>
  <si>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</si>
  <si>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</si>
  <si>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</si>
  <si>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</si>
  <si>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</si>
  <si>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</si>
  <si>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</si>
  <si>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</si>
  <si>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</si>
  <si>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</si>
  <si>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</si>
  <si>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</si>
  <si>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</si>
  <si>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</si>
  <si>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</si>
  <si>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</si>
  <si>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</si>
  <si>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</si>
  <si>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</si>
  <si>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</si>
  <si>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</si>
  <si>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</si>
  <si>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GINA ESTEPHANIA LESCANO NIÑO</t>
  </si>
  <si>
    <t>01 Creación de la Linea</t>
  </si>
  <si>
    <t>VUR de la actual vigencia. Decreto 255 de 2013. LOCALIDAD: CIUDAD BOLIVAR; BARRIO: POTOSI; ID:2015-Q18-04422</t>
  </si>
  <si>
    <t>REAS-293</t>
  </si>
  <si>
    <t>LUZ DARY TRIANA AGUIAR</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</si>
  <si>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</si>
  <si>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</si>
  <si>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</si>
  <si>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</si>
  <si>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</si>
  <si>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CARLOS  CASTILLO ALMARIO</t>
  </si>
  <si>
    <t>Asignacion del instrumento financiero a las familias ocupantes del predio que hayan superado la fase de verificacion dentro del marco del Decreto 457 de 2017. LOCALIDAD: KENNEDY; BARRIO: VEREDITAS; ID: 2017-8-383653</t>
  </si>
  <si>
    <t>REAS-296</t>
  </si>
  <si>
    <t>JOHN DIDIER TIRADO ROSERO</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</si>
  <si>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</si>
  <si>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</si>
  <si>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</si>
  <si>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</si>
  <si>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</si>
  <si>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</si>
  <si>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</si>
  <si>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</si>
  <si>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</si>
  <si>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ISABEL CRISTINA VARGAS CRISTANCHO</t>
  </si>
  <si>
    <t>REPROGRAMACION (Proyección de Ejecución Febrero 2018)</t>
  </si>
  <si>
    <t>Adquisición predial por Decreto 511 de 2010. LOCALIDAD: USME; BARRIO: YOPAL EL PEDREGAL; ID: 2010-5-11503</t>
  </si>
  <si>
    <t>REAS-426</t>
  </si>
  <si>
    <t>CLAUDIA YIRLEY LEAL CHUNZA</t>
  </si>
  <si>
    <t>VUR para Reasentamientos de Hogares Localizados en Zonas de Alto Riesgo No Mitigable</t>
  </si>
  <si>
    <t>SIN PROYECCION (Ejecucion sujeta a la expedicion del decreto de actualizacion de VUR</t>
  </si>
  <si>
    <t>VUR de la actual vigencia. La asignación se realiza para dar cumplimiento al fallo de acción popular 2002-00152-Suba Gavilanes. Decreto 255 de 2013. LOCALIDAD: SUBA (GAVILANES); BARRIO: BILBAO; ID: 2018-11-15152</t>
  </si>
  <si>
    <t>REAS-387</t>
  </si>
  <si>
    <t>3075-6</t>
  </si>
  <si>
    <t>MARIA DEL CARMEN SUAREZ DE BELLO</t>
  </si>
  <si>
    <t>VUR de la actual vigencia. La asignación se realiza para dar cumplimiento al fallo de acción popular 2002-00152 - Suba Gavilanes. Decreto 255 de 2013. LOCALIDAD: SUBA (GAVILANES); BARRIO: BILBAO; ID:2018-11-15060</t>
  </si>
  <si>
    <t>REAS-396</t>
  </si>
  <si>
    <t>LUIS CARLOS RAMIREZ</t>
  </si>
  <si>
    <t>VUR de la actual vigencia. La asignación se realiza para dar cumplimiento al fallo de acción popular 2002-00152- Suba Gavilanes. Decreto 255 de 2013. LOCALIDAD: SUBA GAVILANES; BARRIO: SANTA CECILIA; ID: 2018-11-15187</t>
  </si>
  <si>
    <t>REAS-417</t>
  </si>
  <si>
    <t>PETRONILA  CASTILLO</t>
  </si>
  <si>
    <t>VUR de la actual vigencia. La asignación se realiza para dar cumplimiento al fallo de acción popular 2002-00152- Suba Gavilanes. Decreto 255 de 2013. LOCALIDAD: SUBA GAVILANES; BARRIO: SAN PEDRO DE TIBABUYES: ID: 2018-11-15335</t>
  </si>
  <si>
    <t>Reajuste de VUR por avalúo comercial. Decreto 255 de 2013. LOCALIDAD: RAFAEL URIBE URIBE; BARRIO: MARCO FIDEL SUAREZ; ID: 2011-18-13217</t>
  </si>
  <si>
    <t>REAS-423</t>
  </si>
  <si>
    <t>RODRIGO  PARRA MALAVER</t>
  </si>
  <si>
    <t>OF. 6201 - MAYO 4/18
21/06/2018</t>
  </si>
  <si>
    <t xml:space="preserve"> 3/06/18</t>
  </si>
  <si>
    <t>VUR de la actual vigencia. La asignación se realiza para dar cumplimiento al fallo de acción popular 2002-00152- Suba Gavilanes. Decreto 255 de 2013. LOCALIDAD: SUBA GAVILANES; BARRIO: BILVAO; ID: 2018-11-15078</t>
  </si>
  <si>
    <t>REAS-429</t>
  </si>
  <si>
    <t>VICTOR MANUEL ORDOÑEZ MELO</t>
  </si>
  <si>
    <t>VUR de la actual vigencia. La asignación se realiza para dar cumplimiento al fallo de acción popular 2002-00152 - Suba Gavilanes. Decreto 255 de 2013. LOCALIDAD: SUBA GAVILANES; BARRIO: BILBAO; ID: 2018-11-15071</t>
  </si>
  <si>
    <t>REAS-450</t>
  </si>
  <si>
    <t>Reajuste de VUR por avalúo comercial. Decreto 255 de 2013. LOCALIDAD: SAN CRISTOBAL; BARRIO: QUINDIO; ID:2014-Q20-01179</t>
  </si>
  <si>
    <t>REAS-425</t>
  </si>
  <si>
    <t>3075-8</t>
  </si>
  <si>
    <t>LIGIA  ROMERO OLIVEROS</t>
  </si>
  <si>
    <t>VUR de la actual vigencia. La asignación se realiza para dar cumplimiento al fallo de acción popular 2002-00152- Suba Gavilanes. Decreto 255 de 2013. LOCALIDAD: SUBA GAVILANES; BARRIO: BILVAO; ID: 2018-11-15166</t>
  </si>
  <si>
    <t>REAS-439</t>
  </si>
  <si>
    <t xml:space="preserve">
AGOSTO ($127.798.565)
 SEPTIEMBRE ($93.309.530)
 OCTUBRE ($82.406.717)
 NOVIEMBRE( $245.043.938)</t>
  </si>
  <si>
    <t>REAS-420</t>
  </si>
  <si>
    <t>SIN PROYECCION (Ejecucion sujeta a la entrega de viviendas)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</si>
  <si>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</si>
  <si>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</si>
  <si>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</si>
  <si>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</si>
  <si>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</si>
  <si>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</si>
  <si>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</si>
  <si>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</si>
  <si>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681
 ANULADO</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</si>
  <si>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</si>
  <si>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</si>
  <si>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</si>
  <si>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</si>
  <si>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CINDY MARYORY RAMIREZ DURAN</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</si>
  <si>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</si>
  <si>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</si>
  <si>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DIANA CAROLINA RATIVA SANTAFE</t>
  </si>
  <si>
    <t>Asignacion del instrumento financiero a las familias ocupantes del predio que hayan superado la fase de verificacion dentro del marco del Decreto 457 de 2017. LOCALIDAD: KENNEDY; BARRIO: VEREDITAS; ID: 2018-8-384292</t>
  </si>
  <si>
    <t>REAS-302</t>
  </si>
  <si>
    <t>JESUS ENRIQUE BERGAÑO MARTINEZ</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</si>
  <si>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</si>
  <si>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</si>
  <si>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</si>
  <si>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</si>
  <si>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</si>
  <si>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JUAN DAVID CUADROS GARZON</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</si>
  <si>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</si>
  <si>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</si>
  <si>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LINA YESSENIA CAMPOS PASTRAN</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</si>
  <si>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</si>
  <si>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</si>
  <si>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LUZ CECILIA MARTINEZ MOSQUERA</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</si>
  <si>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</si>
  <si>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</si>
  <si>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MARIA DEL PILAR FERNANDEZ GARCIA</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</si>
  <si>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</si>
  <si>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</si>
  <si>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MARISOL  AMAYA OVIEDO</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</si>
  <si>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</si>
  <si>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</si>
  <si>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MARISOL  DELGADO FANDIÑO</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</si>
  <si>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</si>
  <si>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</si>
  <si>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NATALIA ANDREA MELENDEZ MONTENEGRO</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</si>
  <si>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</si>
  <si>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</si>
  <si>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OSCAR  ROBAYO ULLOA</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</si>
  <si>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</si>
  <si>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</si>
  <si>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SEBASTIAN  HERRERA RAMOS</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</si>
  <si>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</si>
  <si>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</si>
  <si>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</si>
  <si>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TRASLADO PARA PAGO DE PASIVOS EXIGIBLES</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</si>
  <si>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</si>
  <si>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</si>
  <si>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</si>
  <si>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</si>
  <si>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</si>
  <si>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</si>
  <si>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</si>
  <si>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</si>
  <si>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</si>
  <si>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CONSUELO  NAVAS MARTINEZ</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</si>
  <si>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</si>
  <si>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</si>
  <si>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CINDY LORENA MONROY OSSA</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</si>
  <si>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</si>
  <si>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</si>
  <si>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LILIANA  MACHADO BOTERO</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</si>
  <si>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</si>
  <si>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</si>
  <si>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MARIA CAROLINA ALVAREZ TECANO</t>
  </si>
  <si>
    <t>Asignacion del instrumento financiero a las familias ocupantes del predio que hayan superado la fase de verificacion dentro del marco del Decreto 457 de 2017. LOCALIDAD: KENNEDY; BARRIO: VEREDITAS; ID: 2017-8-383744</t>
  </si>
  <si>
    <t>REAS-323</t>
  </si>
  <si>
    <t>NUBIA YADIRA GARZON VELASQUEZ</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</si>
  <si>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</si>
  <si>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</si>
  <si>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</si>
  <si>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</si>
  <si>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</si>
  <si>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</si>
  <si>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</si>
  <si>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</si>
  <si>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</si>
  <si>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</si>
  <si>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</si>
  <si>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</si>
  <si>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</si>
  <si>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</si>
  <si>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</si>
  <si>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</si>
  <si>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</si>
  <si>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EDGAR NAYID BELLO NAVARRETE</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</si>
  <si>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</si>
  <si>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</si>
  <si>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</si>
  <si>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</si>
  <si>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</si>
  <si>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746
 ANULADO</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</si>
  <si>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</si>
  <si>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</si>
  <si>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</si>
  <si>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</si>
  <si>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</si>
  <si>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</si>
  <si>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730
 ANULADO</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</si>
  <si>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</si>
  <si>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</si>
  <si>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</si>
  <si>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</si>
  <si>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</si>
  <si>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</si>
  <si>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</si>
  <si>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</si>
  <si>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</si>
  <si>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</si>
  <si>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</si>
  <si>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</si>
  <si>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</si>
  <si>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</si>
  <si>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</si>
  <si>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</si>
  <si>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</si>
  <si>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</si>
  <si>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</si>
  <si>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</si>
  <si>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</si>
  <si>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</si>
  <si>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</si>
  <si>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</si>
  <si>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</si>
  <si>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</si>
  <si>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</si>
  <si>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</si>
  <si>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</si>
  <si>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</si>
  <si>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</si>
  <si>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</si>
  <si>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</si>
  <si>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</si>
  <si>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</si>
  <si>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t>
  </si>
  <si>
    <t>REAS-382
 ANULADA</t>
  </si>
  <si>
    <t>3075-4
 3075-333</t>
  </si>
  <si>
    <t>SE REALIZA TRASLADO PARA PAGO DE PASIVOS (Acuerdo 05 de 16 de julio de 2018)</t>
  </si>
  <si>
    <t>REAS-405
 ANULADA</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</si>
  <si>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</si>
  <si>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</si>
  <si>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</si>
  <si>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</si>
  <si>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</si>
  <si>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</si>
  <si>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</si>
  <si>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</si>
  <si>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</si>
  <si>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</si>
  <si>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</si>
  <si>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</si>
  <si>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</si>
  <si>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</si>
  <si>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</si>
  <si>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</si>
  <si>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</si>
  <si>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</si>
  <si>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CELENIA  GARCIA JULIO</t>
  </si>
  <si>
    <t>REAS-355</t>
  </si>
  <si>
    <t>CLAUDIA PATRICIA BLANCO GARCIA</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</si>
  <si>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</si>
  <si>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</si>
  <si>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</si>
  <si>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</si>
  <si>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</si>
  <si>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</si>
  <si>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JENNY CATALINA PINZON ZEA</t>
  </si>
  <si>
    <t>VUR de conformidad con el avalúo comercial (Asignación Primera Vez). Decreto 255 de 2013. LOCALIDAD; RAFAEL URIBE URIBE; BARRIO: GRANJAS DE SAN PABLO; ID: 2006-18-8886</t>
  </si>
  <si>
    <t>REAS-358</t>
  </si>
  <si>
    <t>LUIS ALFONSO PARRA BENAVIDES</t>
  </si>
  <si>
    <t>VUR de la actual vigencia (Asignación primera vez). Decreto 255 de 2013. LOCALIDAD: CIUDAD BOLIVAR; BARRIO: PARAISO QUIBA; ID:2014-Q21-00711</t>
  </si>
  <si>
    <t>REAS-359</t>
  </si>
  <si>
    <t>SANDRA YANET PARRA RODRIGUEZ</t>
  </si>
  <si>
    <t>Excedente de VUR por avalúo comercial. Decreto 255 de 2013. LOCALIDAD: SAN CRISTOBAL; BARRIO:QUINDIO; ID:2015-Q20-01326</t>
  </si>
  <si>
    <t>REAS-360</t>
  </si>
  <si>
    <t>RUTH ZAFIR ROJAS CASTILLO</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</si>
  <si>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</si>
  <si>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</si>
  <si>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</si>
  <si>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</si>
  <si>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</si>
  <si>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FRANCELINA  DIAZ RINCON</t>
  </si>
  <si>
    <t>VUR de la actual vigencia. Decreto 255 de 2013. LOCALIDAD: USME; BARRIO: ARRAYANES V; ID:2016-Q05-00003</t>
  </si>
  <si>
    <t>REAS-364</t>
  </si>
  <si>
    <t>BERNARDO  PALOMINO</t>
  </si>
  <si>
    <t>Excedente de VUR por avalúo comercial. Decreto 255 de 2013. LOCALIDAD: SAN CRISTOBAL; BARRIO:LOS LIBERTADORES; ID:2013-Q18-00106</t>
  </si>
  <si>
    <t>REAS-365</t>
  </si>
  <si>
    <t>MARIA CLEMENTINA FIGUEREDO ROJAS</t>
  </si>
  <si>
    <t>Adquisición de mejoras por Decreto 511 de 2010. LOCALIDAD: CIUDAD BOLIVAR; BARRIO: ESPINO III; ID: 2012-ALES-198</t>
  </si>
  <si>
    <t>REAS-366</t>
  </si>
  <si>
    <t>GONZALO  MUÑOZ GORDILLO</t>
  </si>
  <si>
    <t>Adquisición predial por Decreto 511 de 2010. LOCALIDAD: SAN CRISTOBAL;VILLA DEL CERRO; ID: 2015-Q20-01356</t>
  </si>
  <si>
    <t>REAS-367</t>
  </si>
  <si>
    <t>OVIDIO  MORALES MONSALVE</t>
  </si>
  <si>
    <t>Adquisición de mejoras por Decreto 511 de 2010. LOCALIDAD: SAN CRISTOBAL;VILLA DEL CERRO; ID: 2015-Q20-01356</t>
  </si>
  <si>
    <t>Adquisición de mejoras por Decreto 511 de 2010. LOCALIDAD: SANTA FE; BARRIO: SAN FRANCISCO RURAL; ID: 2015-Q24-01531</t>
  </si>
  <si>
    <t>REAS-368</t>
  </si>
  <si>
    <t>LUIS PABLO GARZON RAMIREZ</t>
  </si>
  <si>
    <t>VUR de la actual vigencia. Decreto 255 de 2013. LOCALIDAD: USAQUEN; BARRIO: EL CODITO V; ID:2007-1-10589</t>
  </si>
  <si>
    <t>REAS-369</t>
  </si>
  <si>
    <t>DIOSELINA  ARIAS DE TOVAR</t>
  </si>
  <si>
    <t>Adquisición de mejoras por Decreto 511 de 2010. LOCALIDAD: CIUDAD BOLIVAR; BARRIO: LOS TRES REYES I ETAPA; ID: 2003-19-4556</t>
  </si>
  <si>
    <t>REAS-370</t>
  </si>
  <si>
    <t>JAIRO  BARRERO DIAZ</t>
  </si>
  <si>
    <t>VUR de la actual vigencia. Decreto 255 de 2013. LOCALIDAD: USAQUEN; BARRIO:SANTA CECILIA BAJA; ID:2005-1-7523</t>
  </si>
  <si>
    <t>REAS-371</t>
  </si>
  <si>
    <t>GUSTAVO  LOBATON VARGAS</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</si>
  <si>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</si>
  <si>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</si>
  <si>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</si>
  <si>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</si>
  <si>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</si>
  <si>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ARQUIMEDES  RODRIGUEZ OVIEDO</t>
  </si>
  <si>
    <t>VUR conforme al avalúo comercial. Decreto 255 de 2013 LOCALIDAD: USAQUEN; BARRIO: TIBABITA RURAL; ID:2006-1-7963</t>
  </si>
  <si>
    <t>REAS-374</t>
  </si>
  <si>
    <t>OSCAR MAURICIO MEDINA VARGAS</t>
  </si>
  <si>
    <t>VUR conforme al avalúo comercial. Decreto 255 de 2013 LOCALIDAD: CIUDAD BOLIVAR; BARRIO: RINCON DEL PORVENIR; ID:2005-19-7498</t>
  </si>
  <si>
    <t>REAS-375</t>
  </si>
  <si>
    <t>LEONOR  CHAUTA DE BOHORQUEZ</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</si>
  <si>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</si>
  <si>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</si>
  <si>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</si>
  <si>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</si>
  <si>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</si>
  <si>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</si>
  <si>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</si>
  <si>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LUIS ALBERTO ZAMBRANO LOPEZ</t>
  </si>
  <si>
    <t>VUR de la actual vigencia. Decreto 255 de 2013. LOCALIDAD: SUBA; BARRIO: SAN PEDRO; DE TIBABUYES; ID: 2018-11-15274</t>
  </si>
  <si>
    <t>REAS-380</t>
  </si>
  <si>
    <t>LEONOR  LEON DE GALINDO</t>
  </si>
  <si>
    <t>REAS-381</t>
  </si>
  <si>
    <t>0065 - Decreto 227 de 2015 -
PAIMIS</t>
  </si>
  <si>
    <t>Asignación de recursos equivalentes a 70 salarios minimos legales vigentes, conforme a lo estipulado en el decreto 227 de 2015. LOCALIDAD: KENNEDY; BARRIO: LAS PALMITAS; ID: 2017-08-14939</t>
  </si>
  <si>
    <t>REAS-384</t>
  </si>
  <si>
    <t>3075-342</t>
  </si>
  <si>
    <t>JUAN CARLOS GARCIA</t>
  </si>
  <si>
    <t>Asignación de recursos equivalentes a 70 salarios minimos legales vigentes, conforme a lo estipulado en el decreto 227 de 2015. LOCALIDAD: KENNEDY; BARRIO: LAS PALMITAS; ID: 22016-08-14844</t>
  </si>
  <si>
    <t>REAS-385</t>
  </si>
  <si>
    <t>EDUIN ALBERTO HERNANDEZ SANCHEZ</t>
  </si>
  <si>
    <t>Recursos para amparar traslado presupuestal</t>
  </si>
  <si>
    <t>REAS-386
 ANULADA</t>
  </si>
  <si>
    <t>3075-354</t>
  </si>
  <si>
    <t>814
 ANULADO</t>
  </si>
  <si>
    <t>Aprobado por el Consejo Directivo a través del Acuerdo 04 de 8 de junio de 2018 (incorporado en PREDIS el 19 de junio de 2018)</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</si>
  <si>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</si>
  <si>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</si>
  <si>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</si>
  <si>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</si>
  <si>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YENIFER GABRIELA ORJUELA PACHECO</t>
  </si>
  <si>
    <t>VUR de la actual vigencia. La asignación se realiza para dar cumplimiento al fallo de acción popular 2002-00152-Suba Gavilanes. Decreto 255 de 2013. LOCALIDAD: SUBA (GAVILANES); BARRIO: SANTA CECILIA; ID: 2018-11-15198</t>
  </si>
  <si>
    <t>REAS-388</t>
  </si>
  <si>
    <t>3075-339
3075-340</t>
  </si>
  <si>
    <t>FLOR ELISA ULLOA PUENTES</t>
  </si>
  <si>
    <t>Asignación del Instrumento financiero a las familias ocupantes del predio que hayan superado la fase de verificación dentro del marco del Decreto 457 de 2017. LOCALIDAD: KENNEDY; BARRIO: VEREDITAS; ID: 2018-08-384308</t>
  </si>
  <si>
    <t>REAS-393</t>
  </si>
  <si>
    <t>3075-92</t>
  </si>
  <si>
    <t>LUZ KATHERINE TAMAYO HERNANDEZ</t>
  </si>
  <si>
    <t>Asignación del Instrumento financiero a las familias ocupantes del predio que hayan superado la fase de verificación dentro del marco del Decreto 457 de 2017. LOCALIDAD: KENNEDY; BARRIO: VEREDITAS; ID: 2018-8-384317</t>
  </si>
  <si>
    <t>REAS-395</t>
  </si>
  <si>
    <t>CESAR ANDRES BARON LESMES</t>
  </si>
  <si>
    <t>VUR de la actual vigencia. La asignación se realiza para dar cumplimiento al fallo de acción popular 2002-00152 - Suba Gavilanes. Decreto 255 de 2013. LOCALIDAD: SUBA (GAVILANES); BARRIO: SANTA CECILIA; ID:2018-11-15140</t>
  </si>
  <si>
    <t>REAS-397</t>
  </si>
  <si>
    <t>3075-340</t>
  </si>
  <si>
    <t>LUZ MARINA ZEA GUTIERREZ</t>
  </si>
  <si>
    <t>VUR de la actual vigencia. La asignación se realiza para dar cumplimiento al fallo de acción popular 2002-00152 - Suba Gavilanes. Decreto 255 de 2013. LOCALIDAD: SUBA (GAVILANES); BARRIO: SANTA CECILIA; ID:2018-11-15186</t>
  </si>
  <si>
    <t>REAS-398</t>
  </si>
  <si>
    <t>VUR de la actual vigencia. La asignación se realiza para dar cumplimiento al fallo de acción popular 2002-00152 - Suba Gavilanes. Decreto 255 de 2013. LOCALIDAD: SUBA (GAVILANES); BARRIO: SANTA CECILIA; ID:2018-11-15195</t>
  </si>
  <si>
    <t>REAS-399</t>
  </si>
  <si>
    <t>3075-340
3075-341</t>
  </si>
  <si>
    <t>BELEN  CASTAÑEDA</t>
  </si>
  <si>
    <t>VUR de la actual vigencia. La asignación se realiza para dar cumplimiento al fallo de acción popular 2002-00152 - Suba Gavilanes. Decreto 255 de 2013. LOCALIDAD: SUBA (GAVILANES); BARRIO: SANTA CECILIA; ID:2018-11-15214</t>
  </si>
  <si>
    <t>REAS-400</t>
  </si>
  <si>
    <t>3075-341</t>
  </si>
  <si>
    <t>BLANCA NORA MONTENEGRO</t>
  </si>
  <si>
    <t>VUR de la actual vigencia. La asignación se realiza para dar cumplimiento al fallo de acción popular 2002-00152 - Suba Gavilanes. Decreto 255 de 2013. LOCALIDAD: SUBA (GAVILANES); BARRIO: SANTA CECILIA; ID:2018-11-15303</t>
  </si>
  <si>
    <t>REAS-401</t>
  </si>
  <si>
    <t>LETICIA  FIERRO GARRIDO</t>
  </si>
  <si>
    <t>VUR de la actual vigencia. Decreto 255 de 2013. LOCALIDAD: CIUDAD BOLIVAR; BARRIO: EL MOCHUELO II; ID: 2015-Q09-03242</t>
  </si>
  <si>
    <t>REAS-402</t>
  </si>
  <si>
    <t>JOSE ALEXANDER MORALES MORALES</t>
  </si>
  <si>
    <t>VUR de la actual vigencia. Decreto 255 de 2013. LOCALIDAD: SAN CRISTOBAL; BARRIO: CANADA O GUIRA; ID: 2015-Q20-03845</t>
  </si>
  <si>
    <t>REAS-403</t>
  </si>
  <si>
    <t>ROSA ANTONIA VILLAMIL BUITRAGO</t>
  </si>
  <si>
    <t>REAS-406
 ANULADA</t>
  </si>
  <si>
    <t>3075-411</t>
  </si>
  <si>
    <t>VUR de la actual vigencia. Decreto 255 de 2013. LOCALIDAD: SAN CRISTOBAL; BARRIO: MONTEBELLO; ID: 2010-4-11860</t>
  </si>
  <si>
    <t>REAS-407</t>
  </si>
  <si>
    <t>ANA ZORAIDA LEGUIZAMON PICON</t>
  </si>
  <si>
    <t>VUR de la actual vigencia. Decreto 255 de 2013. LOCALIDAD: CIUDAD BOLIVAR; BARRIO: JUAN PABLO II; ID: 2015-Q03-03414</t>
  </si>
  <si>
    <t>REAS-408</t>
  </si>
  <si>
    <t>REINA DOLORES ORDOÑEZ NAVARRO</t>
  </si>
  <si>
    <t>Adquisción predial por Decreto 511 de 2010. LOCALIDAD: RAFAEL URIBE; BARRIO: MADRID; ID: 2004-18-5522</t>
  </si>
  <si>
    <t>REAS-409</t>
  </si>
  <si>
    <t>3075-333</t>
  </si>
  <si>
    <t>JOSE NELSON QUITIAN SANTAMARIA</t>
  </si>
  <si>
    <t>Adquisción predial por Decreto 511 de 2010. LOCALIDAD: CIUDAD BOLIVAR; BARRIO: PARAISO QUIBA; ID: 2013-Q04-00760</t>
  </si>
  <si>
    <t>REAS-410</t>
  </si>
  <si>
    <t>Adquisción predial por Decreto 511 de 2010. LOCALIDAD: USAQUEN; BARRIO: EL CODITO; ID: 2006-1-7979</t>
  </si>
  <si>
    <t>REAS-411</t>
  </si>
  <si>
    <t>Adquisición Predial por Decreto 511 de 2010. LOCALIDAD: USME; BARRIO: SAN JUAN DE USME; ID: 2010-5-11488</t>
  </si>
  <si>
    <t>REAS-412</t>
  </si>
  <si>
    <t>VUR de la actual vigencia. Decreto 255 de 2013. LOCALIDAD: CIUDAD BOLIVAR; BARRIO: SAN FRANCISCO; ID: 2015-Q03-03557</t>
  </si>
  <si>
    <t>REAS-413</t>
  </si>
  <si>
    <t>MARIA NELCY SASTOQUE VARGAS</t>
  </si>
  <si>
    <t>VUR de la actual vigencia. Decreto 255 de 2013. LOCALIDAD: CIUDAD BOLIVAR; BARRIO: EL MOCHUELO; ID: 2015-Q09-03189</t>
  </si>
  <si>
    <t>REAS-414</t>
  </si>
  <si>
    <t>MARIA TERESA GARZON PATIÑO</t>
  </si>
  <si>
    <t>VUR de la actual vigencia. Decreto 255 de 2013. LOCALIDAD: CIUDAD BOLIVAR; BARRIO SAN FRANCISCO; ID: 2018-Q03-15552</t>
  </si>
  <si>
    <t>REAS-416</t>
  </si>
  <si>
    <t>WILLIAM ALEXANDER GONZALEZ SASTOQUE</t>
  </si>
  <si>
    <t>VUR de la actual vigencia. La asignación se realiza para dar cumplimiento al fallo de acción popular 2002-00152- Suba Gavilanes. Decreto 255 de 2013. LOCALIDAD: SUBA GAVILANES; BARRIO: SAN PEDRO DE TIBABUYES; ID: 2018-11-15335</t>
  </si>
  <si>
    <t>REAS-418</t>
  </si>
  <si>
    <t>3075-7
3075-342</t>
  </si>
  <si>
    <t>OCTAVIO  ARIAS SOSSA</t>
  </si>
  <si>
    <t>VUR de la actual vigencia. La asignación se realiza para dar cumplimiento al fallo de acción popular 2002-00152- Suba Gavilanes. Decreto 255 de 2013. LOCALIDAD: SUBA GAVILANES; BARRIO: SANTA CECILIA; ID: 2018-11-15362</t>
  </si>
  <si>
    <t>REAS-419</t>
  </si>
  <si>
    <t>TERESA DE JESUS ZAMUDIO SIABATO</t>
  </si>
  <si>
    <t>Reajuste de VUR por avalúo comercial. Decreto 255 de 2013. LOCALIDAD: SAN CRISTOBAL; BARRIO: LA GLORIA ORIENTAL; ID: 2014-Q20-01220</t>
  </si>
  <si>
    <t>REAS-424</t>
  </si>
  <si>
    <t>Adquisición predial por Decreto 511 de 2010. LOCALIDAD: CIUDAD BOLIVAR; BARRIO: SANTO DOMINGO; ID: 2012-ALES-311</t>
  </si>
  <si>
    <t>REAS-427</t>
  </si>
  <si>
    <t>VUR de la actual vigencia. La asignación se realizapara dar cumplimiento al fallo de acción popular 2002-00152 - Suba Gavilanes. Decreto 255 de 2013. LOCALIDAD: SUBA GAVILANES; BARRIO: BILVAO; ID: 2018-11-15064</t>
  </si>
  <si>
    <t>REAS-428</t>
  </si>
  <si>
    <t>3075-343
 3075-344</t>
  </si>
  <si>
    <t>LILIANA  RODRIGUEZ TOLOSA</t>
  </si>
  <si>
    <t>VUR de la actual vigencia. La asignación se realizapara dar cumplimiento al fallo de acción popular 2002-00152 - Suba Gavilanes. Decreto 255 de 2013. LOCALIDAD: SUBA GAVILANES; BARRIO: SANTA CECILIA; ID: 2018-11-15165</t>
  </si>
  <si>
    <t>REAS-430</t>
  </si>
  <si>
    <t>3075-344</t>
  </si>
  <si>
    <t>LUIS ERNESTO CASTAÑEDA SANABRIA</t>
  </si>
  <si>
    <t>VUR de la actual vigencia. La asignación se realizapara dar cumplimiento al fallo de acción popular 2002-00152 - Suba Gavilanes. Decreto 255 de 2013. LOCALIDAD: SUBA GAVILANES; BARRIO: SANTA CECILIA; ID: 2018-11-15171</t>
  </si>
  <si>
    <t>REAS-431</t>
  </si>
  <si>
    <t>VUR de la actual vigencia. La asignación se realizapara dar cumplimiento al fallo de acción popular 2002-00152 - Suba Gavilanes. Decreto 255 de 2013. LOCALIDAD: SUBA GAVILANES; BARRIO: SANTA CECILIA; ID: 2018-11-15173</t>
  </si>
  <si>
    <t>REAS-432</t>
  </si>
  <si>
    <t>VUR de la actual vigencia. La asignación se realizapara dar cumplimiento al fallo de acción popular 2002-00152 - Suba Gavilanes. Decreto 255 de 2013. LOCALIDAD: SUBA GAVILANES; BARRIO: SANTA CECILIA; ID: 2018-11-15196</t>
  </si>
  <si>
    <t>REAS-433</t>
  </si>
  <si>
    <t>3075-344
 3075-345</t>
  </si>
  <si>
    <t>VUR de la actual vigencia. La asignación se realizapara dar cumplimiento al fallo de acción popular 2002-00152 - Suba Gavilanes. Decreto 255 de 2013. LOCALIDAD: SUBA GAVILANES; BARRIO: SAN PEDRO; ID: 2018-11-15297</t>
  </si>
  <si>
    <t>REAS-434</t>
  </si>
  <si>
    <t>3075-345</t>
  </si>
  <si>
    <t>VUR de la actual vigencia. La asignación se realizapara dar cumplimiento al fallo de acción popular 2002-00152 - Suba Gavilanes. Decreto 255 de 2013. LOCALIDAD: SUBA GAVILANES; BARRIO: BILVAO; ID: 2018-11-15120</t>
  </si>
  <si>
    <t>REAS-435</t>
  </si>
  <si>
    <t>Adquisición predial Decreto 511 de 2010. LOCALIDAD: CIUDAD BOLIVAR; BARRIO: PARAISO QUIBA; ID: 2013-Q04-00281</t>
  </si>
  <si>
    <t>REAS-436</t>
  </si>
  <si>
    <t>3075-333
 3075-334</t>
  </si>
  <si>
    <t>Prestacion de servicios profesionales para el acompañamiento jurídico, en los procesos y procedimientos establecidos frente a la ejecución del programa misional de la Dirección de Reasentamientos de la Caja de la Vivienda Popular.</t>
  </si>
  <si>
    <t>REAS-437</t>
  </si>
  <si>
    <t>3075-50</t>
  </si>
  <si>
    <t>Adquisición predial por Decreto 511 de 2010, de conformidad con solicitud realizada por el Dr. Miguel Perdomo, quien entrará a modificar la resolución No. 4003 del 20 de septiembre de 2017. LOCALIDAD: CIUDAD BOLIVAR; BARRIO: DIVINO NIÑO; ID: 2009-19-11128</t>
  </si>
  <si>
    <t>REAS-438</t>
  </si>
  <si>
    <t>3075-334</t>
  </si>
  <si>
    <t>VUR de la actual vigencia. La asignación se realiza para dar cumplimiento al fallo de acción popular 2002-00152- Suba Gavilanes. Decreto 255 de 2013. LOCALIDAD: SUBA GAVILANES; BARRIO: BILVAO; ID: 2018-11-15258</t>
  </si>
  <si>
    <t>REAS-440</t>
  </si>
  <si>
    <t>3075-349</t>
  </si>
  <si>
    <t>VUR de la actual vigencia. La asignación se realiza para dar cumplimiento al fallo de acción popular 2002-00152- Suba Gavilanes. Decreto 255 de 2013. LOCALIDAD: SUBA GAVILANES; BARRIO: SANTA RITA; ID: 2018-11-15354</t>
  </si>
  <si>
    <t>REAS-441</t>
  </si>
  <si>
    <t>3075-349
 3075-350</t>
  </si>
  <si>
    <t>Adquisición Predial por Decreto 511 de 2010. LOCALIDAD: CIUDAD BOLIVAR; BARRIO: VILLA GLORIA; ID: 2014-Q21-00936</t>
  </si>
  <si>
    <t>REAS-442</t>
  </si>
  <si>
    <t>Adquisición Predial por Decreto 511 de 2010. LOCALIDAD: SAN CRISTOBAL; BARRIO: VILLA DEL CERRO; ID: 2015-Q24-04224</t>
  </si>
  <si>
    <t>REAS-443</t>
  </si>
  <si>
    <t>VUR de la actual vigencia. Decreto 255 de 2013. LOCALIDAD: CIUDAD BOLIVAR; BARRIO: LAS BRISAS; ID: 2015-Q18-04433</t>
  </si>
  <si>
    <t>REAS-444</t>
  </si>
  <si>
    <t>3075-350</t>
  </si>
  <si>
    <t>Reajuste de VUR por avalúo comercial. Decreto 255 de 2013. LOCALIDAD: CIUDAD BOLIVAR; BARRIO: MIRADOR 3; ID: 2017-19-14976</t>
  </si>
  <si>
    <t>REAS-445</t>
  </si>
  <si>
    <t>Reajuste de VUR por avalúo comercial. Decreto 255 de 2013. LOCALIDAD: CIUDAD BOLIVAR; BARRIO: JUAN PABLO II; ID: 2013000508</t>
  </si>
  <si>
    <t>REAS-446</t>
  </si>
  <si>
    <t>Prestar los servicios profesionales como enlace entre la Dirección Técnica de Reasentamientos y la Dirección Jurídica, para el desarrollo de actividades jurídicas relacionadas con los procedimientos, actuaciones, competencias y trámites en general que se encuentran a cargo de Reasentamientos</t>
  </si>
  <si>
    <t>REAS-447</t>
  </si>
  <si>
    <t>3075-52</t>
  </si>
  <si>
    <t>VUR de la actual vigencia. La asignación se realiza para dar cumplimiento al fallo de acción popular 2002-00152 - Suba Gavilanes. Decreto 255 de 2013. LOCALIDAD: SUBA GAVILANES; BARRIO: BILBAO; ID: 2018-11-15243</t>
  </si>
  <si>
    <t>REAS-448</t>
  </si>
  <si>
    <t>3075-7
 3075-345</t>
  </si>
  <si>
    <t>Prestacion de servicios profesionales en el componente social de la Dirección de Reasentamientos de la Caja de la Vivienda Popular, para la ejecución de planes y programas agenciados por el área misional</t>
  </si>
  <si>
    <t>REAS-449</t>
  </si>
  <si>
    <t xml:space="preserve">Realizar los avalúos comerciales de los predios que hacen parte del programa de Reasentamientos y del proceso de adquisición predial de la Dirección de Reasentamientos de la Caja de la Vivienda Popular </t>
  </si>
  <si>
    <t>REAS-451</t>
  </si>
  <si>
    <t>REAS-452</t>
  </si>
  <si>
    <t>REAS-458</t>
  </si>
  <si>
    <t>3075-117</t>
  </si>
  <si>
    <t>REAS-459</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</si>
  <si>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</si>
  <si>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REAS-461</t>
  </si>
  <si>
    <t>REAS-462</t>
  </si>
  <si>
    <t>REAS-464</t>
  </si>
  <si>
    <t>3075-98
 3075-100
 3075-116</t>
  </si>
  <si>
    <t>REAS-467</t>
  </si>
  <si>
    <t>3075-184</t>
  </si>
  <si>
    <t>REAS-468</t>
  </si>
  <si>
    <t>3075-115
 3075-118
 3075-120
 3075-184
 3075-202</t>
  </si>
  <si>
    <t xml:space="preserve">
FUN-045            FUN-002   ANULADA</t>
  </si>
  <si>
    <t>10-JAN-18</t>
  </si>
  <si>
    <t>YAMILE PATRICIA CASTIBLANCO VENEGAS</t>
  </si>
  <si>
    <t>DAVID ANDRES GIRALDO UMBARILA</t>
  </si>
  <si>
    <t xml:space="preserve">
FUN-046          FUN-009  ANULADA</t>
  </si>
  <si>
    <t>HAMILTON  DIAZ GARCIA</t>
  </si>
  <si>
    <t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t>
  </si>
  <si>
    <t>FUN-048       FUN-016 (AN)</t>
  </si>
  <si>
    <t>ROBERTO CARLOS NARVAEZ CORTES</t>
  </si>
  <si>
    <t>CRISTHIAN CAMILO RODRIGUEZ MELO</t>
  </si>
  <si>
    <t>Prestación de servicios profesionales para realizar el acompañamiento jurídico en asuntos relacionados con el manejo y administración de bienes inmuebles que requiera la Caja de la Vivienda Popular.</t>
  </si>
  <si>
    <t>FUN-049       FUN-019 (Anulada)</t>
  </si>
  <si>
    <t>DORIS  CARVAJAL MOJICA</t>
  </si>
  <si>
    <t>Prestación de servicios profesionales para apoyar a la Subdirección Financiera  de la CVP, en las actividades relacionadas con el proceso de órdenes de pago a cargo de la Entidad.</t>
  </si>
  <si>
    <t>FUN-023 (AN)</t>
  </si>
  <si>
    <t>FUN-092  FUN-023 (AN)</t>
  </si>
  <si>
    <t>L&amp;L ASESORES</t>
  </si>
  <si>
    <t>ARNULFO  MACIAS MUÑOZ</t>
  </si>
  <si>
    <t>CARLOS EDUARDO GARCIA AVILAN</t>
  </si>
  <si>
    <t>NELLY  NOVA PINZON</t>
  </si>
  <si>
    <t>FUN-047         FUN-043 (Anulada)</t>
  </si>
  <si>
    <t>JEIMY KATHERINE BERNAL GARCIA</t>
  </si>
  <si>
    <t>GELEN LIZETH LOAIZA PARRA</t>
  </si>
  <si>
    <t>EMPRESA DE TELECOMUNICACIONES DE BOGOTA SA ESP</t>
  </si>
  <si>
    <t>JOSE IGNACIO BLANCO TORRES</t>
  </si>
  <si>
    <t>FUN-091    FUN-064  (ANUL)</t>
  </si>
  <si>
    <t>SISTEMAS Y DISTRIBUCIONES FORMACON LTDA</t>
  </si>
  <si>
    <t>Mod. Fecha of. 762 - Mod. Objeto: Febrero 22     Of. 8328</t>
  </si>
  <si>
    <t>BIENESTAR Y SALUD EMPRESARIAL S A S</t>
  </si>
  <si>
    <t>19-JAN-18</t>
  </si>
  <si>
    <t>FUN-054</t>
  </si>
  <si>
    <t>Traslado 240000 a linea 103</t>
  </si>
  <si>
    <t>22-JAN-18</t>
  </si>
  <si>
    <t>Adquirir la suscripción y acceso a una publicación en línea o en página web y en medio impreso, que suministre información jurídica integral a los funcionarios o usuarios definidos por la Caja de la Vivienda Popular.</t>
  </si>
  <si>
    <t>FUN-061         FUN-058  (anulado)</t>
  </si>
  <si>
    <t>$61,4´a línea 75</t>
  </si>
  <si>
    <t>UNION TEMPORAL BIOLIMPIEZA</t>
  </si>
  <si>
    <t>OF. 2225  FEB. 16    $9,95`Reduc. Pptal Circ. 2/2018         $61,4´a linea 75 con of. 5306</t>
  </si>
  <si>
    <t>Adición Traslado</t>
  </si>
  <si>
    <t>WILLIAM ALFONSO LAGUNA VARGAS</t>
  </si>
  <si>
    <t>Prestar el servicio de mantenimiento preventivo y correctivo para el sistema de bombeo de la Caja de la Vivienda Popular.</t>
  </si>
  <si>
    <t>Prestar el servicio de mantenimiento (revisión y recarga) de los extintores de la entidad.</t>
  </si>
  <si>
    <t>Traslado 90000 a línea 101</t>
  </si>
  <si>
    <t>Adición y prórroga al contrato 419 de 2017 cuyo objeto es "Prestar el servicio de mensajería expresa y motorizada para la recolección, transporte y entrega de la correspondencia de la Caja de la Vivienda Popular."</t>
  </si>
  <si>
    <t>MARISOL  MALAGON PARRA</t>
  </si>
  <si>
    <t xml:space="preserve">Contratar la realización del diagnóstico (identificación y evaluación) de los factores de riesgo psicosocial presentes en la Caja de la Vivienda Popular </t>
  </si>
  <si>
    <t>9149790 de LINEA 55</t>
  </si>
  <si>
    <t>24/05/2018            15/06/2018</t>
  </si>
  <si>
    <t>PROTEGER IPS SAS</t>
  </si>
  <si>
    <t xml:space="preserve">FUN-093           </t>
  </si>
  <si>
    <t>Of. 8544</t>
  </si>
  <si>
    <t>FUN-095</t>
  </si>
  <si>
    <t>JUAN EDUARDO GUERRERO QUIROGA</t>
  </si>
  <si>
    <r>
      <t xml:space="preserve">Aplicación Decreto 511 de diciembre 14 de 2010 artículo primero que autoriza a la entidad a adquirir los predios de familias localizadas en zonas de alto riesgo no mitigable </t>
    </r>
    <r>
      <rPr>
        <sz val="10"/>
        <rFont val="Arial"/>
        <family val="2"/>
      </rPr>
      <t>hasta agotar presupuesto</t>
    </r>
  </si>
  <si>
    <r>
      <t>Sufragar los costos de radicación y expedición de s</t>
    </r>
    <r>
      <rPr>
        <sz val="10"/>
        <color rgb="FF222222"/>
        <rFont val="Arial"/>
        <family val="2"/>
      </rPr>
      <t>olicitud concepto de norma urbanística - Reglamento Colombiano de Construcción Sismo Resistente norma NSR – 10, título k - numeral k.3.8.3 – escaleras interiores k.3.8.3.3 (k.3.8.3.3 – ancho mínimo).</t>
    </r>
    <r>
      <rPr>
        <sz val="10"/>
        <color rgb="FF000000"/>
        <rFont val="Arial"/>
        <family val="2"/>
      </rPr>
      <t> Para las Licencias de construcción números: LC 15-2-0901, LC 15-2-0902 del 2 de junio de 2015 para los proyectos (Arborizadora Baja Manzana 54 y manzana 55). y LC 16-2-0884 del 11 de julio de 2016 (Proyecto </t>
    </r>
    <r>
      <rPr>
        <sz val="10"/>
        <color rgb="FF222222"/>
        <rFont val="Arial"/>
        <family val="2"/>
      </rPr>
      <t>Urbanización Arboleda Santa Teresita</t>
    </r>
    <r>
      <rPr>
        <sz val="10"/>
        <color rgb="FF000000"/>
        <rFont val="Arial"/>
        <family val="2"/>
      </rPr>
      <t>), de propiedad de la Caja de la Vivienda Popular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</si>
</sst>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quot;-&quot;??_);_(@_)"/>
    <numFmt numFmtId="165" formatCode="_(* #,##0_);_(* \(#,##0\);_(* &quot;-&quot;??_);_(@_)"/>
    <numFmt numFmtId="166" formatCode="#,##0.0"/>
    <numFmt numFmtId="167" formatCode="_-* #,##0.00\ _€_-;\-* #,##0.00\ _€_-;_-* &quot;-&quot;??\ _€_-;_-@_-"/>
    <numFmt numFmtId="168" formatCode="_-* #,##0\ _€_-;\-* #,##0\ _€_-;_-* &quot;-&quot;??\ _€_-;_-@_-"/>
    <numFmt numFmtId="170" formatCode="_(&quot;$&quot;\ * #,##0.00_);_(&quot;$&quot;\ * \(#,##0.00\);_(&quot;$&quot;\ * &quot;-&quot;??_);_(@_)"/>
    <numFmt numFmtId="173" formatCode="_(* #,##0_);_(* \(#,##0\);_(* &quot;-&quot;_);_(@_)"/>
    <numFmt numFmtId="174" formatCode="_-&quot;$&quot;\ * #,##0.00_-;\-&quot;$&quot;\ * #,##0.00_-;_-&quot;$&quot;\ * &quot;-&quot;_-;_-@_-"/>
    <numFmt numFmtId="175" formatCode="[$$-240A]\ #,##0;\-[$$-240A]\ #,##0"/>
    <numFmt numFmtId="176" formatCode="d/m/yy;@"/>
    <numFmt numFmtId="177" formatCode="#,##0_ ;\-#,##0\ "/>
    <numFmt numFmtId="178" formatCode="#,##0.0_ ;\-#,##0.0\ "/>
    <numFmt numFmtId="179" formatCode="_-&quot;$&quot;* #,##0_-;\-&quot;$&quot;* #,##0_-;_-&quot;$&quot;* &quot;-&quot;_-;_-@_-"/>
    <numFmt numFmtId="180" formatCode="_ * #,##0_ ;_ * \-#,##0_ ;_ * &quot;-&quot;??_ ;_ @_ "/>
    <numFmt numFmtId="181" formatCode="_-&quot;$&quot;* #,##0.00_-;\-&quot;$&quot;* #,##0.00_-;_-&quot;$&quot;* &quot;-&quot;_-;_-@_-"/>
    <numFmt numFmtId="182" formatCode="0.0"/>
  </numFmts>
  <fonts count="15"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name val="Arial"/>
      <family val="2"/>
    </font>
    <font>
      <sz val="10"/>
      <color rgb="FF222222"/>
      <name val="Arial"/>
      <family val="2"/>
    </font>
    <font>
      <b/>
      <sz val="9"/>
      <color indexed="81"/>
      <name val="Tahoma"/>
      <family val="2"/>
    </font>
    <font>
      <sz val="9"/>
      <color indexed="81"/>
      <name val="Tahoma"/>
      <family val="2"/>
    </font>
    <font>
      <sz val="11"/>
      <color indexed="81"/>
      <name val="Tahoma"/>
      <family val="2"/>
    </font>
    <font>
      <sz val="12"/>
      <color indexed="81"/>
      <name val="Tahoma"/>
      <family val="2"/>
    </font>
    <font>
      <b/>
      <sz val="10"/>
      <color theme="1"/>
      <name val="Arial"/>
      <family val="2"/>
    </font>
    <font>
      <sz val="10"/>
      <color rgb="FF000000"/>
      <name val="Arial"/>
      <family val="2"/>
    </font>
    <font>
      <b/>
      <sz val="10"/>
      <color theme="5" tint="-0.249977111117893"/>
      <name val="Arial"/>
      <family val="2"/>
    </font>
    <font>
      <sz val="10"/>
      <color theme="5" tint="-0.249977111117893"/>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EECDE"/>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1" fillId="0" borderId="0"/>
    <xf numFmtId="167" fontId="2"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cellStyleXfs>
  <cellXfs count="288">
    <xf numFmtId="0" fontId="0" fillId="0" borderId="0" xfId="0"/>
    <xf numFmtId="0" fontId="2" fillId="0" borderId="1" xfId="0" applyFont="1" applyFill="1" applyBorder="1" applyAlignment="1">
      <alignment horizontal="center" vertical="center" wrapText="1"/>
    </xf>
    <xf numFmtId="0" fontId="2" fillId="0" borderId="1" xfId="11" applyFont="1" applyFill="1" applyBorder="1" applyAlignment="1">
      <alignment horizontal="center" vertical="center" wrapText="1"/>
    </xf>
    <xf numFmtId="165" fontId="2" fillId="0" borderId="1" xfId="12" applyNumberFormat="1" applyFont="1" applyFill="1" applyBorder="1" applyAlignment="1">
      <alignment vertical="center" wrapText="1"/>
    </xf>
    <xf numFmtId="0" fontId="2" fillId="0" borderId="1" xfId="11" applyFont="1" applyFill="1" applyBorder="1" applyAlignment="1">
      <alignment vertical="center" wrapText="1"/>
    </xf>
    <xf numFmtId="0" fontId="2" fillId="0" borderId="6" xfId="1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3" fillId="0" borderId="6" xfId="0" applyFont="1" applyFill="1" applyBorder="1" applyAlignment="1">
      <alignment horizontal="left" vertical="center" wrapText="1"/>
    </xf>
    <xf numFmtId="168" fontId="2" fillId="0" borderId="6" xfId="3" applyNumberFormat="1" applyFont="1" applyFill="1" applyBorder="1" applyAlignment="1">
      <alignment horizontal="center" vertical="center" wrapText="1"/>
    </xf>
    <xf numFmtId="167" fontId="2" fillId="0" borderId="1" xfId="13" applyNumberFormat="1" applyFont="1" applyFill="1" applyBorder="1" applyAlignment="1">
      <alignment vertical="center" wrapText="1"/>
    </xf>
    <xf numFmtId="17" fontId="2" fillId="0" borderId="6" xfId="11" applyNumberFormat="1" applyFont="1" applyFill="1" applyBorder="1" applyAlignment="1">
      <alignment horizontal="center" vertical="center" wrapText="1"/>
    </xf>
    <xf numFmtId="3" fontId="2" fillId="0" borderId="6" xfId="3"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wrapText="1"/>
    </xf>
    <xf numFmtId="14" fontId="2" fillId="0" borderId="1" xfId="0" applyNumberFormat="1" applyFont="1" applyFill="1" applyBorder="1" applyAlignment="1">
      <alignment wrapText="1"/>
    </xf>
    <xf numFmtId="165" fontId="2" fillId="0" borderId="1" xfId="5" applyNumberFormat="1" applyFont="1" applyFill="1" applyBorder="1" applyAlignment="1">
      <alignment vertical="center" wrapText="1"/>
    </xf>
    <xf numFmtId="0" fontId="4" fillId="0" borderId="1" xfId="0" applyFont="1" applyFill="1" applyBorder="1" applyAlignment="1">
      <alignment vertical="center" wrapText="1"/>
    </xf>
    <xf numFmtId="42" fontId="2" fillId="0" borderId="1" xfId="4" applyFont="1" applyFill="1" applyBorder="1" applyAlignment="1">
      <alignment vertical="center" wrapText="1"/>
    </xf>
    <xf numFmtId="0" fontId="4" fillId="0" borderId="1" xfId="0" applyFont="1" applyFill="1" applyBorder="1" applyAlignment="1">
      <alignment horizontal="center" vertical="center" wrapText="1"/>
    </xf>
    <xf numFmtId="43" fontId="2" fillId="0" borderId="1" xfId="0" applyNumberFormat="1" applyFont="1" applyFill="1" applyBorder="1" applyAlignment="1">
      <alignment vertical="center" wrapText="1"/>
    </xf>
    <xf numFmtId="0" fontId="2" fillId="0" borderId="1" xfId="11" applyFont="1" applyFill="1" applyBorder="1" applyAlignment="1">
      <alignment horizontal="left" vertical="center" wrapText="1"/>
    </xf>
    <xf numFmtId="0" fontId="3" fillId="0" borderId="1" xfId="0" applyFont="1" applyFill="1" applyBorder="1" applyAlignment="1">
      <alignment horizontal="left" vertical="center" wrapText="1"/>
    </xf>
    <xf numFmtId="168" fontId="2" fillId="0" borderId="1" xfId="3" applyNumberFormat="1" applyFont="1" applyFill="1" applyBorder="1" applyAlignment="1">
      <alignment horizontal="center" vertical="center" wrapText="1"/>
    </xf>
    <xf numFmtId="3" fontId="2" fillId="0" borderId="1" xfId="3" applyNumberFormat="1" applyFont="1" applyFill="1" applyBorder="1" applyAlignment="1">
      <alignment horizontal="center" vertical="center" wrapText="1"/>
    </xf>
    <xf numFmtId="17" fontId="2" fillId="0" borderId="1" xfId="11" applyNumberFormat="1" applyFont="1" applyFill="1" applyBorder="1" applyAlignment="1">
      <alignment horizontal="center" vertical="center" wrapText="1"/>
    </xf>
    <xf numFmtId="14" fontId="2" fillId="0" borderId="1" xfId="0" applyNumberFormat="1" applyFont="1" applyFill="1" applyBorder="1" applyAlignment="1">
      <alignment horizontal="center" wrapText="1"/>
    </xf>
    <xf numFmtId="0" fontId="2" fillId="0" borderId="1" xfId="0" applyNumberFormat="1" applyFont="1" applyFill="1" applyBorder="1" applyAlignment="1">
      <alignment wrapText="1"/>
    </xf>
    <xf numFmtId="0" fontId="5" fillId="0" borderId="1" xfId="0" applyFont="1" applyFill="1" applyBorder="1" applyAlignment="1">
      <alignment horizontal="center" vertical="center"/>
    </xf>
    <xf numFmtId="14" fontId="2" fillId="0" borderId="1"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167"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42" fontId="2" fillId="0" borderId="1" xfId="4" applyNumberFormat="1" applyFont="1" applyFill="1" applyBorder="1" applyAlignment="1">
      <alignment vertical="center" wrapText="1"/>
    </xf>
    <xf numFmtId="167" fontId="2" fillId="0" borderId="6" xfId="13" applyNumberFormat="1" applyFont="1" applyFill="1" applyBorder="1" applyAlignment="1">
      <alignment vertical="center" wrapText="1"/>
    </xf>
    <xf numFmtId="166" fontId="2" fillId="0" borderId="6" xfId="3" applyNumberFormat="1" applyFont="1" applyFill="1" applyBorder="1" applyAlignment="1">
      <alignment horizontal="center" vertical="center" wrapText="1"/>
    </xf>
    <xf numFmtId="0" fontId="2" fillId="0" borderId="6" xfId="0" applyFont="1" applyFill="1" applyBorder="1" applyAlignment="1">
      <alignment vertical="center" wrapText="1"/>
    </xf>
    <xf numFmtId="14" fontId="2" fillId="0" borderId="6" xfId="0" applyNumberFormat="1" applyFont="1" applyFill="1" applyBorder="1" applyAlignment="1">
      <alignment horizontal="center" wrapText="1"/>
    </xf>
    <xf numFmtId="167" fontId="2" fillId="0" borderId="6" xfId="0" applyNumberFormat="1" applyFont="1" applyFill="1" applyBorder="1" applyAlignment="1">
      <alignment vertical="center" wrapText="1"/>
    </xf>
    <xf numFmtId="165" fontId="2" fillId="0" borderId="6" xfId="5" applyNumberFormat="1" applyFont="1" applyFill="1" applyBorder="1" applyAlignment="1">
      <alignment vertical="center" wrapText="1"/>
    </xf>
    <xf numFmtId="0" fontId="4" fillId="0" borderId="6" xfId="0" applyFont="1" applyFill="1" applyBorder="1" applyAlignment="1">
      <alignment vertical="center" wrapText="1"/>
    </xf>
    <xf numFmtId="42" fontId="2" fillId="0" borderId="6" xfId="4" applyFont="1" applyFill="1" applyBorder="1" applyAlignment="1">
      <alignment vertical="center" wrapText="1"/>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43" fontId="2" fillId="0" borderId="6" xfId="0" applyNumberFormat="1" applyFont="1" applyFill="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42" fontId="2" fillId="0" borderId="1" xfId="4" applyFont="1" applyFill="1" applyBorder="1" applyAlignment="1">
      <alignment wrapText="1"/>
    </xf>
    <xf numFmtId="0" fontId="2" fillId="2" borderId="1" xfId="0" applyFont="1" applyFill="1" applyBorder="1" applyAlignment="1">
      <alignment horizontal="center" vertical="center" wrapText="1"/>
    </xf>
    <xf numFmtId="0" fontId="5" fillId="0" borderId="1" xfId="0" applyFont="1" applyFill="1" applyBorder="1"/>
    <xf numFmtId="49" fontId="2" fillId="0" borderId="1" xfId="15" applyNumberFormat="1" applyFont="1" applyFill="1" applyBorder="1" applyAlignment="1">
      <alignment horizontal="left" vertical="center" wrapText="1"/>
    </xf>
    <xf numFmtId="0" fontId="5" fillId="0" borderId="0" xfId="0" applyFont="1" applyFill="1"/>
    <xf numFmtId="0" fontId="5" fillId="0" borderId="1" xfId="0" applyFont="1" applyFill="1" applyBorder="1" applyAlignment="1">
      <alignment vertical="center"/>
    </xf>
    <xf numFmtId="0" fontId="5" fillId="0" borderId="3" xfId="0" applyFont="1" applyFill="1" applyBorder="1" applyAlignment="1">
      <alignment vertical="center"/>
    </xf>
    <xf numFmtId="0" fontId="5" fillId="0" borderId="3" xfId="0" applyFont="1" applyFill="1" applyBorder="1"/>
    <xf numFmtId="49" fontId="2" fillId="0" borderId="3" xfId="15" applyNumberFormat="1" applyFont="1" applyFill="1" applyBorder="1" applyAlignment="1">
      <alignment horizontal="left" vertical="center" wrapText="1"/>
    </xf>
    <xf numFmtId="0" fontId="4" fillId="2" borderId="1" xfId="0" applyFont="1" applyFill="1" applyBorder="1"/>
    <xf numFmtId="0" fontId="4" fillId="2" borderId="1" xfId="0" applyFont="1" applyFill="1" applyBorder="1" applyAlignment="1">
      <alignment horizontal="left"/>
    </xf>
    <xf numFmtId="0" fontId="4" fillId="2" borderId="1" xfId="0" applyFont="1" applyFill="1" applyBorder="1" applyAlignment="1">
      <alignment horizontal="center"/>
    </xf>
    <xf numFmtId="167" fontId="2" fillId="0" borderId="6" xfId="14" applyNumberFormat="1" applyFont="1" applyFill="1" applyBorder="1" applyAlignment="1">
      <alignment horizontal="right" vertical="center" wrapText="1"/>
    </xf>
    <xf numFmtId="167" fontId="2" fillId="0" borderId="1" xfId="14" applyNumberFormat="1" applyFont="1" applyFill="1" applyBorder="1" applyAlignment="1">
      <alignment vertical="center" wrapText="1"/>
    </xf>
    <xf numFmtId="167" fontId="2" fillId="0" borderId="6" xfId="14"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1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1" fillId="0" borderId="3" xfId="0" applyFont="1" applyFill="1" applyBorder="1" applyAlignment="1">
      <alignment horizontal="justify" vertical="center" wrapText="1"/>
    </xf>
    <xf numFmtId="0" fontId="4" fillId="2" borderId="0" xfId="0" applyFont="1" applyFill="1" applyAlignment="1"/>
    <xf numFmtId="0" fontId="4" fillId="2" borderId="0" xfId="0" applyFont="1" applyFill="1"/>
    <xf numFmtId="176" fontId="4" fillId="2" borderId="0" xfId="0" applyNumberFormat="1" applyFont="1" applyFill="1"/>
    <xf numFmtId="0" fontId="4" fillId="2" borderId="0" xfId="0" applyFont="1" applyFill="1" applyAlignment="1">
      <alignment horizontal="left"/>
    </xf>
    <xf numFmtId="0" fontId="4" fillId="2" borderId="0" xfId="0" applyFont="1" applyFill="1" applyAlignment="1">
      <alignment horizontal="center"/>
    </xf>
    <xf numFmtId="0" fontId="4" fillId="0" borderId="0" xfId="0" applyFont="1"/>
    <xf numFmtId="0" fontId="3" fillId="0" borderId="0" xfId="0" applyFont="1"/>
    <xf numFmtId="0" fontId="4" fillId="3" borderId="1"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xf numFmtId="176" fontId="3" fillId="2" borderId="1" xfId="0" applyNumberFormat="1" applyFont="1" applyFill="1" applyBorder="1"/>
    <xf numFmtId="0" fontId="3" fillId="0" borderId="1" xfId="0" applyFont="1" applyBorder="1"/>
    <xf numFmtId="0" fontId="2" fillId="0" borderId="3" xfId="0" applyFont="1" applyFill="1" applyBorder="1" applyAlignment="1">
      <alignment horizontal="left" vertical="center" wrapText="1"/>
    </xf>
    <xf numFmtId="0" fontId="2" fillId="0" borderId="3" xfId="0" applyFont="1" applyBorder="1" applyAlignment="1">
      <alignment horizontal="center" vertical="center" wrapText="1"/>
    </xf>
    <xf numFmtId="165" fontId="2" fillId="0" borderId="3" xfId="5" applyNumberFormat="1" applyFont="1" applyFill="1" applyBorder="1" applyAlignment="1">
      <alignment horizontal="left" vertical="center" wrapText="1"/>
    </xf>
    <xf numFmtId="165" fontId="2" fillId="0" borderId="1" xfId="5" applyNumberFormat="1" applyFont="1" applyFill="1" applyBorder="1" applyAlignment="1">
      <alignment horizontal="left" vertical="center" wrapText="1"/>
    </xf>
    <xf numFmtId="168" fontId="13" fillId="4" borderId="5" xfId="6" applyNumberFormat="1" applyFont="1" applyFill="1" applyBorder="1" applyAlignment="1">
      <alignment horizontal="center" vertical="center" wrapText="1"/>
    </xf>
    <xf numFmtId="177" fontId="2" fillId="0" borderId="1" xfId="6" applyNumberFormat="1" applyFont="1" applyFill="1" applyBorder="1" applyAlignment="1">
      <alignment horizontal="center" vertical="center"/>
    </xf>
    <xf numFmtId="168" fontId="2" fillId="0" borderId="1" xfId="0" applyNumberFormat="1" applyFont="1" applyFill="1" applyBorder="1" applyAlignment="1">
      <alignment vertical="center"/>
    </xf>
    <xf numFmtId="168" fontId="2" fillId="0" borderId="1" xfId="6" applyNumberFormat="1" applyFont="1" applyFill="1" applyBorder="1" applyAlignment="1">
      <alignment vertical="center" wrapText="1"/>
    </xf>
    <xf numFmtId="178" fontId="2" fillId="0" borderId="1" xfId="6" applyNumberFormat="1" applyFont="1" applyFill="1" applyBorder="1" applyAlignment="1">
      <alignment horizontal="center" vertical="center"/>
    </xf>
    <xf numFmtId="168" fontId="2" fillId="0" borderId="1" xfId="6" applyNumberFormat="1" applyFont="1" applyFill="1" applyBorder="1" applyAlignment="1">
      <alignment horizontal="center" vertical="center" wrapText="1"/>
    </xf>
    <xf numFmtId="165" fontId="4" fillId="0" borderId="1" xfId="5" applyNumberFormat="1" applyFont="1" applyFill="1" applyBorder="1" applyAlignment="1">
      <alignment horizontal="center" vertical="center" wrapText="1"/>
    </xf>
    <xf numFmtId="0" fontId="2" fillId="2" borderId="1" xfId="0" applyFont="1" applyFill="1" applyBorder="1" applyAlignment="1">
      <alignment wrapText="1"/>
    </xf>
    <xf numFmtId="0" fontId="3" fillId="0" borderId="1" xfId="0" applyFont="1" applyFill="1" applyBorder="1"/>
    <xf numFmtId="0" fontId="4" fillId="0" borderId="1" xfId="0" applyFont="1" applyFill="1" applyBorder="1" applyAlignment="1">
      <alignment horizontal="center" wrapText="1"/>
    </xf>
    <xf numFmtId="0" fontId="3" fillId="0" borderId="1" xfId="17" applyFont="1" applyFill="1" applyBorder="1" applyAlignment="1">
      <alignment horizontal="center" vertical="center" wrapText="1"/>
    </xf>
    <xf numFmtId="0" fontId="2" fillId="0" borderId="1" xfId="17" applyFont="1" applyFill="1" applyBorder="1" applyAlignment="1">
      <alignment horizontal="center" vertical="center" wrapText="1"/>
    </xf>
    <xf numFmtId="0" fontId="2" fillId="0" borderId="1" xfId="17" quotePrefix="1" applyFont="1" applyFill="1" applyBorder="1" applyAlignment="1">
      <alignment horizontal="center" vertical="center" wrapText="1"/>
    </xf>
    <xf numFmtId="0" fontId="2" fillId="0" borderId="1" xfId="17" quotePrefix="1" applyFont="1" applyFill="1" applyBorder="1" applyAlignment="1">
      <alignment horizontal="left" vertical="center" wrapText="1"/>
    </xf>
    <xf numFmtId="179" fontId="2" fillId="0" borderId="1" xfId="0" applyNumberFormat="1" applyFont="1" applyFill="1" applyBorder="1" applyAlignment="1">
      <alignment horizontal="center" vertical="center" wrapText="1"/>
    </xf>
    <xf numFmtId="41" fontId="2" fillId="0" borderId="1" xfId="2"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2" fontId="2" fillId="0" borderId="1" xfId="4" applyFont="1" applyFill="1" applyBorder="1" applyAlignment="1">
      <alignment horizontal="center" vertical="center" wrapText="1"/>
    </xf>
    <xf numFmtId="165" fontId="2" fillId="0" borderId="1" xfId="5" applyNumberFormat="1" applyFont="1" applyFill="1" applyBorder="1" applyAlignment="1">
      <alignment horizontal="center" vertical="center" wrapText="1"/>
    </xf>
    <xf numFmtId="41" fontId="2" fillId="0" borderId="1" xfId="2" applyFont="1" applyFill="1" applyBorder="1" applyAlignment="1">
      <alignment horizontal="center" vertical="center" wrapText="1"/>
    </xf>
    <xf numFmtId="41"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14" fontId="2" fillId="0" borderId="1" xfId="5"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3" fontId="2" fillId="0" borderId="1" xfId="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1" fontId="2" fillId="0" borderId="1" xfId="17" applyNumberFormat="1" applyFont="1" applyFill="1" applyBorder="1" applyAlignment="1">
      <alignment horizontal="center" vertical="center" wrapText="1"/>
    </xf>
    <xf numFmtId="0" fontId="3" fillId="0" borderId="1" xfId="17"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179" fontId="2" fillId="0" borderId="1" xfId="4" applyNumberFormat="1" applyFont="1" applyFill="1" applyBorder="1" applyAlignment="1">
      <alignment horizontal="center" vertical="center" wrapText="1"/>
    </xf>
    <xf numFmtId="181" fontId="2" fillId="0" borderId="1" xfId="4"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9" fontId="2" fillId="0" borderId="1" xfId="17" quotePrefix="1" applyNumberFormat="1" applyFont="1" applyFill="1" applyBorder="1" applyAlignment="1">
      <alignment horizontal="left" vertical="center" wrapText="1"/>
    </xf>
    <xf numFmtId="14" fontId="3" fillId="0" borderId="1" xfId="0" applyNumberFormat="1" applyFont="1" applyFill="1" applyBorder="1" applyAlignment="1">
      <alignment horizontal="center" vertical="center"/>
    </xf>
    <xf numFmtId="42" fontId="3" fillId="0" borderId="1" xfId="4" applyFont="1" applyFill="1" applyBorder="1" applyAlignment="1">
      <alignment horizontal="right" vertical="center"/>
    </xf>
    <xf numFmtId="42" fontId="3" fillId="0" borderId="1" xfId="4"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right" vertical="center" wrapText="1"/>
    </xf>
    <xf numFmtId="174" fontId="3" fillId="0" borderId="1" xfId="4" applyNumberFormat="1" applyFont="1" applyFill="1" applyBorder="1" applyAlignment="1">
      <alignment horizontal="right" vertical="center"/>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right" vertical="center"/>
    </xf>
    <xf numFmtId="42" fontId="3" fillId="0" borderId="1" xfId="0" applyNumberFormat="1" applyFont="1" applyFill="1" applyBorder="1" applyAlignment="1">
      <alignment horizontal="right" vertical="center"/>
    </xf>
    <xf numFmtId="0" fontId="3" fillId="0" borderId="1" xfId="0" applyFont="1" applyFill="1" applyBorder="1" applyAlignment="1">
      <alignment horizontal="justify" vertical="center"/>
    </xf>
    <xf numFmtId="42" fontId="3" fillId="0" borderId="1" xfId="0" applyNumberFormat="1" applyFont="1" applyFill="1" applyBorder="1"/>
    <xf numFmtId="1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justify" vertical="top"/>
    </xf>
    <xf numFmtId="14" fontId="3" fillId="0" borderId="1" xfId="0" applyNumberFormat="1" applyFont="1" applyFill="1" applyBorder="1" applyAlignment="1">
      <alignment horizontal="justify"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wrapText="1"/>
    </xf>
    <xf numFmtId="0" fontId="3" fillId="0" borderId="1" xfId="0" applyFont="1" applyFill="1" applyBorder="1" applyAlignment="1">
      <alignment vertical="top" wrapText="1"/>
    </xf>
    <xf numFmtId="0" fontId="3" fillId="0" borderId="7" xfId="0" applyFont="1" applyFill="1" applyBorder="1"/>
    <xf numFmtId="168" fontId="3" fillId="0" borderId="1" xfId="0" applyNumberFormat="1" applyFont="1" applyFill="1" applyBorder="1" applyAlignment="1">
      <alignment horizontal="right" vertical="center"/>
    </xf>
    <xf numFmtId="0" fontId="3" fillId="0" borderId="3" xfId="0" applyFont="1" applyFill="1" applyBorder="1" applyAlignment="1">
      <alignment wrapText="1"/>
    </xf>
    <xf numFmtId="0" fontId="3" fillId="0" borderId="1" xfId="0" applyFont="1" applyFill="1" applyBorder="1" applyAlignment="1">
      <alignment horizontal="right" vertical="center"/>
    </xf>
    <xf numFmtId="42" fontId="3" fillId="0" borderId="6" xfId="4" applyFont="1" applyFill="1" applyBorder="1" applyAlignment="1">
      <alignment horizontal="right" vertical="center"/>
    </xf>
    <xf numFmtId="0" fontId="3" fillId="0" borderId="6" xfId="0" applyFont="1" applyFill="1" applyBorder="1" applyAlignment="1">
      <alignment horizontal="right" vertical="center"/>
    </xf>
    <xf numFmtId="0" fontId="3" fillId="0" borderId="6" xfId="0" applyFont="1" applyFill="1" applyBorder="1" applyAlignment="1">
      <alignment horizontal="center" vertical="center"/>
    </xf>
    <xf numFmtId="14" fontId="3" fillId="0" borderId="6" xfId="0" applyNumberFormat="1" applyFont="1" applyFill="1" applyBorder="1" applyAlignment="1">
      <alignment vertical="center"/>
    </xf>
    <xf numFmtId="0" fontId="3" fillId="0" borderId="6" xfId="0" applyFont="1" applyFill="1" applyBorder="1"/>
    <xf numFmtId="0" fontId="3" fillId="0" borderId="0" xfId="0" applyFont="1" applyFill="1" applyAlignment="1">
      <alignment horizontal="justify" vertical="justify"/>
    </xf>
    <xf numFmtId="42" fontId="3" fillId="0" borderId="6" xfId="0" applyNumberFormat="1" applyFont="1" applyFill="1" applyBorder="1"/>
    <xf numFmtId="0" fontId="3" fillId="0" borderId="3" xfId="0" applyFont="1" applyFill="1" applyBorder="1" applyAlignment="1">
      <alignment vertical="center" wrapText="1"/>
    </xf>
    <xf numFmtId="42" fontId="3" fillId="0" borderId="1" xfId="4" applyFont="1" applyFill="1" applyBorder="1"/>
    <xf numFmtId="0" fontId="3" fillId="0" borderId="1" xfId="0" applyFont="1" applyFill="1" applyBorder="1" applyAlignment="1">
      <alignment horizontal="justify" vertical="justify"/>
    </xf>
    <xf numFmtId="42" fontId="3" fillId="0" borderId="1" xfId="4" applyNumberFormat="1" applyFont="1" applyFill="1" applyBorder="1" applyAlignment="1">
      <alignment horizontal="right" vertical="center"/>
    </xf>
    <xf numFmtId="42" fontId="3" fillId="0" borderId="1" xfId="0" applyNumberFormat="1" applyFont="1" applyFill="1" applyBorder="1" applyAlignment="1">
      <alignment horizontal="center" vertical="center"/>
    </xf>
    <xf numFmtId="14" fontId="3" fillId="0" borderId="6" xfId="0" applyNumberFormat="1" applyFont="1" applyFill="1" applyBorder="1" applyAlignment="1">
      <alignment horizontal="center" vertical="center"/>
    </xf>
    <xf numFmtId="42" fontId="3" fillId="0" borderId="6" xfId="4" applyFont="1" applyFill="1" applyBorder="1" applyAlignment="1">
      <alignment horizontal="center" vertical="center"/>
    </xf>
    <xf numFmtId="0" fontId="3" fillId="0" borderId="6" xfId="0" applyFont="1" applyFill="1" applyBorder="1" applyAlignment="1">
      <alignment horizontal="center"/>
    </xf>
    <xf numFmtId="42"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42" fontId="3" fillId="0" borderId="3" xfId="4" applyFont="1" applyFill="1" applyBorder="1" applyAlignment="1">
      <alignment horizontal="center" vertical="center"/>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168" fontId="3" fillId="0" borderId="3" xfId="8" applyNumberFormat="1" applyFont="1" applyFill="1" applyBorder="1" applyAlignment="1">
      <alignment horizontal="center" vertical="center"/>
    </xf>
    <xf numFmtId="42" fontId="3" fillId="0" borderId="3" xfId="0" applyNumberFormat="1" applyFont="1" applyFill="1" applyBorder="1" applyAlignment="1">
      <alignment horizontal="center" vertical="center"/>
    </xf>
    <xf numFmtId="0" fontId="3" fillId="0" borderId="1" xfId="0" applyFont="1" applyFill="1" applyBorder="1" applyAlignment="1">
      <alignment horizontal="center"/>
    </xf>
    <xf numFmtId="42" fontId="3" fillId="0" borderId="1" xfId="0" applyNumberFormat="1"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2" fontId="3" fillId="0" borderId="1" xfId="4" applyFont="1" applyFill="1" applyBorder="1" applyAlignment="1">
      <alignment horizontal="center"/>
    </xf>
    <xf numFmtId="175" fontId="3" fillId="0" borderId="1" xfId="8" applyNumberFormat="1" applyFont="1" applyFill="1" applyBorder="1" applyAlignment="1">
      <alignment horizontal="center" vertical="center"/>
    </xf>
    <xf numFmtId="0" fontId="3" fillId="0" borderId="1" xfId="0" applyFont="1" applyFill="1" applyBorder="1" applyAlignment="1">
      <alignment horizontal="justify" vertical="center"/>
    </xf>
    <xf numFmtId="0" fontId="3" fillId="0" borderId="3" xfId="0" applyFont="1" applyFill="1" applyBorder="1"/>
    <xf numFmtId="42" fontId="3" fillId="0" borderId="3" xfId="0" applyNumberFormat="1" applyFont="1" applyFill="1" applyBorder="1" applyAlignment="1">
      <alignment horizontal="center"/>
    </xf>
    <xf numFmtId="42" fontId="3" fillId="0" borderId="3" xfId="4" applyFont="1" applyFill="1" applyBorder="1" applyAlignment="1">
      <alignment horizontal="center"/>
    </xf>
    <xf numFmtId="175" fontId="3" fillId="0" borderId="3" xfId="8" applyNumberFormat="1" applyFont="1" applyFill="1" applyBorder="1" applyAlignment="1">
      <alignment horizontal="center" vertical="center"/>
    </xf>
    <xf numFmtId="0" fontId="3" fillId="0" borderId="3" xfId="0" applyFont="1" applyFill="1" applyBorder="1" applyAlignment="1">
      <alignment horizontal="justify" vertical="center"/>
    </xf>
    <xf numFmtId="0" fontId="3" fillId="0" borderId="3" xfId="0" applyFont="1" applyFill="1" applyBorder="1" applyAlignment="1">
      <alignment horizontal="justify" vertical="center"/>
    </xf>
    <xf numFmtId="175" fontId="3" fillId="0" borderId="1" xfId="8" applyNumberFormat="1" applyFont="1" applyFill="1" applyBorder="1" applyAlignment="1">
      <alignment horizontal="center" vertical="center" wrapText="1"/>
    </xf>
    <xf numFmtId="14" fontId="3" fillId="0" borderId="1" xfId="0" applyNumberFormat="1" applyFont="1" applyFill="1" applyBorder="1"/>
    <xf numFmtId="42" fontId="3" fillId="0" borderId="1" xfId="0" applyNumberFormat="1" applyFont="1" applyFill="1" applyBorder="1" applyAlignment="1">
      <alignment vertical="center"/>
    </xf>
    <xf numFmtId="174" fontId="3" fillId="0" borderId="1" xfId="0" applyNumberFormat="1" applyFont="1" applyFill="1" applyBorder="1"/>
    <xf numFmtId="14" fontId="3" fillId="0" borderId="1"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74" fontId="3" fillId="0" borderId="1" xfId="0" applyNumberFormat="1" applyFont="1" applyFill="1" applyBorder="1" applyAlignment="1">
      <alignment vertical="center"/>
    </xf>
    <xf numFmtId="0" fontId="3" fillId="0" borderId="1" xfId="0" applyFont="1" applyFill="1" applyBorder="1" applyAlignment="1">
      <alignment horizontal="center"/>
    </xf>
    <xf numFmtId="17" fontId="3" fillId="0" borderId="1" xfId="0" applyNumberFormat="1" applyFont="1" applyFill="1" applyBorder="1"/>
    <xf numFmtId="174" fontId="3" fillId="0" borderId="6" xfId="0" applyNumberFormat="1" applyFont="1" applyFill="1" applyBorder="1"/>
    <xf numFmtId="0" fontId="3" fillId="0" borderId="6" xfId="0" applyFont="1" applyFill="1" applyBorder="1" applyAlignment="1">
      <alignment vertical="center" wrapText="1"/>
    </xf>
    <xf numFmtId="42" fontId="3" fillId="0" borderId="6" xfId="4" applyFont="1" applyFill="1" applyBorder="1"/>
    <xf numFmtId="14" fontId="3" fillId="0" borderId="6" xfId="0" applyNumberFormat="1" applyFont="1" applyFill="1" applyBorder="1"/>
    <xf numFmtId="41" fontId="3" fillId="0" borderId="1" xfId="2" applyFont="1" applyFill="1" applyBorder="1"/>
    <xf numFmtId="41" fontId="3" fillId="0" borderId="1" xfId="0" applyNumberFormat="1" applyFont="1" applyFill="1" applyBorder="1"/>
    <xf numFmtId="1" fontId="5" fillId="0" borderId="1" xfId="0" applyNumberFormat="1" applyFont="1" applyFill="1" applyBorder="1" applyAlignment="1">
      <alignment vertical="center"/>
    </xf>
    <xf numFmtId="0" fontId="4" fillId="0" borderId="1" xfId="0" applyFont="1" applyFill="1" applyBorder="1"/>
    <xf numFmtId="176" fontId="3" fillId="0" borderId="1" xfId="0" applyNumberFormat="1" applyFont="1" applyFill="1" applyBorder="1"/>
    <xf numFmtId="0" fontId="4" fillId="0" borderId="1" xfId="0" applyFont="1" applyFill="1" applyBorder="1" applyAlignment="1">
      <alignment horizontal="left"/>
    </xf>
    <xf numFmtId="0" fontId="10" fillId="0" borderId="1" xfId="0" applyFont="1" applyFill="1" applyBorder="1" applyAlignment="1">
      <alignment horizontal="center"/>
    </xf>
    <xf numFmtId="41" fontId="3" fillId="0" borderId="1" xfId="2" applyFont="1" applyFill="1" applyBorder="1" applyAlignment="1">
      <alignment horizontal="center"/>
    </xf>
    <xf numFmtId="173" fontId="3" fillId="0" borderId="1" xfId="0" applyNumberFormat="1" applyFont="1" applyFill="1" applyBorder="1"/>
    <xf numFmtId="168" fontId="3" fillId="0" borderId="1" xfId="5" applyNumberFormat="1" applyFont="1" applyFill="1" applyBorder="1" applyAlignment="1">
      <alignment horizontal="center"/>
    </xf>
    <xf numFmtId="15" fontId="3" fillId="0" borderId="1" xfId="0" applyNumberFormat="1" applyFont="1" applyFill="1" applyBorder="1"/>
    <xf numFmtId="0" fontId="4" fillId="0" borderId="1" xfId="0" applyFont="1" applyFill="1" applyBorder="1" applyAlignment="1">
      <alignment horizontal="center"/>
    </xf>
    <xf numFmtId="15" fontId="3" fillId="0" borderId="1" xfId="0" applyNumberFormat="1" applyFont="1" applyFill="1" applyBorder="1" applyAlignment="1">
      <alignment horizontal="center"/>
    </xf>
    <xf numFmtId="0" fontId="3" fillId="0" borderId="0" xfId="0" applyFont="1" applyFill="1"/>
    <xf numFmtId="42" fontId="2" fillId="0" borderId="0" xfId="4" applyFont="1" applyFill="1" applyAlignment="1">
      <alignment vertical="center" wrapText="1"/>
    </xf>
    <xf numFmtId="14" fontId="2" fillId="0" borderId="6" xfId="0" applyNumberFormat="1" applyFont="1" applyFill="1" applyBorder="1" applyAlignment="1">
      <alignment vertical="center" wrapText="1"/>
    </xf>
    <xf numFmtId="17" fontId="2" fillId="0" borderId="1" xfId="0" applyNumberFormat="1" applyFont="1" applyFill="1" applyBorder="1" applyAlignment="1">
      <alignment horizont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168" fontId="2" fillId="0" borderId="3" xfId="0" applyNumberFormat="1" applyFont="1" applyFill="1" applyBorder="1" applyAlignment="1">
      <alignment vertical="center"/>
    </xf>
    <xf numFmtId="168" fontId="2" fillId="0" borderId="3" xfId="6" applyNumberFormat="1" applyFont="1" applyFill="1" applyBorder="1" applyAlignment="1">
      <alignment vertical="center" wrapText="1"/>
    </xf>
    <xf numFmtId="14" fontId="2" fillId="0" borderId="3" xfId="0" applyNumberFormat="1" applyFont="1" applyFill="1" applyBorder="1" applyAlignment="1">
      <alignment horizontal="center" vertical="center" wrapText="1"/>
    </xf>
    <xf numFmtId="165" fontId="2" fillId="0" borderId="3"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68" fontId="13" fillId="0" borderId="5" xfId="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2" fillId="0" borderId="1" xfId="6" applyNumberFormat="1" applyFont="1" applyFill="1" applyBorder="1" applyAlignment="1">
      <alignment horizontal="center" vertical="center" wrapText="1"/>
    </xf>
    <xf numFmtId="14" fontId="2" fillId="0" borderId="5" xfId="6"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0" fontId="2" fillId="0" borderId="0" xfId="0" applyFont="1" applyFill="1" applyAlignment="1">
      <alignment wrapText="1"/>
    </xf>
    <xf numFmtId="168" fontId="2" fillId="0" borderId="1" xfId="0" applyNumberFormat="1" applyFont="1" applyFill="1" applyBorder="1" applyAlignment="1">
      <alignment vertical="center" wrapText="1"/>
    </xf>
    <xf numFmtId="17" fontId="2" fillId="0" borderId="1"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15" applyFont="1" applyFill="1" applyBorder="1" applyAlignment="1">
      <alignment horizontal="center" vertical="center" wrapText="1"/>
    </xf>
    <xf numFmtId="0" fontId="2" fillId="0" borderId="1" xfId="16" applyFont="1" applyFill="1" applyBorder="1" applyAlignment="1">
      <alignment horizontal="center" vertical="center" wrapText="1"/>
    </xf>
    <xf numFmtId="0" fontId="2" fillId="0" borderId="1" xfId="15" applyFont="1" applyFill="1" applyBorder="1" applyAlignment="1">
      <alignment horizontal="left" vertical="center" wrapText="1"/>
    </xf>
    <xf numFmtId="14" fontId="2" fillId="0" borderId="1" xfId="10" applyNumberFormat="1" applyFont="1" applyFill="1" applyBorder="1" applyAlignment="1">
      <alignment horizontal="center" vertical="center" wrapText="1"/>
    </xf>
    <xf numFmtId="166" fontId="2" fillId="0" borderId="1" xfId="10" applyNumberFormat="1" applyFont="1" applyFill="1" applyBorder="1" applyAlignment="1">
      <alignment horizontal="center" vertical="center" wrapText="1"/>
    </xf>
    <xf numFmtId="168" fontId="2" fillId="0" borderId="1" xfId="1" applyNumberFormat="1" applyFont="1" applyFill="1" applyBorder="1" applyAlignment="1">
      <alignment wrapText="1"/>
    </xf>
    <xf numFmtId="14" fontId="3" fillId="0" borderId="1" xfId="0" applyNumberFormat="1" applyFont="1" applyFill="1" applyBorder="1" applyAlignment="1">
      <alignment horizontal="center"/>
    </xf>
    <xf numFmtId="168" fontId="3" fillId="0" borderId="1" xfId="1" applyNumberFormat="1" applyFont="1" applyFill="1" applyBorder="1"/>
    <xf numFmtId="168" fontId="3" fillId="0" borderId="1" xfId="0" applyNumberFormat="1" applyFont="1" applyFill="1" applyBorder="1"/>
    <xf numFmtId="0" fontId="2" fillId="0" borderId="1" xfId="15" applyFont="1" applyFill="1" applyBorder="1" applyAlignment="1">
      <alignment vertical="center" wrapText="1"/>
    </xf>
    <xf numFmtId="0" fontId="2" fillId="0" borderId="6" xfId="15" applyFont="1" applyFill="1" applyBorder="1" applyAlignment="1">
      <alignment vertical="center" wrapText="1"/>
    </xf>
    <xf numFmtId="0" fontId="2" fillId="0" borderId="3" xfId="15" applyFont="1" applyFill="1" applyBorder="1" applyAlignment="1">
      <alignment vertical="center" wrapText="1"/>
    </xf>
    <xf numFmtId="165" fontId="2" fillId="0" borderId="1" xfId="5" applyNumberFormat="1" applyFont="1" applyFill="1" applyBorder="1" applyAlignment="1">
      <alignment horizontal="right" vertical="center" wrapText="1"/>
    </xf>
    <xf numFmtId="0" fontId="2" fillId="0" borderId="1" xfId="16" applyFont="1" applyFill="1" applyBorder="1" applyAlignment="1">
      <alignment horizontal="left" vertical="center" wrapText="1"/>
    </xf>
    <xf numFmtId="179" fontId="2" fillId="0" borderId="1" xfId="0" applyNumberFormat="1" applyFont="1" applyFill="1" applyBorder="1" applyAlignment="1">
      <alignment wrapText="1"/>
    </xf>
    <xf numFmtId="3" fontId="2" fillId="0" borderId="1" xfId="10" applyNumberFormat="1" applyFont="1" applyFill="1" applyBorder="1" applyAlignment="1">
      <alignment horizontal="center" vertical="center" wrapText="1"/>
    </xf>
    <xf numFmtId="165" fontId="3" fillId="0" borderId="1" xfId="1" applyNumberFormat="1" applyFont="1" applyFill="1" applyBorder="1"/>
    <xf numFmtId="165" fontId="2" fillId="0" borderId="1" xfId="0" applyNumberFormat="1" applyFont="1" applyFill="1" applyBorder="1" applyAlignment="1">
      <alignment wrapText="1"/>
    </xf>
    <xf numFmtId="180" fontId="2" fillId="0" borderId="1" xfId="13" applyNumberFormat="1" applyFont="1" applyFill="1" applyBorder="1" applyAlignment="1">
      <alignment horizontal="center" vertical="center" wrapText="1"/>
    </xf>
    <xf numFmtId="0" fontId="10" fillId="0" borderId="1" xfId="0" applyFont="1" applyFill="1" applyBorder="1" applyAlignment="1">
      <alignment horizontal="left"/>
    </xf>
    <xf numFmtId="180" fontId="3" fillId="0" borderId="1" xfId="0" applyNumberFormat="1" applyFont="1" applyFill="1" applyBorder="1"/>
    <xf numFmtId="165" fontId="3" fillId="0" borderId="1" xfId="0" applyNumberFormat="1" applyFont="1" applyFill="1" applyBorder="1"/>
    <xf numFmtId="0" fontId="2" fillId="0" borderId="1" xfId="0" applyFont="1" applyFill="1" applyBorder="1" applyAlignment="1">
      <alignment horizontal="center" vertical="center"/>
    </xf>
    <xf numFmtId="168" fontId="3" fillId="0" borderId="1" xfId="5" applyNumberFormat="1" applyFont="1" applyFill="1" applyBorder="1"/>
    <xf numFmtId="41" fontId="2" fillId="0" borderId="1" xfId="2" applyFont="1" applyFill="1" applyBorder="1"/>
    <xf numFmtId="0" fontId="5" fillId="0" borderId="0" xfId="0" applyFont="1" applyFill="1" applyAlignment="1">
      <alignment vertical="center" wrapText="1"/>
    </xf>
    <xf numFmtId="0" fontId="2" fillId="0" borderId="1" xfId="13" applyNumberFormat="1" applyFont="1" applyFill="1" applyBorder="1" applyAlignment="1">
      <alignment horizontal="center" vertical="center" wrapText="1"/>
    </xf>
    <xf numFmtId="43" fontId="2" fillId="0" borderId="1" xfId="13" applyNumberFormat="1" applyFont="1" applyFill="1" applyBorder="1" applyAlignment="1">
      <alignment horizontal="center" vertical="center" wrapText="1"/>
    </xf>
    <xf numFmtId="165" fontId="14" fillId="0" borderId="1" xfId="0" applyNumberFormat="1" applyFont="1" applyFill="1" applyBorder="1"/>
    <xf numFmtId="0" fontId="3" fillId="0" borderId="6" xfId="0" applyFont="1" applyFill="1" applyBorder="1" applyAlignment="1">
      <alignment vertical="center"/>
    </xf>
    <xf numFmtId="168" fontId="3" fillId="0" borderId="6" xfId="8" applyNumberFormat="1" applyFont="1" applyFill="1" applyBorder="1" applyAlignment="1">
      <alignment horizontal="center" vertical="center"/>
    </xf>
    <xf numFmtId="175" fontId="3" fillId="0" borderId="1" xfId="0" applyNumberFormat="1" applyFont="1" applyFill="1" applyBorder="1" applyAlignment="1">
      <alignment horizontal="center" vertical="center"/>
    </xf>
    <xf numFmtId="0" fontId="3" fillId="0" borderId="3" xfId="0" applyFont="1" applyFill="1" applyBorder="1" applyAlignment="1">
      <alignment vertical="center"/>
    </xf>
    <xf numFmtId="42" fontId="3" fillId="0" borderId="6" xfId="0" applyNumberFormat="1" applyFont="1" applyFill="1" applyBorder="1" applyAlignment="1">
      <alignment vertical="center"/>
    </xf>
    <xf numFmtId="0" fontId="11" fillId="0" borderId="0" xfId="0" applyFont="1" applyFill="1" applyAlignment="1">
      <alignment horizontal="justify" vertical="justify"/>
    </xf>
    <xf numFmtId="0" fontId="2" fillId="0" borderId="1" xfId="0" applyFont="1" applyFill="1" applyBorder="1"/>
    <xf numFmtId="176" fontId="2" fillId="0" borderId="1" xfId="0" applyNumberFormat="1" applyFont="1" applyFill="1" applyBorder="1"/>
    <xf numFmtId="41" fontId="4" fillId="0" borderId="1" xfId="0" applyNumberFormat="1" applyFont="1" applyFill="1" applyBorder="1"/>
    <xf numFmtId="14" fontId="2" fillId="0" borderId="1" xfId="0" applyNumberFormat="1" applyFont="1" applyFill="1" applyBorder="1"/>
    <xf numFmtId="0" fontId="2" fillId="0" borderId="1" xfId="0" applyFont="1" applyFill="1" applyBorder="1" applyAlignment="1">
      <alignment horizontal="center"/>
    </xf>
    <xf numFmtId="15" fontId="2" fillId="0" borderId="1" xfId="0" applyNumberFormat="1" applyFont="1" applyFill="1" applyBorder="1" applyAlignment="1">
      <alignment horizontal="center"/>
    </xf>
    <xf numFmtId="0" fontId="4"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center"/>
    </xf>
    <xf numFmtId="41" fontId="2" fillId="0" borderId="0" xfId="2" applyFont="1" applyFill="1" applyAlignment="1">
      <alignment horizontal="center"/>
    </xf>
    <xf numFmtId="0" fontId="2" fillId="0" borderId="0" xfId="0" applyFont="1" applyFill="1" applyAlignment="1">
      <alignment horizontal="right"/>
    </xf>
    <xf numFmtId="176" fontId="2" fillId="0" borderId="0" xfId="0" applyNumberFormat="1" applyFont="1" applyFill="1" applyAlignment="1">
      <alignment horizontal="right"/>
    </xf>
    <xf numFmtId="0" fontId="4" fillId="0" borderId="0" xfId="0" applyFont="1" applyFill="1" applyAlignment="1">
      <alignment horizontal="left"/>
    </xf>
    <xf numFmtId="176" fontId="2" fillId="0" borderId="0" xfId="0" applyNumberFormat="1" applyFont="1" applyFill="1" applyAlignment="1">
      <alignment horizontal="right" wrapText="1"/>
    </xf>
    <xf numFmtId="176" fontId="2" fillId="0" borderId="1" xfId="0" applyNumberFormat="1" applyFont="1" applyFill="1" applyBorder="1" applyAlignment="1">
      <alignment horizontal="right" wrapText="1"/>
    </xf>
    <xf numFmtId="41" fontId="4" fillId="0" borderId="1" xfId="2"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1" fontId="4" fillId="0" borderId="1" xfId="2" applyFont="1" applyFill="1" applyBorder="1"/>
    <xf numFmtId="165" fontId="10" fillId="0" borderId="1" xfId="0" applyNumberFormat="1" applyFont="1" applyFill="1" applyBorder="1" applyAlignment="1">
      <alignment horizontal="center"/>
    </xf>
    <xf numFmtId="165" fontId="10" fillId="0" borderId="1" xfId="0" applyNumberFormat="1" applyFont="1" applyFill="1" applyBorder="1" applyAlignment="1">
      <alignment horizontal="right"/>
    </xf>
  </cellXfs>
  <cellStyles count="18">
    <cellStyle name="Millares" xfId="1" builtinId="3"/>
    <cellStyle name="Millares [0]" xfId="2" builtinId="6"/>
    <cellStyle name="Millares 10" xfId="8"/>
    <cellStyle name="Millares 11" xfId="14"/>
    <cellStyle name="Millares 2" xfId="13"/>
    <cellStyle name="Millares 2 3" xfId="6"/>
    <cellStyle name="Millares 5" xfId="9"/>
    <cellStyle name="Millares 6" xfId="5"/>
    <cellStyle name="Millares 6 2" xfId="12"/>
    <cellStyle name="Moneda" xfId="3" builtinId="4"/>
    <cellStyle name="Moneda [0]" xfId="4" builtinId="7"/>
    <cellStyle name="Moneda 3 2" xfId="10"/>
    <cellStyle name="Normal" xfId="0" builtinId="0"/>
    <cellStyle name="Normal 2 2" xfId="15"/>
    <cellStyle name="Normal 3" xfId="11"/>
    <cellStyle name="Normal 3 2" xfId="16"/>
    <cellStyle name="Normal 6" xfId="17"/>
    <cellStyle name="Normal 7" xfId="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Users\LMAjiaco\AppData\Local\Packages\Microsoft.MicrosoftEdge_8wekyb3d8bbwe\TempState\Downloads\Compromisos%20CRP%20a%2031%20Julio%20de%202018%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omisos CRP a 31 Julio de 2"/>
    </sheetNames>
    <sheetDataSet>
      <sheetData sheetId="0" refreshError="1">
        <row r="428">
          <cell r="J428">
            <v>5</v>
          </cell>
          <cell r="K428">
            <v>43112</v>
          </cell>
          <cell r="L428" t="str">
            <v>IVAN DARIO SUESCUN QUIÑONES</v>
          </cell>
          <cell r="M428">
            <v>145</v>
          </cell>
          <cell r="N428" t="str">
            <v>CONTRATO DE PRESTACION DE SERVICIOS PROFESIONALES</v>
          </cell>
          <cell r="O428">
            <v>5</v>
          </cell>
          <cell r="P428">
            <v>43112</v>
          </cell>
          <cell r="Q428" t="str">
            <v>Prestación de servicios profesionales para apoyar la estructuración, seguimiento y supervisión de los proyectos asignados por la Dirección de Mejoramiento de Vivienda de la CVP.</v>
          </cell>
          <cell r="R428">
            <v>73645000</v>
          </cell>
          <cell r="S428">
            <v>0</v>
          </cell>
          <cell r="T428">
            <v>0</v>
          </cell>
          <cell r="U428">
            <v>73645000</v>
          </cell>
          <cell r="V428">
            <v>37715167</v>
          </cell>
        </row>
        <row r="429">
          <cell r="J429">
            <v>7</v>
          </cell>
          <cell r="K429">
            <v>43112</v>
          </cell>
          <cell r="L429" t="str">
            <v>JAQUELINE  MORALES RAMIREZ</v>
          </cell>
          <cell r="M429">
            <v>148</v>
          </cell>
          <cell r="N429" t="str">
            <v>CONTRATO DE PRESTACION DE SERVICIOS DE APOYO A LA GESTION</v>
          </cell>
          <cell r="O429">
            <v>3</v>
          </cell>
          <cell r="P429">
            <v>43112</v>
          </cell>
          <cell r="Q429" t="str">
            <v>Prestación de servicios técnicos de apoyo a la gestión documental, inventario y manejo del archivo físico, en cumplimiento de los procedimientos de la Dirección de Mejoramiento de Vivienda de la CVP.</v>
          </cell>
          <cell r="R429">
            <v>33423500</v>
          </cell>
          <cell r="S429">
            <v>0</v>
          </cell>
          <cell r="T429">
            <v>0</v>
          </cell>
          <cell r="U429">
            <v>33423500</v>
          </cell>
          <cell r="V429">
            <v>17116883</v>
          </cell>
        </row>
        <row r="430">
          <cell r="J430">
            <v>8</v>
          </cell>
          <cell r="K430">
            <v>43112</v>
          </cell>
          <cell r="L430" t="str">
            <v>JHOAN EDUARDO JAIMES CARDENAS</v>
          </cell>
          <cell r="M430">
            <v>145</v>
          </cell>
          <cell r="N430" t="str">
            <v>CONTRATO DE PRESTACION DE SERVICIOS PROFESIONALES</v>
          </cell>
          <cell r="O430">
            <v>4</v>
          </cell>
          <cell r="P430">
            <v>43112</v>
          </cell>
          <cell r="Q430" t="str">
            <v>Prestación de servicios profesionales para adelantar la consulta, revisión, consolidación, organización, actualización y disposición de la información cartográfica, gráfica y alfanumérica en la Dirección de Mejoramiento de Vivienda de la CVP.</v>
          </cell>
          <cell r="R430">
            <v>49852000</v>
          </cell>
          <cell r="S430">
            <v>0</v>
          </cell>
          <cell r="T430">
            <v>0</v>
          </cell>
          <cell r="U430">
            <v>49852000</v>
          </cell>
          <cell r="V430">
            <v>25530267</v>
          </cell>
        </row>
        <row r="431">
          <cell r="J431">
            <v>16</v>
          </cell>
          <cell r="K431">
            <v>43115</v>
          </cell>
          <cell r="L431" t="str">
            <v>MONICA  AVILA CANTOR</v>
          </cell>
          <cell r="M431">
            <v>145</v>
          </cell>
          <cell r="N431" t="str">
            <v>CONTRATO DE PRESTACION DE SERVICIOS PROFESIONALES</v>
          </cell>
          <cell r="O431">
            <v>21</v>
          </cell>
          <cell r="P431">
            <v>43115</v>
          </cell>
          <cell r="Q431" t="str">
            <v>Prestar los servicios profesionales para apoyar la supervisión Social de las obras de los proyectos territoriales, además de efectuar la gestión social a los hogares de los territoriales dirigidos que se presenten para optar al Subsidio Distrital de Vivienda en especie.</v>
          </cell>
          <cell r="R431">
            <v>28840000</v>
          </cell>
          <cell r="S431">
            <v>28840000</v>
          </cell>
          <cell r="T431">
            <v>0</v>
          </cell>
          <cell r="U431">
            <v>0</v>
          </cell>
          <cell r="V431">
            <v>0</v>
          </cell>
        </row>
        <row r="432">
          <cell r="J432">
            <v>18</v>
          </cell>
          <cell r="K432">
            <v>43115</v>
          </cell>
          <cell r="L432" t="str">
            <v>JULIANA ALEJANDRA MARTHEYN NUÑEZ</v>
          </cell>
          <cell r="M432">
            <v>145</v>
          </cell>
          <cell r="N432" t="str">
            <v>CONTRATO DE PRESTACION DE SERVICIOS PROFESIONALES</v>
          </cell>
          <cell r="O432">
            <v>15</v>
          </cell>
          <cell r="P432">
            <v>43115</v>
          </cell>
          <cell r="Q432" t="str">
            <v>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v>
          </cell>
          <cell r="R432">
            <v>37389000</v>
          </cell>
          <cell r="S432">
            <v>37389000</v>
          </cell>
          <cell r="T432">
            <v>0</v>
          </cell>
          <cell r="U432">
            <v>0</v>
          </cell>
          <cell r="V432">
            <v>0</v>
          </cell>
        </row>
        <row r="433">
          <cell r="J433">
            <v>19</v>
          </cell>
          <cell r="K433">
            <v>43115</v>
          </cell>
          <cell r="L433" t="str">
            <v>LEIDY VANESSA MARTINEZ MONROY</v>
          </cell>
          <cell r="M433">
            <v>148</v>
          </cell>
          <cell r="N433" t="str">
            <v>CONTRATO DE PRESTACION DE SERVICIOS DE APOYO A LA GESTION</v>
          </cell>
          <cell r="O433">
            <v>16</v>
          </cell>
          <cell r="P433">
            <v>43115</v>
          </cell>
          <cell r="Q433" t="str">
            <v>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33">
            <v>33423500</v>
          </cell>
          <cell r="S433">
            <v>33423500</v>
          </cell>
          <cell r="T433">
            <v>0</v>
          </cell>
          <cell r="U433">
            <v>0</v>
          </cell>
          <cell r="V433">
            <v>0</v>
          </cell>
        </row>
        <row r="434">
          <cell r="J434">
            <v>20</v>
          </cell>
          <cell r="K434">
            <v>43115</v>
          </cell>
          <cell r="L434" t="str">
            <v>ELIZABETH  MARCIALES DAZA</v>
          </cell>
          <cell r="M434">
            <v>145</v>
          </cell>
          <cell r="N434" t="str">
            <v>CONTRATO DE PRESTACION DE SERVICIOS PROFESIONALES</v>
          </cell>
          <cell r="O434">
            <v>17</v>
          </cell>
          <cell r="P434">
            <v>43115</v>
          </cell>
          <cell r="Q434" t="str">
            <v>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v>
          </cell>
          <cell r="R434">
            <v>55403700</v>
          </cell>
          <cell r="S434">
            <v>55403700</v>
          </cell>
          <cell r="T434">
            <v>0</v>
          </cell>
          <cell r="U434">
            <v>0</v>
          </cell>
          <cell r="V434">
            <v>0</v>
          </cell>
        </row>
        <row r="435">
          <cell r="J435">
            <v>21</v>
          </cell>
          <cell r="K435">
            <v>43115</v>
          </cell>
          <cell r="L435" t="str">
            <v>EDGAR ANDRES PASTRAN CHAUX</v>
          </cell>
          <cell r="M435">
            <v>145</v>
          </cell>
          <cell r="N435" t="str">
            <v>CONTRATO DE PRESTACION DE SERVICIOS PROFESIONALES</v>
          </cell>
          <cell r="O435">
            <v>23</v>
          </cell>
          <cell r="P435">
            <v>43115</v>
          </cell>
          <cell r="Q435" t="str">
            <v>Prestación de servicios profesionales para apoyar la estructuración, seguimiento y supervisión de los proyectos asignados por la Dirección de Mejoramiento de Vivienda de la CVP</v>
          </cell>
          <cell r="R435">
            <v>35256900</v>
          </cell>
          <cell r="S435">
            <v>35256900</v>
          </cell>
          <cell r="T435">
            <v>0</v>
          </cell>
          <cell r="U435">
            <v>0</v>
          </cell>
          <cell r="V435">
            <v>0</v>
          </cell>
        </row>
        <row r="436">
          <cell r="J436">
            <v>22</v>
          </cell>
          <cell r="K436">
            <v>43115</v>
          </cell>
          <cell r="L436" t="str">
            <v>CRISTHIAN DAVID TORRES MARTINEZ</v>
          </cell>
          <cell r="M436">
            <v>145</v>
          </cell>
          <cell r="N436" t="str">
            <v>CONTRATO DE PRESTACION DE SERVICIOS PROFESIONALES</v>
          </cell>
          <cell r="O436">
            <v>18</v>
          </cell>
          <cell r="P436">
            <v>43115</v>
          </cell>
          <cell r="Q436" t="str">
            <v>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v>
          </cell>
          <cell r="R436">
            <v>37389000</v>
          </cell>
          <cell r="S436">
            <v>37389000</v>
          </cell>
          <cell r="T436">
            <v>0</v>
          </cell>
          <cell r="U436">
            <v>0</v>
          </cell>
          <cell r="V436">
            <v>0</v>
          </cell>
        </row>
        <row r="437">
          <cell r="J437">
            <v>23</v>
          </cell>
          <cell r="K437">
            <v>43115</v>
          </cell>
          <cell r="L437" t="str">
            <v>MANUEL ALEJANDRO PINILLA FORERO</v>
          </cell>
          <cell r="M437">
            <v>145</v>
          </cell>
          <cell r="N437" t="str">
            <v>CONTRATO DE PRESTACION DE SERVICIOS PROFESIONALES</v>
          </cell>
          <cell r="O437">
            <v>19</v>
          </cell>
          <cell r="P437">
            <v>43115</v>
          </cell>
          <cell r="Q437" t="str">
            <v>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v>
          </cell>
          <cell r="R437">
            <v>62315000</v>
          </cell>
          <cell r="S437">
            <v>62315000</v>
          </cell>
          <cell r="T437">
            <v>0</v>
          </cell>
          <cell r="U437">
            <v>0</v>
          </cell>
          <cell r="V437">
            <v>0</v>
          </cell>
        </row>
        <row r="438">
          <cell r="J438">
            <v>24</v>
          </cell>
          <cell r="K438">
            <v>43115</v>
          </cell>
          <cell r="L438" t="str">
            <v>ISOLIER ANDRES EGUIS BENITEZ</v>
          </cell>
          <cell r="M438">
            <v>145</v>
          </cell>
          <cell r="N438" t="str">
            <v>CONTRATO DE PRESTACION DE SERVICIOS PROFESIONALES</v>
          </cell>
          <cell r="O438">
            <v>20</v>
          </cell>
          <cell r="P438">
            <v>43115</v>
          </cell>
          <cell r="Q438" t="str">
            <v>Prestación de servicios profesionales para apoyar la estructuración, seguimiento y supervisión de los proyectos asignados por la Dirección de Mejoramiento de Vivienda de la CVP.</v>
          </cell>
          <cell r="R438">
            <v>46865000</v>
          </cell>
          <cell r="S438">
            <v>46865000</v>
          </cell>
          <cell r="T438">
            <v>0</v>
          </cell>
          <cell r="U438">
            <v>0</v>
          </cell>
          <cell r="V438">
            <v>0</v>
          </cell>
        </row>
        <row r="439">
          <cell r="J439">
            <v>27</v>
          </cell>
          <cell r="K439">
            <v>43115</v>
          </cell>
          <cell r="L439" t="str">
            <v>MANUEL ALEJANDRO PINILLA FORERO</v>
          </cell>
          <cell r="M439">
            <v>145</v>
          </cell>
          <cell r="N439" t="str">
            <v>CONTRATO DE PRESTACION DE SERVICIOS PROFESIONALES</v>
          </cell>
          <cell r="O439">
            <v>19</v>
          </cell>
          <cell r="P439">
            <v>43115</v>
          </cell>
          <cell r="Q439" t="str">
            <v>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v>
          </cell>
          <cell r="R439">
            <v>62315000</v>
          </cell>
          <cell r="S439">
            <v>0</v>
          </cell>
          <cell r="T439">
            <v>0</v>
          </cell>
          <cell r="U439">
            <v>62315000</v>
          </cell>
          <cell r="V439">
            <v>31346333</v>
          </cell>
        </row>
        <row r="440">
          <cell r="J440">
            <v>28</v>
          </cell>
          <cell r="K440">
            <v>43116</v>
          </cell>
          <cell r="L440" t="str">
            <v>JULIANA ALEJANDRA MARTHEYN NUÑEZ</v>
          </cell>
          <cell r="M440">
            <v>145</v>
          </cell>
          <cell r="N440" t="str">
            <v>CONTRATO DE PRESTACION DE SERVICIOS PROFESIONALES</v>
          </cell>
          <cell r="O440">
            <v>15</v>
          </cell>
          <cell r="P440">
            <v>43116</v>
          </cell>
          <cell r="Q440" t="str">
            <v>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v>
          </cell>
          <cell r="R440">
            <v>37389000</v>
          </cell>
          <cell r="S440">
            <v>0</v>
          </cell>
          <cell r="T440">
            <v>0</v>
          </cell>
          <cell r="U440">
            <v>37389000</v>
          </cell>
          <cell r="V440">
            <v>18694500</v>
          </cell>
        </row>
        <row r="441">
          <cell r="J441">
            <v>29</v>
          </cell>
          <cell r="K441">
            <v>43116</v>
          </cell>
          <cell r="L441" t="str">
            <v>ELIZABETH  MARCIALES DAZA</v>
          </cell>
          <cell r="M441">
            <v>145</v>
          </cell>
          <cell r="N441" t="str">
            <v>CONTRATO DE PRESTACION DE SERVICIOS PROFESIONALES</v>
          </cell>
          <cell r="O441">
            <v>17</v>
          </cell>
          <cell r="P441">
            <v>43116</v>
          </cell>
          <cell r="Q441" t="str">
            <v>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v>
          </cell>
          <cell r="R441">
            <v>55403700</v>
          </cell>
          <cell r="S441">
            <v>0</v>
          </cell>
          <cell r="T441">
            <v>0</v>
          </cell>
          <cell r="U441">
            <v>55403700</v>
          </cell>
          <cell r="V441">
            <v>27701850</v>
          </cell>
        </row>
        <row r="442">
          <cell r="J442">
            <v>30</v>
          </cell>
          <cell r="K442">
            <v>43116</v>
          </cell>
          <cell r="L442" t="str">
            <v>CRISTHIAN DAVID TORRES MARTINEZ</v>
          </cell>
          <cell r="M442">
            <v>145</v>
          </cell>
          <cell r="N442" t="str">
            <v>CONTRATO DE PRESTACION DE SERVICIOS PROFESIONALES</v>
          </cell>
          <cell r="O442">
            <v>18</v>
          </cell>
          <cell r="P442">
            <v>43116</v>
          </cell>
          <cell r="Q442" t="str">
            <v>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v>
          </cell>
          <cell r="R442">
            <v>37389000</v>
          </cell>
          <cell r="S442">
            <v>0</v>
          </cell>
          <cell r="T442">
            <v>0</v>
          </cell>
          <cell r="U442">
            <v>37389000</v>
          </cell>
          <cell r="V442">
            <v>18694500</v>
          </cell>
        </row>
        <row r="443">
          <cell r="J443">
            <v>31</v>
          </cell>
          <cell r="K443">
            <v>43116</v>
          </cell>
          <cell r="L443" t="str">
            <v>LEIDY VANESSA MARTINEZ MONROY</v>
          </cell>
          <cell r="M443">
            <v>148</v>
          </cell>
          <cell r="N443" t="str">
            <v>CONTRATO DE PRESTACION DE SERVICIOS DE APOYO A LA GESTION</v>
          </cell>
          <cell r="O443">
            <v>16</v>
          </cell>
          <cell r="P443">
            <v>43116</v>
          </cell>
          <cell r="Q443" t="str">
            <v>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43">
            <v>33423500</v>
          </cell>
          <cell r="S443">
            <v>0</v>
          </cell>
          <cell r="T443">
            <v>0</v>
          </cell>
          <cell r="U443">
            <v>33423500</v>
          </cell>
          <cell r="V443">
            <v>16711750</v>
          </cell>
        </row>
        <row r="444">
          <cell r="J444">
            <v>32</v>
          </cell>
          <cell r="K444">
            <v>43116</v>
          </cell>
          <cell r="L444" t="str">
            <v>ISOLIER ANDRES EGUIS BENITEZ</v>
          </cell>
          <cell r="M444">
            <v>145</v>
          </cell>
          <cell r="N444" t="str">
            <v>CONTRATO DE PRESTACION DE SERVICIOS PROFESIONALES</v>
          </cell>
          <cell r="O444">
            <v>20</v>
          </cell>
          <cell r="P444">
            <v>43116</v>
          </cell>
          <cell r="Q444" t="str">
            <v>Prestación de servicios profesionales para apoyar la estructuración, seguimiento y supervisión de los proyectos asignados por la Dirección de Mejoramiento de Vivienda de la CVP.</v>
          </cell>
          <cell r="R444">
            <v>46865000</v>
          </cell>
          <cell r="S444">
            <v>0</v>
          </cell>
          <cell r="T444">
            <v>0</v>
          </cell>
          <cell r="U444">
            <v>46865000</v>
          </cell>
          <cell r="V444">
            <v>36822500</v>
          </cell>
        </row>
        <row r="445">
          <cell r="J445">
            <v>33</v>
          </cell>
          <cell r="K445">
            <v>43116</v>
          </cell>
          <cell r="L445" t="str">
            <v>EDGAR ANDRES PASTRAN CHAUX</v>
          </cell>
          <cell r="M445">
            <v>145</v>
          </cell>
          <cell r="N445" t="str">
            <v>CONTRATO DE PRESTACION DE SERVICIOS PROFESIONALES</v>
          </cell>
          <cell r="O445">
            <v>23</v>
          </cell>
          <cell r="P445">
            <v>43116</v>
          </cell>
          <cell r="Q445" t="str">
            <v>Prestación de servicios profesionales para apoyar la estructuración, seguimiento y supervisión de los proyectos asignados por la Dirección de Mejoramiento de Vivienda de la CVP</v>
          </cell>
          <cell r="R445">
            <v>35256900</v>
          </cell>
          <cell r="S445">
            <v>0</v>
          </cell>
          <cell r="T445">
            <v>0</v>
          </cell>
          <cell r="U445">
            <v>35256900</v>
          </cell>
          <cell r="V445">
            <v>27701850</v>
          </cell>
        </row>
        <row r="446">
          <cell r="J446">
            <v>34</v>
          </cell>
          <cell r="K446">
            <v>43116</v>
          </cell>
          <cell r="L446" t="str">
            <v>MONICA  AVILA CANTOR</v>
          </cell>
          <cell r="M446">
            <v>145</v>
          </cell>
          <cell r="N446" t="str">
            <v>CONTRATO DE PRESTACION DE SERVICIOS PROFESIONALES</v>
          </cell>
          <cell r="O446">
            <v>21</v>
          </cell>
          <cell r="P446">
            <v>43116</v>
          </cell>
          <cell r="Q446" t="str">
            <v>Prestar los servicios profesionales para apoyar la supervisión Social de las obras de los proyectos territoriales, además de efectuar la gestión social a los hogares de los territoriales dirigidos que se presenten para optar al Subsidio Distrital de Vivienda en especie.</v>
          </cell>
          <cell r="R446">
            <v>28840000</v>
          </cell>
          <cell r="S446">
            <v>0</v>
          </cell>
          <cell r="T446">
            <v>0</v>
          </cell>
          <cell r="U446">
            <v>28840000</v>
          </cell>
          <cell r="V446">
            <v>22660000</v>
          </cell>
        </row>
        <row r="447">
          <cell r="J447">
            <v>45</v>
          </cell>
          <cell r="K447">
            <v>43116</v>
          </cell>
          <cell r="L447" t="str">
            <v>LINA MARIA AZUERO GUTIERREZ</v>
          </cell>
          <cell r="M447">
            <v>145</v>
          </cell>
          <cell r="N447" t="str">
            <v>CONTRATO DE PRESTACION DE SERVICIOS PROFESIONALES</v>
          </cell>
          <cell r="O447">
            <v>36</v>
          </cell>
          <cell r="P447">
            <v>43116</v>
          </cell>
          <cell r="Q447" t="str">
            <v>Prestación de servicios profesionales en los procesos misionales y proyectos especiales, para apoyar la gestión, planeación, concertación y seguimiento a los planes y cronogramas del componente social.</v>
          </cell>
          <cell r="R447">
            <v>22660000</v>
          </cell>
          <cell r="S447">
            <v>0</v>
          </cell>
          <cell r="T447">
            <v>0</v>
          </cell>
          <cell r="U447">
            <v>22660000</v>
          </cell>
          <cell r="V447">
            <v>10300000</v>
          </cell>
        </row>
        <row r="448">
          <cell r="J448">
            <v>61</v>
          </cell>
          <cell r="K448">
            <v>43116</v>
          </cell>
          <cell r="L448" t="str">
            <v>ROBERTO MANUEL CARRILLO RODRIGUEZ</v>
          </cell>
          <cell r="M448">
            <v>145</v>
          </cell>
          <cell r="N448" t="str">
            <v>CONTRATO DE PRESTACION DE SERVICIOS PROFESIONALES</v>
          </cell>
          <cell r="O448">
            <v>26</v>
          </cell>
          <cell r="P448">
            <v>43116</v>
          </cell>
          <cell r="Q448" t="str">
            <v>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448">
            <v>37389000</v>
          </cell>
          <cell r="S448">
            <v>0</v>
          </cell>
          <cell r="T448">
            <v>0</v>
          </cell>
          <cell r="U448">
            <v>37389000</v>
          </cell>
          <cell r="V448">
            <v>18694500</v>
          </cell>
        </row>
        <row r="449">
          <cell r="J449">
            <v>62</v>
          </cell>
          <cell r="K449">
            <v>43116</v>
          </cell>
          <cell r="L449" t="str">
            <v>CAMILO  GUAJE NIETO</v>
          </cell>
          <cell r="M449">
            <v>145</v>
          </cell>
          <cell r="N449" t="str">
            <v>CONTRATO DE PRESTACION DE SERVICIOS PROFESIONALES</v>
          </cell>
          <cell r="O449">
            <v>27</v>
          </cell>
          <cell r="P449">
            <v>43116</v>
          </cell>
          <cell r="Q449" t="str">
            <v>PRESTACIÓN DE SERVICIOS PROFESIONALES PARA APOYAR LA ESTRUCTURACIÓN, SEGUIMIENTO Y SUPERVISIÓN DE LOS PROYECTOS ASIGNADOS POR LA DIRECCIÓN DE MEJORAMIENTO DE VIVIENDA DE LA CVP.</v>
          </cell>
          <cell r="R449">
            <v>42024000</v>
          </cell>
          <cell r="S449">
            <v>0</v>
          </cell>
          <cell r="T449">
            <v>0</v>
          </cell>
          <cell r="U449">
            <v>42024000</v>
          </cell>
          <cell r="V449">
            <v>28891500</v>
          </cell>
        </row>
        <row r="450">
          <cell r="J450">
            <v>63</v>
          </cell>
          <cell r="K450">
            <v>43116</v>
          </cell>
          <cell r="L450" t="str">
            <v>ADRIANA PAOLA MORALES LOZANO</v>
          </cell>
          <cell r="M450">
            <v>148</v>
          </cell>
          <cell r="N450" t="str">
            <v>CONTRATO DE PRESTACION DE SERVICIOS DE APOYO A LA GESTION</v>
          </cell>
          <cell r="O450">
            <v>28</v>
          </cell>
          <cell r="P450">
            <v>43116</v>
          </cell>
          <cell r="Q450" t="str">
            <v>Prestación de servicios técnicos de apoyo a la gestión documental, inventario y manejo del archivo físico, en cumplimiento de los procedimientos de la Dirección de Mejoramiento de Vivienda de la CVP</v>
          </cell>
          <cell r="R450">
            <v>27192000</v>
          </cell>
          <cell r="S450">
            <v>0</v>
          </cell>
          <cell r="T450">
            <v>0</v>
          </cell>
          <cell r="U450">
            <v>27192000</v>
          </cell>
          <cell r="V450">
            <v>13596000</v>
          </cell>
        </row>
        <row r="451">
          <cell r="J451">
            <v>64</v>
          </cell>
          <cell r="K451">
            <v>43116</v>
          </cell>
          <cell r="L451" t="str">
            <v>FELKYN EDUARDO SANDOVAL NUÑEZ</v>
          </cell>
          <cell r="M451">
            <v>145</v>
          </cell>
          <cell r="N451" t="str">
            <v>CONTRATO DE PRESTACION DE SERVICIOS PROFESIONALES</v>
          </cell>
          <cell r="O451">
            <v>29</v>
          </cell>
          <cell r="P451">
            <v>43116</v>
          </cell>
          <cell r="Q451" t="str">
            <v>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v>
          </cell>
          <cell r="R451">
            <v>79310000</v>
          </cell>
          <cell r="S451">
            <v>0</v>
          </cell>
          <cell r="T451">
            <v>0</v>
          </cell>
          <cell r="U451">
            <v>79310000</v>
          </cell>
          <cell r="V451">
            <v>36530667</v>
          </cell>
        </row>
        <row r="452">
          <cell r="J452">
            <v>65</v>
          </cell>
          <cell r="K452">
            <v>43116</v>
          </cell>
          <cell r="L452" t="str">
            <v>ADALIA  SERRANO RODRIGUEZ</v>
          </cell>
          <cell r="M452">
            <v>145</v>
          </cell>
          <cell r="N452" t="str">
            <v>CONTRATO DE PRESTACION DE SERVICIOS PROFESIONALES</v>
          </cell>
          <cell r="O452">
            <v>30</v>
          </cell>
          <cell r="P452">
            <v>43116</v>
          </cell>
          <cell r="Q452" t="str">
            <v>Prestación de servicios profesionales para apoyar la estructuración, seguimiento y supervisión de los proyectos asignados por la Dirección de Mejoramiento de Vivienda de la CVP.</v>
          </cell>
          <cell r="R452">
            <v>57783000</v>
          </cell>
          <cell r="S452">
            <v>0</v>
          </cell>
          <cell r="T452">
            <v>0</v>
          </cell>
          <cell r="U452">
            <v>57783000</v>
          </cell>
          <cell r="V452">
            <v>28891500</v>
          </cell>
        </row>
        <row r="453">
          <cell r="J453">
            <v>66</v>
          </cell>
          <cell r="K453">
            <v>43116</v>
          </cell>
          <cell r="L453" t="str">
            <v>BELKIS MARIA PEREZ LEMUS</v>
          </cell>
          <cell r="M453">
            <v>148</v>
          </cell>
          <cell r="N453" t="str">
            <v>CONTRATO DE PRESTACION DE SERVICIOS DE APOYO A LA GESTION</v>
          </cell>
          <cell r="O453">
            <v>31</v>
          </cell>
          <cell r="P453">
            <v>43116</v>
          </cell>
          <cell r="Q453" t="str">
            <v>Prestar servicios asistenciales en la Gestión Documental, captura de datos, inventario y manejo de archivo físico, en cumplimiento de los procedimientos de la Dirección de Mejoramiento de Vivienda de la CVP</v>
          </cell>
          <cell r="R453">
            <v>16995000</v>
          </cell>
          <cell r="S453">
            <v>0</v>
          </cell>
          <cell r="T453">
            <v>0</v>
          </cell>
          <cell r="U453">
            <v>16995000</v>
          </cell>
          <cell r="V453">
            <v>8497500</v>
          </cell>
        </row>
        <row r="454">
          <cell r="J454">
            <v>67</v>
          </cell>
          <cell r="K454">
            <v>43116</v>
          </cell>
          <cell r="L454" t="str">
            <v>MARTHA CONSUELO CASAS GARZON</v>
          </cell>
          <cell r="M454">
            <v>145</v>
          </cell>
          <cell r="N454" t="str">
            <v>CONTRATO DE PRESTACION DE SERVICIOS PROFESIONALES</v>
          </cell>
          <cell r="O454">
            <v>32</v>
          </cell>
          <cell r="P454">
            <v>43116</v>
          </cell>
          <cell r="Q454" t="str">
            <v>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v>
          </cell>
          <cell r="R454">
            <v>45320000</v>
          </cell>
          <cell r="S454">
            <v>0</v>
          </cell>
          <cell r="T454">
            <v>0</v>
          </cell>
          <cell r="U454">
            <v>45320000</v>
          </cell>
          <cell r="V454">
            <v>22660000</v>
          </cell>
        </row>
        <row r="455">
          <cell r="J455">
            <v>77</v>
          </cell>
          <cell r="K455">
            <v>43116</v>
          </cell>
          <cell r="L455" t="str">
            <v>CARMEN SOFIA TINOCO MENDOZA</v>
          </cell>
          <cell r="M455">
            <v>145</v>
          </cell>
          <cell r="N455" t="str">
            <v>CONTRATO DE PRESTACION DE SERVICIOS PROFESIONALES</v>
          </cell>
          <cell r="O455">
            <v>69</v>
          </cell>
          <cell r="P455">
            <v>43116</v>
          </cell>
          <cell r="Q455" t="str">
            <v>PRESTACIÓN DE SERVICIOS PROFESIONALES PARA APOYAR LA ESTRUCTURACIÓN, SEGUIMIENTO Y SUPERVISIÓN DE LOS PROYECTOS ASIGNADOS POR LA DIRECCIÓN DE MEJORAMIENTO DE VIVIENDA DE LA CVP.</v>
          </cell>
          <cell r="R455">
            <v>62315000</v>
          </cell>
          <cell r="S455">
            <v>0</v>
          </cell>
          <cell r="T455">
            <v>0</v>
          </cell>
          <cell r="U455">
            <v>62315000</v>
          </cell>
          <cell r="V455">
            <v>30968667</v>
          </cell>
        </row>
        <row r="456">
          <cell r="J456">
            <v>78</v>
          </cell>
          <cell r="K456">
            <v>43116</v>
          </cell>
          <cell r="L456" t="str">
            <v>ASTRID ROCIO MUÑOZ QUIROGA</v>
          </cell>
          <cell r="M456">
            <v>148</v>
          </cell>
          <cell r="N456" t="str">
            <v>CONTRATO DE PRESTACION DE SERVICIOS DE APOYO A LA GESTION</v>
          </cell>
          <cell r="O456">
            <v>67</v>
          </cell>
          <cell r="P456">
            <v>43116</v>
          </cell>
          <cell r="Q456" t="str">
            <v>Prestar servicios asistenciales en la Gestión Documental, captura de datos, inventario y manejo de archivo físico, en cumplimiento de los procedimientos de la Dirección de Mejoramiento de Vivienda de la CVP.</v>
          </cell>
          <cell r="R456">
            <v>16995000</v>
          </cell>
          <cell r="S456">
            <v>0</v>
          </cell>
          <cell r="T456">
            <v>0</v>
          </cell>
          <cell r="U456">
            <v>16995000</v>
          </cell>
          <cell r="V456">
            <v>6901000</v>
          </cell>
        </row>
        <row r="457">
          <cell r="J457">
            <v>104</v>
          </cell>
          <cell r="K457">
            <v>43116</v>
          </cell>
          <cell r="L457" t="str">
            <v>JOSE GIOVANNI VARON CAMELO</v>
          </cell>
          <cell r="M457">
            <v>148</v>
          </cell>
          <cell r="N457" t="str">
            <v>CONTRATO DE PRESTACION DE SERVICIOS DE APOYO A LA GESTION</v>
          </cell>
          <cell r="O457">
            <v>71</v>
          </cell>
          <cell r="P457">
            <v>43116</v>
          </cell>
          <cell r="Q457" t="str">
            <v>PRESTAR SERVICIOS DE APOYO A LA GESTIÓN DOCUMENTAL, INVENTARIO Y MANEJO DEL ARCHIVO FÍSICO, EN CUMPLIMIENTO DE LOS PROCEDIMIENTOS DE LA DIRECCIÓN DE MEJORAMIENTO DE VIVIENDA DE LA CVP.</v>
          </cell>
          <cell r="R457">
            <v>16995000</v>
          </cell>
          <cell r="S457">
            <v>16995000</v>
          </cell>
          <cell r="T457">
            <v>0</v>
          </cell>
          <cell r="U457">
            <v>0</v>
          </cell>
          <cell r="V457">
            <v>0</v>
          </cell>
        </row>
        <row r="458">
          <cell r="J458">
            <v>108</v>
          </cell>
          <cell r="K458">
            <v>43116</v>
          </cell>
          <cell r="L458" t="str">
            <v>JOSE GIOVANNI VARON CAMELO</v>
          </cell>
          <cell r="M458">
            <v>148</v>
          </cell>
          <cell r="N458" t="str">
            <v>CONTRATO DE PRESTACION DE SERVICIOS DE APOYO A LA GESTION</v>
          </cell>
          <cell r="O458">
            <v>71</v>
          </cell>
          <cell r="P458">
            <v>43116</v>
          </cell>
          <cell r="Q458" t="str">
            <v>PRESTACION DE SERVICIOS DE APOYO A LA GESTIÓN DOCUMENTAL, INVENTARIO Y MANEJO DEL ARCHIVO FÍSICO, EN CUMPLIMIENTO DE LOS PROCEDIMIENTOS DE LA DIRECCIÓN DE MEJORAMIENTO DE VIVIENDA DE LA CVP.</v>
          </cell>
          <cell r="R458">
            <v>16995000</v>
          </cell>
          <cell r="S458">
            <v>0</v>
          </cell>
          <cell r="T458">
            <v>0</v>
          </cell>
          <cell r="U458">
            <v>16995000</v>
          </cell>
          <cell r="V458">
            <v>8446000</v>
          </cell>
        </row>
        <row r="459">
          <cell r="J459">
            <v>135</v>
          </cell>
          <cell r="K459">
            <v>43117</v>
          </cell>
          <cell r="L459" t="str">
            <v>JUAN PABLO SANTIAGO CASTELLANO MACIAS</v>
          </cell>
          <cell r="M459">
            <v>145</v>
          </cell>
          <cell r="N459" t="str">
            <v>CONTRATO DE PRESTACION DE SERVICIOS PROFESIONALES</v>
          </cell>
          <cell r="O459">
            <v>144</v>
          </cell>
          <cell r="P459">
            <v>43117</v>
          </cell>
          <cell r="Q459" t="str">
            <v>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459">
            <v>37389000</v>
          </cell>
          <cell r="S459">
            <v>0</v>
          </cell>
          <cell r="T459">
            <v>0</v>
          </cell>
          <cell r="U459">
            <v>37389000</v>
          </cell>
          <cell r="V459">
            <v>18467900</v>
          </cell>
        </row>
        <row r="460">
          <cell r="J460">
            <v>137</v>
          </cell>
          <cell r="K460">
            <v>43117</v>
          </cell>
          <cell r="L460" t="str">
            <v>DORIS MARSELLA GARCIA PRIETO</v>
          </cell>
          <cell r="M460">
            <v>145</v>
          </cell>
          <cell r="N460" t="str">
            <v>CONTRATO DE PRESTACION DE SERVICIOS PROFESIONALES</v>
          </cell>
          <cell r="O460">
            <v>145</v>
          </cell>
          <cell r="P460">
            <v>43117</v>
          </cell>
          <cell r="Q460" t="str">
            <v>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v>
          </cell>
          <cell r="R460">
            <v>45320000</v>
          </cell>
          <cell r="S460">
            <v>0</v>
          </cell>
          <cell r="T460">
            <v>0</v>
          </cell>
          <cell r="U460">
            <v>45320000</v>
          </cell>
          <cell r="V460">
            <v>22385333</v>
          </cell>
        </row>
        <row r="461">
          <cell r="J461">
            <v>141</v>
          </cell>
          <cell r="K461">
            <v>43117</v>
          </cell>
          <cell r="L461" t="str">
            <v>GLORIA IRAIDA THALJI RAVELO</v>
          </cell>
          <cell r="M461">
            <v>145</v>
          </cell>
          <cell r="N461" t="str">
            <v>CONTRATO DE PRESTACION DE SERVICIOS PROFESIONALES</v>
          </cell>
          <cell r="O461">
            <v>151</v>
          </cell>
          <cell r="P461">
            <v>43117</v>
          </cell>
          <cell r="Q461" t="str">
            <v>Prestar los servicios profesionales para apoyar la supervisión Social de las obras de los proyectos territoriales, además de efectuar la gestión social a los hogares de los territoriales dirigidos que se presenten para optar al Subsidio Distrital de Vivienda en Especie.</v>
          </cell>
          <cell r="R461">
            <v>28840000</v>
          </cell>
          <cell r="S461">
            <v>0</v>
          </cell>
          <cell r="T461">
            <v>0</v>
          </cell>
          <cell r="U461">
            <v>28840000</v>
          </cell>
          <cell r="V461">
            <v>22385333</v>
          </cell>
        </row>
        <row r="462">
          <cell r="J462">
            <v>143</v>
          </cell>
          <cell r="K462">
            <v>43117</v>
          </cell>
          <cell r="L462" t="str">
            <v>JOHN ALEXANDER CORREDOR FONSECA</v>
          </cell>
          <cell r="M462">
            <v>145</v>
          </cell>
          <cell r="N462" t="str">
            <v>CONTRATO DE PRESTACION DE SERVICIOS PROFESIONALES</v>
          </cell>
          <cell r="O462">
            <v>152</v>
          </cell>
          <cell r="P462">
            <v>43117</v>
          </cell>
          <cell r="Q462" t="str">
            <v>Prestación de servicios profesionales para apoyar la estructuración, seguimiento y supervisión de los proyectos asignados por la Dirección de Mejoramiento de Vivienda de la CVP.</v>
          </cell>
          <cell r="R462">
            <v>46865000</v>
          </cell>
          <cell r="S462">
            <v>0</v>
          </cell>
          <cell r="T462">
            <v>0</v>
          </cell>
          <cell r="U462">
            <v>46865000</v>
          </cell>
          <cell r="V462">
            <v>36376167</v>
          </cell>
        </row>
        <row r="463">
          <cell r="J463">
            <v>147</v>
          </cell>
          <cell r="K463">
            <v>43117</v>
          </cell>
          <cell r="L463" t="str">
            <v>JULY PAOLA TORRES RISCANEVO</v>
          </cell>
          <cell r="M463">
            <v>145</v>
          </cell>
          <cell r="N463" t="str">
            <v>CONTRATO DE PRESTACION DE SERVICIOS PROFESIONALES</v>
          </cell>
          <cell r="O463">
            <v>155</v>
          </cell>
          <cell r="P463">
            <v>43117</v>
          </cell>
          <cell r="Q463" t="str">
            <v>PRESTAR LOS SERVICIOS PROFESIONALES EN LA IMPLEMENTACIÓN Y SEGUIMIENTO DE LA POLÍTICA DE RESPONSABILIDAD SOCIAL, BAJO LOS TRES PILARES DE SOSTENIBILIDAD A LOS PROCESOS DE GESTIÓN MISIONAL DE LA ENTIDAD.</v>
          </cell>
          <cell r="R463">
            <v>22591333</v>
          </cell>
          <cell r="S463">
            <v>22591333</v>
          </cell>
          <cell r="T463">
            <v>0</v>
          </cell>
          <cell r="U463">
            <v>0</v>
          </cell>
          <cell r="V463">
            <v>0</v>
          </cell>
        </row>
        <row r="464">
          <cell r="J464">
            <v>153</v>
          </cell>
          <cell r="K464">
            <v>43117</v>
          </cell>
          <cell r="L464" t="str">
            <v>JULY PAOLA TORRES RISCANEVO</v>
          </cell>
          <cell r="M464">
            <v>145</v>
          </cell>
          <cell r="N464" t="str">
            <v>CONTRATO DE PRESTACION DE SERVICIOS PROFESIONALES</v>
          </cell>
          <cell r="O464">
            <v>155</v>
          </cell>
          <cell r="P464">
            <v>43117</v>
          </cell>
          <cell r="Q464" t="str">
            <v>PRESTAR SERVICIOS PROFESIONALES PARA EL DESARROLLO DE LA POLITICA DE RESPONSABILIDAD SOCIAL, BAJO LOS TRES PILARES DE SOSTENIBILIDAD A LOS PROCESOS DE GESTION MISIONAL DE LA CAJA DE LA VIVIENDA POPULAR.</v>
          </cell>
          <cell r="R464">
            <v>22591333</v>
          </cell>
          <cell r="S464">
            <v>0</v>
          </cell>
          <cell r="T464">
            <v>0</v>
          </cell>
          <cell r="U464">
            <v>22591333</v>
          </cell>
          <cell r="V464">
            <v>11192666</v>
          </cell>
        </row>
        <row r="465">
          <cell r="J465">
            <v>156</v>
          </cell>
          <cell r="K465">
            <v>43118</v>
          </cell>
          <cell r="L465" t="str">
            <v>JOSE GABRIEL MENDOZA SANTOS</v>
          </cell>
          <cell r="M465">
            <v>145</v>
          </cell>
          <cell r="N465" t="str">
            <v>CONTRATO DE PRESTACION DE SERVICIOS PROFESIONALES</v>
          </cell>
          <cell r="O465">
            <v>128</v>
          </cell>
          <cell r="P465">
            <v>43118</v>
          </cell>
          <cell r="Q465" t="str">
            <v>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465">
            <v>37389000</v>
          </cell>
          <cell r="S465">
            <v>0</v>
          </cell>
          <cell r="T465">
            <v>0</v>
          </cell>
          <cell r="U465">
            <v>37389000</v>
          </cell>
          <cell r="V465">
            <v>18467900</v>
          </cell>
        </row>
        <row r="466">
          <cell r="J466">
            <v>169</v>
          </cell>
          <cell r="K466">
            <v>43118</v>
          </cell>
          <cell r="L466" t="str">
            <v>EDINSON  AGUJA MATOMA</v>
          </cell>
          <cell r="M466">
            <v>148</v>
          </cell>
          <cell r="N466" t="str">
            <v>CONTRATO DE PRESTACION DE SERVICIOS DE APOYO A LA GESTION</v>
          </cell>
          <cell r="O466">
            <v>140</v>
          </cell>
          <cell r="P466">
            <v>43118</v>
          </cell>
          <cell r="Q466" t="str">
            <v>PRESTAR SERVICIOS ASISTENCIALES EN LA GESTIÓN DOCUMENTAL, CAPTURA DE DATOS, INVENTARIO Y MANEJO DEL ARCHIVO FÍSICO, EN CUMPLIMIENTO DE LOS PROCEDIMIENTOS DE LA DIRECCIÓN DE MEJORAMIENTO DE VIVIENDA DE LA CVP.</v>
          </cell>
          <cell r="R466">
            <v>16995000</v>
          </cell>
          <cell r="S466">
            <v>0</v>
          </cell>
          <cell r="T466">
            <v>0</v>
          </cell>
          <cell r="U466">
            <v>16995000</v>
          </cell>
          <cell r="V466">
            <v>8343000</v>
          </cell>
        </row>
        <row r="467">
          <cell r="J467">
            <v>174</v>
          </cell>
          <cell r="K467">
            <v>43118</v>
          </cell>
          <cell r="L467" t="str">
            <v>JUAN PABLO LUGO BOTELLO</v>
          </cell>
          <cell r="M467">
            <v>145</v>
          </cell>
          <cell r="N467" t="str">
            <v>CONTRATO DE PRESTACION DE SERVICIOS PROFESIONALES</v>
          </cell>
          <cell r="O467">
            <v>100</v>
          </cell>
          <cell r="P467">
            <v>43118</v>
          </cell>
          <cell r="Q467" t="str">
            <v>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v>
          </cell>
          <cell r="R467">
            <v>79310000</v>
          </cell>
          <cell r="S467">
            <v>0</v>
          </cell>
          <cell r="T467">
            <v>0</v>
          </cell>
          <cell r="U467">
            <v>79310000</v>
          </cell>
          <cell r="V467">
            <v>39174333</v>
          </cell>
        </row>
        <row r="468">
          <cell r="J468">
            <v>179</v>
          </cell>
          <cell r="K468">
            <v>43118</v>
          </cell>
          <cell r="L468" t="str">
            <v>MONICA VIVIANA CEBALLOS CRIOLLO</v>
          </cell>
          <cell r="M468">
            <v>145</v>
          </cell>
          <cell r="N468" t="str">
            <v>CONTRATO DE PRESTACION DE SERVICIOS PROFESIONALES</v>
          </cell>
          <cell r="O468">
            <v>160</v>
          </cell>
          <cell r="P468">
            <v>43118</v>
          </cell>
          <cell r="Q468" t="str">
            <v>CONTRATAR LOS SERVICIOS PROFESIONALES DE UN COMUNICADOR SOCIAL QUE DESARROLLE LA INFORMACION PERIODISTICA DE LAS AREAS MISIONALES, PARA FORTALECER LOS CANALES DE COMUNICACIÓN INTERNOS Y EXTERNOS DE LA ENTIDAD, CONFORME A LA ESTRATEGIA DE COMUNICACIONES DE LA CAJA DE LA VIVIENDA POPULAR.</v>
          </cell>
          <cell r="R468">
            <v>13850925</v>
          </cell>
          <cell r="S468">
            <v>0</v>
          </cell>
          <cell r="T468">
            <v>0</v>
          </cell>
          <cell r="U468">
            <v>13850925</v>
          </cell>
          <cell r="V468">
            <v>6841519</v>
          </cell>
        </row>
        <row r="469">
          <cell r="J469">
            <v>196</v>
          </cell>
          <cell r="K469">
            <v>43118</v>
          </cell>
          <cell r="L469" t="str">
            <v>LEDYS MARCELA AJIACO AJIACO</v>
          </cell>
          <cell r="M469">
            <v>145</v>
          </cell>
          <cell r="N469" t="str">
            <v>CONTRATO DE PRESTACION DE SERVICIOS PROFESIONALES</v>
          </cell>
          <cell r="O469">
            <v>182</v>
          </cell>
          <cell r="P469">
            <v>43118</v>
          </cell>
          <cell r="Q469" t="str">
            <v>Prestar los servicios profesionales para apoyar el control y evaluación financiera durante la ejecución, avance y cumplimiento del proyecto Mejoramiento de vivienda en sus condiciones físicas y de habitabilidad en los asentamientos humanos priorizados en área urbana y rural.</v>
          </cell>
          <cell r="R469">
            <v>57783000</v>
          </cell>
          <cell r="S469">
            <v>0</v>
          </cell>
          <cell r="T469">
            <v>0</v>
          </cell>
          <cell r="U469">
            <v>57783000</v>
          </cell>
          <cell r="V469">
            <v>28366200</v>
          </cell>
        </row>
        <row r="470">
          <cell r="J470">
            <v>200</v>
          </cell>
          <cell r="K470">
            <v>43118</v>
          </cell>
          <cell r="L470" t="str">
            <v>HECTOR JULIO CASTAÑEDA PULIDO</v>
          </cell>
          <cell r="M470">
            <v>145</v>
          </cell>
          <cell r="N470" t="str">
            <v>CONTRATO DE PRESTACION DE SERVICIOS PROFESIONALES</v>
          </cell>
          <cell r="O470">
            <v>189</v>
          </cell>
          <cell r="P470">
            <v>43118</v>
          </cell>
          <cell r="Q470" t="str">
            <v>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v>
          </cell>
          <cell r="R470">
            <v>45320000</v>
          </cell>
          <cell r="S470">
            <v>0</v>
          </cell>
          <cell r="T470">
            <v>0</v>
          </cell>
          <cell r="U470">
            <v>45320000</v>
          </cell>
          <cell r="V470">
            <v>22248000</v>
          </cell>
        </row>
        <row r="471">
          <cell r="J471">
            <v>211</v>
          </cell>
          <cell r="K471">
            <v>43118</v>
          </cell>
          <cell r="L471" t="str">
            <v>CAROL JINETH PEREZ SALVADOR</v>
          </cell>
          <cell r="M471">
            <v>148</v>
          </cell>
          <cell r="N471" t="str">
            <v>CONTRATO DE PRESTACION DE SERVICIOS DE APOYO A LA GESTION</v>
          </cell>
          <cell r="O471">
            <v>188</v>
          </cell>
          <cell r="P471">
            <v>43118</v>
          </cell>
          <cell r="Q471" t="str">
            <v>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71">
            <v>33423500</v>
          </cell>
          <cell r="S471">
            <v>0</v>
          </cell>
          <cell r="T471">
            <v>0</v>
          </cell>
          <cell r="U471">
            <v>33423500</v>
          </cell>
          <cell r="V471">
            <v>16407900</v>
          </cell>
        </row>
        <row r="472">
          <cell r="J472">
            <v>222</v>
          </cell>
          <cell r="K472">
            <v>43118</v>
          </cell>
          <cell r="L472" t="str">
            <v>EDGAR  GOYENECHE MUÑOZ</v>
          </cell>
          <cell r="M472">
            <v>145</v>
          </cell>
          <cell r="N472" t="str">
            <v>CONTRATO DE PRESTACION DE SERVICIOS PROFESIONALES</v>
          </cell>
          <cell r="O472">
            <v>193</v>
          </cell>
          <cell r="P472">
            <v>43118</v>
          </cell>
          <cell r="Q472" t="str">
            <v>¿Prestación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v>
          </cell>
          <cell r="R472">
            <v>90640000</v>
          </cell>
          <cell r="S472">
            <v>0</v>
          </cell>
          <cell r="T472">
            <v>0</v>
          </cell>
          <cell r="U472">
            <v>90640000</v>
          </cell>
          <cell r="V472">
            <v>44496000</v>
          </cell>
        </row>
        <row r="473">
          <cell r="J473">
            <v>240</v>
          </cell>
          <cell r="K473">
            <v>43119</v>
          </cell>
          <cell r="L473" t="str">
            <v>RONALD  ARCILA MORENO</v>
          </cell>
          <cell r="M473">
            <v>145</v>
          </cell>
          <cell r="N473" t="str">
            <v>CONTRATO DE PRESTACION DE SERVICIOS PROFESIONALES</v>
          </cell>
          <cell r="O473">
            <v>221</v>
          </cell>
          <cell r="P473">
            <v>43119</v>
          </cell>
          <cell r="Q473" t="str">
            <v>Prestación de servicios profesionales para apoyar la estructuración, seguimiento y supervisión de los proyectos asignados por la Dirección de Mejoramiento de Vivienda de la CVP.</v>
          </cell>
          <cell r="R473">
            <v>73645000</v>
          </cell>
          <cell r="S473">
            <v>0</v>
          </cell>
          <cell r="T473">
            <v>0</v>
          </cell>
          <cell r="U473">
            <v>73645000</v>
          </cell>
          <cell r="V473">
            <v>35483500</v>
          </cell>
        </row>
        <row r="474">
          <cell r="J474">
            <v>266</v>
          </cell>
          <cell r="K474">
            <v>43119</v>
          </cell>
          <cell r="L474" t="str">
            <v>OLGA YOLIMA ROJAS RODRIGUEZ</v>
          </cell>
          <cell r="M474">
            <v>145</v>
          </cell>
          <cell r="N474" t="str">
            <v>CONTRATO DE PRESTACION DE SERVICIOS PROFESIONALES</v>
          </cell>
          <cell r="O474">
            <v>236</v>
          </cell>
          <cell r="P474">
            <v>43119</v>
          </cell>
          <cell r="Q474" t="str">
            <v>Prestación de servicios profesionales apoyando la gestión documental, inventario y manejo del archivo físico, en cumplimiento de los procedimientos de la Dirección de Mejoramiento de Vivienda de la CVP</v>
          </cell>
          <cell r="R474">
            <v>67980000</v>
          </cell>
          <cell r="S474">
            <v>0</v>
          </cell>
          <cell r="T474">
            <v>0</v>
          </cell>
          <cell r="U474">
            <v>67980000</v>
          </cell>
          <cell r="V474">
            <v>32548000</v>
          </cell>
        </row>
        <row r="475">
          <cell r="J475">
            <v>279</v>
          </cell>
          <cell r="K475">
            <v>43122</v>
          </cell>
          <cell r="L475" t="str">
            <v>ALEX FERNANDO GONZALEZ VILLANUEVA</v>
          </cell>
          <cell r="M475">
            <v>148</v>
          </cell>
          <cell r="N475" t="str">
            <v>CONTRATO DE PRESTACION DE SERVICIOS DE APOYO A LA GESTION</v>
          </cell>
          <cell r="O475">
            <v>249</v>
          </cell>
          <cell r="P475">
            <v>43122</v>
          </cell>
          <cell r="Q475" t="str">
            <v>Prestación de servicios técnicos para adelantar el soporte técnico y apoyar desde su experticia en la generación, consolidación y divulgación de información estratégica de los proyectos de la DMV, que contribuya a fortalecer los sistemas de información institucionales.</v>
          </cell>
          <cell r="R475">
            <v>21269500</v>
          </cell>
          <cell r="S475">
            <v>0</v>
          </cell>
          <cell r="T475">
            <v>0</v>
          </cell>
          <cell r="U475">
            <v>21269500</v>
          </cell>
          <cell r="V475">
            <v>15901483</v>
          </cell>
        </row>
        <row r="476">
          <cell r="J476">
            <v>284</v>
          </cell>
          <cell r="K476">
            <v>43122</v>
          </cell>
          <cell r="L476" t="str">
            <v>MARTHA BIBIANA ESTUPIÑAN CRUZ</v>
          </cell>
          <cell r="M476">
            <v>145</v>
          </cell>
          <cell r="N476" t="str">
            <v>CONTRATO DE PRESTACION DE SERVICIOS PROFESIONALES</v>
          </cell>
          <cell r="O476">
            <v>254</v>
          </cell>
          <cell r="P476">
            <v>43122</v>
          </cell>
          <cell r="Q476" t="str">
            <v>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v>
          </cell>
          <cell r="R476">
            <v>45320000</v>
          </cell>
          <cell r="S476">
            <v>0</v>
          </cell>
          <cell r="T476">
            <v>0</v>
          </cell>
          <cell r="U476">
            <v>45320000</v>
          </cell>
          <cell r="V476">
            <v>21836000</v>
          </cell>
        </row>
        <row r="477">
          <cell r="J477">
            <v>285</v>
          </cell>
          <cell r="K477">
            <v>43122</v>
          </cell>
          <cell r="L477" t="str">
            <v>ALMA KARINA DE CASTRO MARÍN</v>
          </cell>
          <cell r="M477">
            <v>145</v>
          </cell>
          <cell r="N477" t="str">
            <v>CONTRATO DE PRESTACION DE SERVICIOS PROFESIONALES</v>
          </cell>
          <cell r="O477">
            <v>255</v>
          </cell>
          <cell r="P477">
            <v>43122</v>
          </cell>
          <cell r="Q477" t="str">
            <v>Prestar los servicios profesionales a la Dirección de Mejoramiento de Vivienda, en la proyección de conceptos, revisión de actos administrativos y demás actualizaciones administrativas y jurídicas requeridas, en concordancia con los procesos propios de la Dirección.</v>
          </cell>
          <cell r="R477">
            <v>62315000</v>
          </cell>
          <cell r="S477">
            <v>0</v>
          </cell>
          <cell r="T477">
            <v>0</v>
          </cell>
          <cell r="U477">
            <v>62315000</v>
          </cell>
          <cell r="V477">
            <v>30024500</v>
          </cell>
        </row>
        <row r="478">
          <cell r="J478">
            <v>292</v>
          </cell>
          <cell r="K478">
            <v>43122</v>
          </cell>
          <cell r="L478" t="str">
            <v>JHON CARLOS RINCON AGREDO</v>
          </cell>
          <cell r="M478">
            <v>145</v>
          </cell>
          <cell r="N478" t="str">
            <v>CONTRATO DE PRESTACION DE SERVICIOS PROFESIONALES</v>
          </cell>
          <cell r="O478">
            <v>261</v>
          </cell>
          <cell r="P478">
            <v>43122</v>
          </cell>
          <cell r="Q478" t="str">
            <v>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v>
          </cell>
          <cell r="R478">
            <v>9772125</v>
          </cell>
          <cell r="S478">
            <v>0</v>
          </cell>
          <cell r="T478">
            <v>0</v>
          </cell>
          <cell r="U478">
            <v>9772125</v>
          </cell>
          <cell r="V478">
            <v>4708387</v>
          </cell>
        </row>
        <row r="479">
          <cell r="J479">
            <v>306</v>
          </cell>
          <cell r="K479">
            <v>43122</v>
          </cell>
          <cell r="L479" t="str">
            <v>DIANA MARCELA ORDUZ VALBUENA</v>
          </cell>
          <cell r="M479">
            <v>145</v>
          </cell>
          <cell r="N479" t="str">
            <v>CONTRATO DE PRESTACION DE SERVICIOS PROFESIONALES</v>
          </cell>
          <cell r="O479">
            <v>279</v>
          </cell>
          <cell r="P479">
            <v>43122</v>
          </cell>
          <cell r="Q479" t="str">
            <v>Prestación de servicios profesionales para apoyar la estructuración, seguimiento y supervisión de los proyectos asignados por la Dirección de Mejoramiento de Vivienda de la CVP.</v>
          </cell>
          <cell r="R479">
            <v>90640000</v>
          </cell>
          <cell r="S479">
            <v>0</v>
          </cell>
          <cell r="T479">
            <v>0</v>
          </cell>
          <cell r="U479">
            <v>90640000</v>
          </cell>
          <cell r="V479">
            <v>43397333</v>
          </cell>
        </row>
        <row r="480">
          <cell r="J480">
            <v>323</v>
          </cell>
          <cell r="K480">
            <v>43123</v>
          </cell>
          <cell r="L480" t="str">
            <v>MARIA JULIANA CABELLO CERVANTES</v>
          </cell>
          <cell r="M480">
            <v>148</v>
          </cell>
          <cell r="N480" t="str">
            <v>CONTRATO DE PRESTACION DE SERVICIOS DE APOYO A LA GESTION</v>
          </cell>
          <cell r="O480">
            <v>284</v>
          </cell>
          <cell r="P480">
            <v>43123</v>
          </cell>
          <cell r="Q480" t="str">
            <v>PRESTACIÓN DE SERVICIOS TÉCNICOS RELACIONADOS CON LA ELABORACIÓN DE LEVANTAMIENTOS ARQUITECTÓNICOS, PLANOS URBANISTICOS, ARQUITECTONICOS,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80">
            <v>33423500</v>
          </cell>
          <cell r="S480">
            <v>0</v>
          </cell>
          <cell r="T480">
            <v>0</v>
          </cell>
          <cell r="U480">
            <v>33423500</v>
          </cell>
          <cell r="V480">
            <v>15901483</v>
          </cell>
        </row>
        <row r="481">
          <cell r="J481">
            <v>374</v>
          </cell>
          <cell r="K481">
            <v>43124</v>
          </cell>
          <cell r="L481" t="str">
            <v>FRANCISCO JOSE ARGUELLO ROJAS</v>
          </cell>
          <cell r="M481">
            <v>145</v>
          </cell>
          <cell r="N481" t="str">
            <v>CONTRATO DE PRESTACION DE SERVICIOS PROFESIONALES</v>
          </cell>
          <cell r="O481">
            <v>304</v>
          </cell>
          <cell r="P481">
            <v>43124</v>
          </cell>
          <cell r="Q481" t="str">
            <v>Prestar los servicios profesionales para la planeación, realización y desarrollo de contenidos periodísticos que permitan la difusión y divulgación de la gestión solcial que adelanta la CVP con las comunidades, a través de sus programas misionales.</v>
          </cell>
          <cell r="R481">
            <v>11330000</v>
          </cell>
          <cell r="S481">
            <v>0</v>
          </cell>
          <cell r="T481">
            <v>0</v>
          </cell>
          <cell r="U481">
            <v>11330000</v>
          </cell>
          <cell r="V481">
            <v>5390333</v>
          </cell>
        </row>
        <row r="482">
          <cell r="J482">
            <v>399</v>
          </cell>
          <cell r="K482">
            <v>43124</v>
          </cell>
          <cell r="L482" t="str">
            <v>WENDY JULIETH ROJAS CRUZ</v>
          </cell>
          <cell r="M482">
            <v>148</v>
          </cell>
          <cell r="N482" t="str">
            <v>CONTRATO DE PRESTACION DE SERVICIOS DE APOYO A LA GESTION</v>
          </cell>
          <cell r="O482">
            <v>320</v>
          </cell>
          <cell r="P482">
            <v>43124</v>
          </cell>
          <cell r="Q482" t="str">
            <v>Prestación de servicios técnicos de apoyo a la gestión documental, inventario y manejo del archivo físico, en cumplimiento de los procedimientos de la Dirección de Mejoramiento de Vivienda de la CVP.</v>
          </cell>
          <cell r="R482">
            <v>27192000</v>
          </cell>
          <cell r="S482">
            <v>0</v>
          </cell>
          <cell r="T482">
            <v>0</v>
          </cell>
          <cell r="U482">
            <v>27192000</v>
          </cell>
          <cell r="V482">
            <v>12936800</v>
          </cell>
        </row>
        <row r="483">
          <cell r="J483">
            <v>416</v>
          </cell>
          <cell r="K483">
            <v>43124</v>
          </cell>
          <cell r="L483" t="str">
            <v>JOSE ANDRES ACUÑA VIVAS</v>
          </cell>
          <cell r="M483">
            <v>148</v>
          </cell>
          <cell r="N483" t="str">
            <v>CONTRATO DE PRESTACION DE SERVICIOS DE APOYO A LA GESTION</v>
          </cell>
          <cell r="O483">
            <v>337</v>
          </cell>
          <cell r="P483">
            <v>43124</v>
          </cell>
          <cell r="Q483" t="str">
            <v>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83">
            <v>33423500</v>
          </cell>
          <cell r="S483">
            <v>0</v>
          </cell>
          <cell r="T483">
            <v>0</v>
          </cell>
          <cell r="U483">
            <v>33423500</v>
          </cell>
          <cell r="V483">
            <v>15800200</v>
          </cell>
        </row>
        <row r="484">
          <cell r="J484">
            <v>434</v>
          </cell>
          <cell r="K484">
            <v>43124</v>
          </cell>
          <cell r="L484" t="str">
            <v>FERNANDO ENRIQUE OROZCO VARGAS</v>
          </cell>
          <cell r="M484">
            <v>145</v>
          </cell>
          <cell r="N484" t="str">
            <v>CONTRATO DE PRESTACION DE SERVICIOS PROFESIONALES</v>
          </cell>
          <cell r="O484">
            <v>317</v>
          </cell>
          <cell r="P484">
            <v>43124</v>
          </cell>
          <cell r="Q484" t="str">
            <v>Adición y Prórroga al contrato 317,  cuyo objeto es: "Prestar los servicios profesionales para apoyar y acompañar en el proceso de Supervisión de Interventoría de Obras de la Dirección de Mejoramiento de Vivienda, asesorando de acuerdo a la normatividad vigente y planeando alternativas técnicas para su desarrollo.</v>
          </cell>
          <cell r="R484">
            <v>47600000</v>
          </cell>
          <cell r="S484">
            <v>0</v>
          </cell>
          <cell r="T484">
            <v>0</v>
          </cell>
          <cell r="U484">
            <v>47600000</v>
          </cell>
          <cell r="V484">
            <v>47600000</v>
          </cell>
        </row>
        <row r="485">
          <cell r="J485">
            <v>467</v>
          </cell>
          <cell r="K485">
            <v>43126</v>
          </cell>
          <cell r="L485" t="str">
            <v>JAVIER  BENITEZ BARAJAS</v>
          </cell>
          <cell r="M485">
            <v>145</v>
          </cell>
          <cell r="N485" t="str">
            <v>CONTRATO DE PRESTACION DE SERVICIOS PROFESIONALES</v>
          </cell>
          <cell r="O485">
            <v>394</v>
          </cell>
          <cell r="P485">
            <v>43126</v>
          </cell>
          <cell r="Q485" t="str">
            <v>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85">
            <v>27192000</v>
          </cell>
          <cell r="S485">
            <v>0</v>
          </cell>
          <cell r="T485">
            <v>0</v>
          </cell>
          <cell r="U485">
            <v>27192000</v>
          </cell>
          <cell r="V485">
            <v>17561500</v>
          </cell>
        </row>
        <row r="486">
          <cell r="J486">
            <v>470</v>
          </cell>
          <cell r="K486">
            <v>43126</v>
          </cell>
          <cell r="L486" t="str">
            <v>WILLIAM ALEXANDER GUTIERREZ GUTIERREZ</v>
          </cell>
          <cell r="M486">
            <v>148</v>
          </cell>
          <cell r="N486" t="str">
            <v>CONTRATO DE PRESTACION DE SERVICIOS DE APOYO A LA GESTION</v>
          </cell>
          <cell r="O486">
            <v>397</v>
          </cell>
          <cell r="P486">
            <v>43126</v>
          </cell>
          <cell r="Q486" t="str">
            <v>PRESTAR LOS SERVICIOS TÉCNICOS A LA DIRECCIÓN DE MEJORAMIENTO DE VIVIENDA, EN LA PROYECCIÓN DE CONCEPTOS, REVISIÓN DE ACTOS ADMINISTRATIVOS Y DEMÁS ACTUALIZACIONES ADMINISTRATIVAS Y JURÍDICAS REQUERIDAS, EN CONCORDANCIA CON LOS PROCESOS PROPIOS DE LA DIRECCIÓN.</v>
          </cell>
          <cell r="R486">
            <v>19776000</v>
          </cell>
          <cell r="S486">
            <v>0</v>
          </cell>
          <cell r="T486">
            <v>0</v>
          </cell>
          <cell r="U486">
            <v>19776000</v>
          </cell>
          <cell r="V486">
            <v>12772000</v>
          </cell>
        </row>
        <row r="487">
          <cell r="J487">
            <v>472</v>
          </cell>
          <cell r="K487">
            <v>43126</v>
          </cell>
          <cell r="L487" t="str">
            <v>FABIO ANDRES MORALES CLEVES</v>
          </cell>
          <cell r="M487">
            <v>148</v>
          </cell>
          <cell r="N487" t="str">
            <v>CONTRATO DE PRESTACION DE SERVICIOS DE APOYO A LA GESTION</v>
          </cell>
          <cell r="O487">
            <v>398</v>
          </cell>
          <cell r="P487">
            <v>43126</v>
          </cell>
          <cell r="Q487" t="str">
            <v>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v>
          </cell>
          <cell r="R487">
            <v>21269500</v>
          </cell>
          <cell r="S487">
            <v>0</v>
          </cell>
          <cell r="T487">
            <v>0</v>
          </cell>
          <cell r="U487">
            <v>21269500</v>
          </cell>
          <cell r="V487">
            <v>15698917</v>
          </cell>
        </row>
        <row r="488">
          <cell r="J488">
            <v>649</v>
          </cell>
          <cell r="K488">
            <v>43133</v>
          </cell>
          <cell r="L488" t="str">
            <v>GIOVANNI  QUIROGA BERMUDEZ</v>
          </cell>
          <cell r="M488">
            <v>145</v>
          </cell>
          <cell r="N488" t="str">
            <v>CONTRATO DE PRESTACION DE SERVICIOS PROFESIONALES</v>
          </cell>
          <cell r="O488">
            <v>348</v>
          </cell>
          <cell r="P488">
            <v>43133</v>
          </cell>
          <cell r="Q488" t="str">
            <v>Adición y prórroga al contrato 348 cuyo objeto es: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488">
            <v>25500000</v>
          </cell>
          <cell r="S488">
            <v>25500000</v>
          </cell>
          <cell r="T488">
            <v>0</v>
          </cell>
          <cell r="U488">
            <v>0</v>
          </cell>
          <cell r="V488">
            <v>0</v>
          </cell>
        </row>
        <row r="489">
          <cell r="J489">
            <v>650</v>
          </cell>
          <cell r="K489">
            <v>43133</v>
          </cell>
          <cell r="L489" t="str">
            <v>GIOVANNI  QUIROGA BERMUDEZ</v>
          </cell>
          <cell r="M489">
            <v>145</v>
          </cell>
          <cell r="N489" t="str">
            <v>CONTRATO DE PRESTACION DE SERVICIOS PROFESIONALES</v>
          </cell>
          <cell r="O489">
            <v>348</v>
          </cell>
          <cell r="P489">
            <v>43133</v>
          </cell>
          <cell r="Q489" t="str">
            <v>ADICIÓN Y PRÓRROGA AL CONTRATO 348 DE 2017 CUYO OBJETO ES: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489">
            <v>25500000</v>
          </cell>
          <cell r="S489">
            <v>0</v>
          </cell>
          <cell r="T489">
            <v>0</v>
          </cell>
          <cell r="U489">
            <v>25500000</v>
          </cell>
          <cell r="V489">
            <v>24820000</v>
          </cell>
        </row>
        <row r="490">
          <cell r="J490">
            <v>723</v>
          </cell>
          <cell r="K490">
            <v>43136</v>
          </cell>
          <cell r="L490" t="str">
            <v>POSITIVA COMPAÑIA DE SEGUROS SA</v>
          </cell>
          <cell r="M490">
            <v>30</v>
          </cell>
          <cell r="N490" t="str">
            <v>ORDEN DE PRESTACION DE SERVICIOS</v>
          </cell>
          <cell r="O490">
            <v>2</v>
          </cell>
          <cell r="P490">
            <v>43136</v>
          </cell>
          <cell r="Q490"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 MES DE FEBRERO 2018</v>
          </cell>
          <cell r="R490">
            <v>297900</v>
          </cell>
          <cell r="S490">
            <v>0</v>
          </cell>
          <cell r="T490">
            <v>0</v>
          </cell>
          <cell r="U490">
            <v>297900</v>
          </cell>
          <cell r="V490">
            <v>297900</v>
          </cell>
        </row>
        <row r="491">
          <cell r="J491">
            <v>1540</v>
          </cell>
          <cell r="K491">
            <v>43165</v>
          </cell>
          <cell r="L491" t="str">
            <v>POSITIVA COMPAÑIA DE SEGUROS SA</v>
          </cell>
          <cell r="M491">
            <v>30</v>
          </cell>
          <cell r="N491" t="str">
            <v>ORDEN DE PRESTACION DE SERVICIOS</v>
          </cell>
          <cell r="O491">
            <v>3</v>
          </cell>
          <cell r="P491">
            <v>43165</v>
          </cell>
          <cell r="Q491"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 MES DE MARZO DE 2018</v>
          </cell>
          <cell r="R491">
            <v>929100</v>
          </cell>
          <cell r="S491">
            <v>0</v>
          </cell>
          <cell r="T491">
            <v>0</v>
          </cell>
          <cell r="U491">
            <v>929100</v>
          </cell>
          <cell r="V491">
            <v>929100</v>
          </cell>
        </row>
        <row r="492">
          <cell r="J492">
            <v>1666</v>
          </cell>
          <cell r="K492">
            <v>43194</v>
          </cell>
          <cell r="L492" t="str">
            <v>POSITIVA COMPAÑIA DE SEGUROS SA</v>
          </cell>
          <cell r="M492">
            <v>30</v>
          </cell>
          <cell r="N492" t="str">
            <v>ORDEN DE PRESTACION DE SERVICIOS</v>
          </cell>
          <cell r="O492">
            <v>4</v>
          </cell>
          <cell r="P492">
            <v>43194</v>
          </cell>
          <cell r="Q492"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  MES DE ABRIL DE 2018</v>
          </cell>
          <cell r="R492">
            <v>929100</v>
          </cell>
          <cell r="S492">
            <v>0</v>
          </cell>
          <cell r="T492">
            <v>0</v>
          </cell>
          <cell r="U492">
            <v>929100</v>
          </cell>
          <cell r="V492">
            <v>929100</v>
          </cell>
        </row>
        <row r="493">
          <cell r="J493">
            <v>1776</v>
          </cell>
          <cell r="K493">
            <v>43202</v>
          </cell>
          <cell r="L493" t="str">
            <v>MARITZA  FONTECHA OTALORA</v>
          </cell>
          <cell r="M493">
            <v>148</v>
          </cell>
          <cell r="N493" t="str">
            <v>CONTRATO DE PRESTACION DE SERVICIOS DE APOYO A LA GESTION</v>
          </cell>
          <cell r="O493">
            <v>145</v>
          </cell>
          <cell r="P493">
            <v>43202</v>
          </cell>
          <cell r="Q493" t="str">
            <v>Adición y Prórroga al contrato 145, cuyo objeto es: "Prestar servicios asistenciales en la Gestión Documental, captura de datos, inventario y manejo de archivo físico, en cumplimiento de los procedimientos de la Dirección de Mejoramiento de Vivienda de la CVP".</v>
          </cell>
          <cell r="R493">
            <v>3000000</v>
          </cell>
          <cell r="S493">
            <v>0</v>
          </cell>
          <cell r="T493">
            <v>0</v>
          </cell>
          <cell r="U493">
            <v>3000000</v>
          </cell>
          <cell r="V493">
            <v>2750000</v>
          </cell>
        </row>
        <row r="494">
          <cell r="J494">
            <v>1856</v>
          </cell>
          <cell r="K494">
            <v>43224</v>
          </cell>
          <cell r="L494" t="str">
            <v>POSITIVA COMPAÑIA DE SEGUROS SA</v>
          </cell>
          <cell r="M494">
            <v>30</v>
          </cell>
          <cell r="N494" t="str">
            <v>ORDEN DE PRESTACION DE SERVICIOS</v>
          </cell>
          <cell r="O494">
            <v>5</v>
          </cell>
          <cell r="P494">
            <v>43224</v>
          </cell>
          <cell r="Q494"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v>
          </cell>
          <cell r="R494">
            <v>929100</v>
          </cell>
          <cell r="S494">
            <v>0</v>
          </cell>
          <cell r="T494">
            <v>0</v>
          </cell>
          <cell r="U494">
            <v>929100</v>
          </cell>
          <cell r="V494">
            <v>929100</v>
          </cell>
        </row>
        <row r="495">
          <cell r="J495">
            <v>1990</v>
          </cell>
          <cell r="K495">
            <v>43252</v>
          </cell>
          <cell r="L495" t="str">
            <v>MONICA IVONNE ALBA CHAPARRO</v>
          </cell>
          <cell r="M495">
            <v>145</v>
          </cell>
          <cell r="N495" t="str">
            <v>CONTRATO DE PRESTACION DE SERVICIOS PROFESIONALES</v>
          </cell>
          <cell r="O495">
            <v>654</v>
          </cell>
          <cell r="P495">
            <v>43221</v>
          </cell>
          <cell r="Q495" t="str">
            <v>ADICIÓN Y PRÓRROGA AL CONTRATO 654 DE 2017, CUYO OBJETO ES: PRESTAR LOS SERVICIOS PROFESIONALES PARA APOYAR DESDE EL COMPONENTE DE SISTEMATIZACIÓN,  LA EJECUCIÓN DE ACTIVIDADES ASOCIADAS A LA ESTRUCTURACIÓN DE PROYECTOS DEL SUBSIDIO DISTRITAL PARA EL MEJORAMIENTO DE VIVIENDA.</v>
          </cell>
          <cell r="R495">
            <v>5175000</v>
          </cell>
          <cell r="S495">
            <v>0</v>
          </cell>
          <cell r="T495">
            <v>0</v>
          </cell>
          <cell r="U495">
            <v>5175000</v>
          </cell>
          <cell r="V495">
            <v>3105000</v>
          </cell>
        </row>
        <row r="496">
          <cell r="J496">
            <v>1994</v>
          </cell>
          <cell r="K496">
            <v>43256</v>
          </cell>
          <cell r="L496" t="str">
            <v>MARCO FERNANDO NUÑEZ JIMENEZ</v>
          </cell>
          <cell r="M496">
            <v>148</v>
          </cell>
          <cell r="N496" t="str">
            <v>CONTRATO DE PRESTACION DE SERVICIOS DE APOYO A LA GESTION</v>
          </cell>
          <cell r="O496">
            <v>667</v>
          </cell>
          <cell r="P496">
            <v>43256</v>
          </cell>
          <cell r="Q496" t="str">
            <v>Adición y Prórroga al contrato 667 de 2017, cuyo objeto es: ¿Prestar los servicios para apoyar en el manejo documental,  la ejecución de actividades asociadas a la estructuración de proyectos del subsidio distrital para el mejoramiento de vivienda¿</v>
          </cell>
          <cell r="R496">
            <v>2550000</v>
          </cell>
          <cell r="S496">
            <v>0</v>
          </cell>
          <cell r="T496">
            <v>0</v>
          </cell>
          <cell r="U496">
            <v>2550000</v>
          </cell>
          <cell r="V496">
            <v>1473333</v>
          </cell>
        </row>
        <row r="497">
          <cell r="J497">
            <v>1995</v>
          </cell>
          <cell r="K497">
            <v>43256</v>
          </cell>
          <cell r="L497" t="str">
            <v>LUIS ORLANDO TORRES ROMERO</v>
          </cell>
          <cell r="M497">
            <v>148</v>
          </cell>
          <cell r="N497" t="str">
            <v>CONTRATO DE PRESTACION DE SERVICIOS DE APOYO A LA GESTION</v>
          </cell>
          <cell r="O497">
            <v>653</v>
          </cell>
          <cell r="P497">
            <v>43256</v>
          </cell>
          <cell r="Q497" t="str">
            <v>Adición y Prórroga al contrato 653 de 2017 cuyo objeto es: ¿Prestar los servicios para apoyar en el manejo documental,  la ejecución de actividades asociadas a la estructuración de proyectos del subsidio distrital para el mejoramiento de vivienda¿</v>
          </cell>
          <cell r="R497">
            <v>2550000</v>
          </cell>
          <cell r="S497">
            <v>0</v>
          </cell>
          <cell r="T497">
            <v>0</v>
          </cell>
          <cell r="U497">
            <v>2550000</v>
          </cell>
          <cell r="V497">
            <v>1530000</v>
          </cell>
        </row>
        <row r="498">
          <cell r="J498">
            <v>2005</v>
          </cell>
          <cell r="K498">
            <v>43257</v>
          </cell>
          <cell r="L498" t="str">
            <v>POSITIVA COMPAÑIA DE SEGUROS SA</v>
          </cell>
          <cell r="M498">
            <v>30</v>
          </cell>
          <cell r="N498" t="str">
            <v>ORDEN DE PRESTACION DE SERVICIOS</v>
          </cell>
          <cell r="O498">
            <v>6</v>
          </cell>
          <cell r="P498">
            <v>43257</v>
          </cell>
          <cell r="Q498"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 MES JUNIO DE 2018</v>
          </cell>
          <cell r="R498">
            <v>929100</v>
          </cell>
          <cell r="S498">
            <v>0</v>
          </cell>
          <cell r="T498">
            <v>0</v>
          </cell>
          <cell r="U498">
            <v>929100</v>
          </cell>
          <cell r="V498">
            <v>929100</v>
          </cell>
        </row>
        <row r="499">
          <cell r="J499">
            <v>2426</v>
          </cell>
          <cell r="K499">
            <v>43285</v>
          </cell>
          <cell r="L499" t="str">
            <v>POSITIVA COMPAÑIA DE SEGUROS SA</v>
          </cell>
          <cell r="M499">
            <v>30</v>
          </cell>
          <cell r="N499" t="str">
            <v>ORDEN DE PRESTACION DE SERVICIOS</v>
          </cell>
          <cell r="O499">
            <v>7</v>
          </cell>
          <cell r="P499">
            <v>43285</v>
          </cell>
          <cell r="Q499" t="str">
            <v>PAGO DE COTIZACIÓN AL SISTEMA GENERAL DE RIESGOS LABORALES DE LAS PERSONAS VINCULADAS A TRAVÉS DE UN CONTRATO DE PRESTACIÓN DE SERVICIOS CON LA CAJA DE LA VIVIENDA POPULAR QUE LABORAN EN ACTIVIDADES DE ALTO RIESGO, SEGÚN LO DISPUESTO EN EL ARTÍCULO 13 DEL DECRETO 723 DE 2013.  CORRESPONDIENTE AL MES DE JULIO.</v>
          </cell>
          <cell r="R499">
            <v>929100</v>
          </cell>
          <cell r="S499">
            <v>0</v>
          </cell>
          <cell r="T499">
            <v>0</v>
          </cell>
          <cell r="U499">
            <v>929100</v>
          </cell>
          <cell r="V499">
            <v>929100</v>
          </cell>
        </row>
        <row r="500">
          <cell r="J500">
            <v>2512</v>
          </cell>
          <cell r="K500">
            <v>43300</v>
          </cell>
          <cell r="L500" t="str">
            <v>VIVIANA  RODRIGUEZ MELO</v>
          </cell>
          <cell r="M500">
            <v>148</v>
          </cell>
          <cell r="N500" t="str">
            <v>CONTRATO DE PRESTACION DE SERVICIOS DE APOYO A LA GESTION</v>
          </cell>
          <cell r="O500">
            <v>449</v>
          </cell>
          <cell r="P500">
            <v>43300</v>
          </cell>
          <cell r="Q500" t="str">
            <v>Prestar servicios asistenciales en la Gestión Documental, captura de datos, inventario y manejo de archivo físico, en cumplimiento de los procedimientos de la Dirección de Mejoramiento de Vivienda de la CVP.</v>
          </cell>
          <cell r="R500">
            <v>7725000</v>
          </cell>
          <cell r="S500">
            <v>0</v>
          </cell>
          <cell r="T500">
            <v>0</v>
          </cell>
          <cell r="U500">
            <v>7725000</v>
          </cell>
          <cell r="V500">
            <v>0</v>
          </cell>
        </row>
        <row r="501">
          <cell r="J501">
            <v>2519</v>
          </cell>
          <cell r="K501">
            <v>43304</v>
          </cell>
          <cell r="L501" t="str">
            <v>DIEGO HERNAN CALDERON URREGO</v>
          </cell>
          <cell r="M501">
            <v>145</v>
          </cell>
          <cell r="N501" t="str">
            <v>CONTRATO DE PRESTACION DE SERVICIOS PROFESIONALES</v>
          </cell>
          <cell r="O501">
            <v>451</v>
          </cell>
          <cell r="P501">
            <v>43304</v>
          </cell>
          <cell r="Q501" t="str">
            <v>Prestar los servicios profesionales para apoyar desde el componente social,  la ejecución de actividades asociadas a la estructuración de proyectos del subsidio distrital para el mejoramiento de vivienda.</v>
          </cell>
          <cell r="R501">
            <v>19261000</v>
          </cell>
          <cell r="S501">
            <v>0</v>
          </cell>
          <cell r="T501">
            <v>0</v>
          </cell>
          <cell r="U501">
            <v>19261000</v>
          </cell>
          <cell r="V501">
            <v>0</v>
          </cell>
        </row>
        <row r="502">
          <cell r="J502">
            <v>2533</v>
          </cell>
          <cell r="K502">
            <v>43305</v>
          </cell>
          <cell r="L502" t="str">
            <v>MARIA CAMILA SANCHEZ SAMPER</v>
          </cell>
          <cell r="M502">
            <v>145</v>
          </cell>
          <cell r="N502" t="str">
            <v>CONTRATO DE PRESTACION DE SERVICIOS PROFESIONALES</v>
          </cell>
          <cell r="O502">
            <v>457</v>
          </cell>
          <cell r="P502">
            <v>43308</v>
          </cell>
          <cell r="Q502" t="str">
            <v>Prestar los servicios profesionales para apoyar la gestión de campo con componente técnico, para la ejecución de actividades  durante la ejecución de todo el proceso de estructuración de proyectos que optan por el subsidio distrital de vivienda en especie.</v>
          </cell>
          <cell r="R502">
            <v>17767500</v>
          </cell>
          <cell r="S502">
            <v>0</v>
          </cell>
          <cell r="T502">
            <v>0</v>
          </cell>
          <cell r="U502">
            <v>17767500</v>
          </cell>
          <cell r="V502">
            <v>0</v>
          </cell>
        </row>
        <row r="503">
          <cell r="J503">
            <v>2535</v>
          </cell>
          <cell r="K503">
            <v>43305</v>
          </cell>
          <cell r="L503" t="str">
            <v>DIEGO FERNANDO CALDAS TRIANA</v>
          </cell>
          <cell r="M503">
            <v>148</v>
          </cell>
          <cell r="N503" t="str">
            <v>CONTRATO DE PRESTACION DE SERVICIOS DE APOYO A LA GESTION</v>
          </cell>
          <cell r="O503">
            <v>458</v>
          </cell>
          <cell r="P503">
            <v>43305</v>
          </cell>
          <cell r="Q503" t="str">
            <v>PRESTAR LOS SERVICIOS PARA APOYAR DESDE EL COMPONENTE DE SISTEMATIZACIÓN,  LA EJECUCIÓN DE ACTIVIDADES ASOCIADAS A LA ESTRUCTURACIÓN DE PROYECTOS DEL SUBSIDIO DISTRITAL PARA EL MEJORAMIENTO DE VIVIENDA.</v>
          </cell>
          <cell r="R503">
            <v>12360000</v>
          </cell>
          <cell r="S503">
            <v>0</v>
          </cell>
          <cell r="T503">
            <v>0</v>
          </cell>
          <cell r="U503">
            <v>12360000</v>
          </cell>
          <cell r="V503">
            <v>0</v>
          </cell>
        </row>
        <row r="504">
          <cell r="J504">
            <v>2536</v>
          </cell>
          <cell r="K504">
            <v>43305</v>
          </cell>
          <cell r="L504" t="str">
            <v>DAVID  ARREAZA MORENO</v>
          </cell>
          <cell r="M504">
            <v>145</v>
          </cell>
          <cell r="N504" t="str">
            <v>CONTRATO DE PRESTACION DE SERVICIOS PROFESIONALES</v>
          </cell>
          <cell r="O504">
            <v>459</v>
          </cell>
          <cell r="P504">
            <v>43305</v>
          </cell>
          <cell r="Q504" t="str">
            <v>Prestar los servicios profesionales para apoyar desde el componente social,  la ejecución de actividades asociadas a la estructuración de proyectos del subsidio distrital para el mejoramiento de vivienda.</v>
          </cell>
          <cell r="R504">
            <v>20600000</v>
          </cell>
          <cell r="S504">
            <v>0</v>
          </cell>
          <cell r="T504">
            <v>0</v>
          </cell>
          <cell r="U504">
            <v>20600000</v>
          </cell>
          <cell r="V504">
            <v>0</v>
          </cell>
        </row>
        <row r="505">
          <cell r="J505">
            <v>2537</v>
          </cell>
          <cell r="K505">
            <v>43305</v>
          </cell>
          <cell r="L505" t="str">
            <v>DIANA MARCELA GALVEZ SUAREZ</v>
          </cell>
          <cell r="M505">
            <v>145</v>
          </cell>
          <cell r="N505" t="str">
            <v>CONTRATO DE PRESTACION DE SERVICIOS PROFESIONALES</v>
          </cell>
          <cell r="O505">
            <v>453</v>
          </cell>
          <cell r="P505">
            <v>43305</v>
          </cell>
          <cell r="Q505" t="str">
            <v>Prestar los servicios profesionales para apoyar desde el componente jurídico, la ejecución de actividades asociadas a la estructuración de proyectos del subsidio distrital para el mejoramiento de vivienda.</v>
          </cell>
          <cell r="R505">
            <v>26265000</v>
          </cell>
          <cell r="S505">
            <v>0</v>
          </cell>
          <cell r="T505">
            <v>0</v>
          </cell>
          <cell r="U505">
            <v>26265000</v>
          </cell>
          <cell r="V505">
            <v>0</v>
          </cell>
        </row>
        <row r="506">
          <cell r="J506">
            <v>2538</v>
          </cell>
          <cell r="K506">
            <v>43305</v>
          </cell>
          <cell r="L506" t="str">
            <v>LINA MARIA SAZIPA MORENO</v>
          </cell>
          <cell r="M506">
            <v>145</v>
          </cell>
          <cell r="N506" t="str">
            <v>CONTRATO DE PRESTACION DE SERVICIOS PROFESIONALES</v>
          </cell>
          <cell r="O506">
            <v>454</v>
          </cell>
          <cell r="P506">
            <v>43305</v>
          </cell>
          <cell r="Q506" t="str">
            <v>Prestar los servicios profesionales para apoyar la gestión de campo con componente técnico, para la ejecución de actividades  durante la ejecución de todo el proceso de estructuración de proyectos que optan por el subsidio distrital de vivienda en especie.</v>
          </cell>
          <cell r="R506">
            <v>16995000</v>
          </cell>
          <cell r="S506">
            <v>0</v>
          </cell>
          <cell r="T506">
            <v>0</v>
          </cell>
          <cell r="U506">
            <v>16995000</v>
          </cell>
          <cell r="V506">
            <v>0</v>
          </cell>
        </row>
        <row r="507">
          <cell r="J507">
            <v>2539</v>
          </cell>
          <cell r="K507">
            <v>43305</v>
          </cell>
          <cell r="L507" t="str">
            <v>NINI JOHANNA HERNANDEZ GALINDO</v>
          </cell>
          <cell r="M507">
            <v>148</v>
          </cell>
          <cell r="N507" t="str">
            <v>CONTRATO DE PRESTACION DE SERVICIOS DE APOYO A LA GESTION</v>
          </cell>
          <cell r="O507">
            <v>456</v>
          </cell>
          <cell r="P507">
            <v>43305</v>
          </cell>
          <cell r="Q507" t="str">
            <v xml:space="preserve">Prestar los servicios para apoyar en el manejo documental,  la ejecución de actividades asociadas a la estructuración de proyectos del subsidio distrital para el mejoramiento de vivienda. </v>
          </cell>
          <cell r="R507">
            <v>8755000</v>
          </cell>
          <cell r="S507">
            <v>0</v>
          </cell>
          <cell r="T507">
            <v>0</v>
          </cell>
          <cell r="U507">
            <v>8755000</v>
          </cell>
          <cell r="V507">
            <v>0</v>
          </cell>
        </row>
        <row r="508">
          <cell r="J508">
            <v>2542</v>
          </cell>
          <cell r="K508">
            <v>43305</v>
          </cell>
          <cell r="L508" t="str">
            <v>JAIME ANDRES SAAVEDRA PRIETO</v>
          </cell>
          <cell r="M508">
            <v>145</v>
          </cell>
          <cell r="N508" t="str">
            <v>CONTRATO DE PRESTACION DE SERVICIOS PROFESIONALES</v>
          </cell>
          <cell r="O508">
            <v>450</v>
          </cell>
          <cell r="P508">
            <v>43305</v>
          </cell>
          <cell r="Q508" t="str">
            <v>Prestar los servicios profesionales para apoyar desde el componente social,  la ejecución de actividades asociadas a la estructuración de proyectos del subsidio distrital para el mejoramiento de vivienda.</v>
          </cell>
          <cell r="R508">
            <v>16955000</v>
          </cell>
          <cell r="S508">
            <v>0</v>
          </cell>
          <cell r="T508">
            <v>0</v>
          </cell>
          <cell r="U508">
            <v>16955000</v>
          </cell>
          <cell r="V508">
            <v>0</v>
          </cell>
        </row>
        <row r="509">
          <cell r="J509">
            <v>2544</v>
          </cell>
          <cell r="K509">
            <v>43307</v>
          </cell>
          <cell r="L509" t="str">
            <v>GIORDY HERNEY CADENA MORENO</v>
          </cell>
          <cell r="M509">
            <v>148</v>
          </cell>
          <cell r="N509" t="str">
            <v>CONTRATO DE PRESTACION DE SERVICIOS DE APOYO A LA GESTION</v>
          </cell>
          <cell r="O509">
            <v>461</v>
          </cell>
          <cell r="P509">
            <v>43307</v>
          </cell>
          <cell r="Q509" t="str">
            <v>PRESTAR LOS SERVICIOS PARA APOYAR DESDE EL COMPONENTE DE SISTEMATIZACIÓN,  LA EJECUCIÓN DE ACTIVIDADES ASOCIADAS A LA ESTRUCTURACIÓN DE PROYECTOS DEL SUBSIDIO DISTRITAL PARA EL MEJORAMIENTO DE VIVIENDA.</v>
          </cell>
          <cell r="R509">
            <v>12360000</v>
          </cell>
          <cell r="S509">
            <v>0</v>
          </cell>
          <cell r="T509">
            <v>0</v>
          </cell>
          <cell r="U509">
            <v>12360000</v>
          </cell>
          <cell r="V509">
            <v>0</v>
          </cell>
        </row>
        <row r="510">
          <cell r="J510">
            <v>2545</v>
          </cell>
          <cell r="K510">
            <v>43308</v>
          </cell>
          <cell r="L510" t="str">
            <v>MARIA ALEJANDRA SIERRA CALDERON</v>
          </cell>
          <cell r="M510">
            <v>145</v>
          </cell>
          <cell r="N510" t="str">
            <v>CONTRATO DE PRESTACION DE SERVICIOS PROFESIONALES</v>
          </cell>
          <cell r="O510">
            <v>464</v>
          </cell>
          <cell r="P510">
            <v>43308</v>
          </cell>
          <cell r="Q510" t="str">
            <v>Prestar los servicios profesionales para apoyar la gestión de campo con componente técnico, para la ejecución de actividades  durante la ejecución de todo el proceso de estructuración de proyectos que optan por el subsidio distrital de vivienda en especie.</v>
          </cell>
          <cell r="R510">
            <v>16995000</v>
          </cell>
          <cell r="S510">
            <v>0</v>
          </cell>
          <cell r="T510">
            <v>0</v>
          </cell>
          <cell r="U510">
            <v>16995000</v>
          </cell>
          <cell r="V510">
            <v>0</v>
          </cell>
        </row>
        <row r="511">
          <cell r="J511">
            <v>2547</v>
          </cell>
          <cell r="K511">
            <v>43308</v>
          </cell>
          <cell r="L511" t="str">
            <v>GINA ROCIO QUITIAN LEGUIZAMO</v>
          </cell>
          <cell r="M511">
            <v>148</v>
          </cell>
          <cell r="N511" t="str">
            <v>CONTRATO DE PRESTACION DE SERVICIOS DE APOYO A LA GESTION</v>
          </cell>
          <cell r="O511">
            <v>470</v>
          </cell>
          <cell r="P511">
            <v>43308</v>
          </cell>
          <cell r="Q511" t="str">
            <v>Prestar los servicios para apoyar desde el componente de sistematización,  la ejecución de actividades asociadas a la estructuración de proyectos del subsidio distrital para el mejoramiento de vivienda.</v>
          </cell>
          <cell r="R511">
            <v>12360000</v>
          </cell>
          <cell r="S511">
            <v>0</v>
          </cell>
          <cell r="T511">
            <v>0</v>
          </cell>
          <cell r="U511">
            <v>12360000</v>
          </cell>
          <cell r="V511">
            <v>0</v>
          </cell>
        </row>
        <row r="512">
          <cell r="J512">
            <v>46</v>
          </cell>
          <cell r="K512">
            <v>43116</v>
          </cell>
          <cell r="L512" t="str">
            <v>ALVARO  DAVILA REMOLINA</v>
          </cell>
          <cell r="M512">
            <v>148</v>
          </cell>
          <cell r="N512" t="str">
            <v>CONTRATO DE PRESTACION DE SERVICIOS DE APOYO A LA GESTION</v>
          </cell>
          <cell r="O512">
            <v>51</v>
          </cell>
          <cell r="P512">
            <v>43116</v>
          </cell>
          <cell r="Q512" t="str">
            <v>Prestación de servicios de apoyo a la gestión, en la atención al servicio al ciudadano, teniendo en cuenta los protocolos, procedimientos y lineamientos establecidos por la CVP.</v>
          </cell>
          <cell r="R512">
            <v>34942750</v>
          </cell>
          <cell r="S512">
            <v>0</v>
          </cell>
          <cell r="T512">
            <v>0</v>
          </cell>
          <cell r="U512">
            <v>34942750</v>
          </cell>
          <cell r="V512">
            <v>16610467</v>
          </cell>
        </row>
        <row r="513">
          <cell r="J513">
            <v>82</v>
          </cell>
          <cell r="K513">
            <v>43116</v>
          </cell>
          <cell r="L513" t="str">
            <v>IVAN RODRIGO ROJAS ARBOLEDA</v>
          </cell>
          <cell r="M513">
            <v>145</v>
          </cell>
          <cell r="N513" t="str">
            <v>CONTRATO DE PRESTACION DE SERVICIOS PROFESIONALES</v>
          </cell>
          <cell r="O513">
            <v>68</v>
          </cell>
          <cell r="P513">
            <v>43116</v>
          </cell>
          <cell r="Q513" t="str">
            <v>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v>
          </cell>
          <cell r="R513">
            <v>82915000</v>
          </cell>
          <cell r="S513">
            <v>0</v>
          </cell>
          <cell r="T513">
            <v>0</v>
          </cell>
          <cell r="U513">
            <v>82915000</v>
          </cell>
          <cell r="V513">
            <v>32204666</v>
          </cell>
        </row>
        <row r="514">
          <cell r="J514">
            <v>94</v>
          </cell>
          <cell r="K514">
            <v>43116</v>
          </cell>
          <cell r="L514" t="str">
            <v>JULIO ANDRES CENDALES MORA</v>
          </cell>
          <cell r="M514">
            <v>145</v>
          </cell>
          <cell r="N514" t="str">
            <v>CONTRATO DE PRESTACION DE SERVICIOS PROFESIONALES</v>
          </cell>
          <cell r="O514">
            <v>90</v>
          </cell>
          <cell r="P514">
            <v>43116</v>
          </cell>
          <cell r="Q514" t="str">
            <v>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v>
          </cell>
          <cell r="R514">
            <v>57922050</v>
          </cell>
          <cell r="S514">
            <v>0</v>
          </cell>
          <cell r="T514">
            <v>0</v>
          </cell>
          <cell r="U514">
            <v>57922050</v>
          </cell>
          <cell r="V514">
            <v>27533960</v>
          </cell>
        </row>
        <row r="515">
          <cell r="J515">
            <v>99</v>
          </cell>
          <cell r="K515">
            <v>43116</v>
          </cell>
          <cell r="L515" t="str">
            <v>JUAN FERNANDO BETANCOURT FRANCO</v>
          </cell>
          <cell r="M515">
            <v>145</v>
          </cell>
          <cell r="N515" t="str">
            <v>CONTRATO DE PRESTACION DE SERVICIOS PROFESIONALES</v>
          </cell>
          <cell r="O515">
            <v>85</v>
          </cell>
          <cell r="P515">
            <v>43116</v>
          </cell>
          <cell r="Q515" t="str">
            <v>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v>
          </cell>
          <cell r="R515">
            <v>57922050</v>
          </cell>
          <cell r="S515">
            <v>0</v>
          </cell>
          <cell r="T515">
            <v>0</v>
          </cell>
          <cell r="U515">
            <v>57922050</v>
          </cell>
          <cell r="V515">
            <v>27533960</v>
          </cell>
        </row>
        <row r="516">
          <cell r="J516">
            <v>101</v>
          </cell>
          <cell r="K516">
            <v>43116</v>
          </cell>
          <cell r="L516" t="str">
            <v>JUAN PABLO BOTERO ARAGON</v>
          </cell>
          <cell r="M516">
            <v>145</v>
          </cell>
          <cell r="N516" t="str">
            <v>CONTRATO DE PRESTACION DE SERVICIOS PROFESIONALES</v>
          </cell>
          <cell r="O516">
            <v>86</v>
          </cell>
          <cell r="P516">
            <v>43116</v>
          </cell>
          <cell r="Q516" t="str">
            <v>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v>
          </cell>
          <cell r="R516">
            <v>57922050</v>
          </cell>
          <cell r="S516">
            <v>0</v>
          </cell>
          <cell r="T516">
            <v>0</v>
          </cell>
          <cell r="U516">
            <v>57922050</v>
          </cell>
          <cell r="V516">
            <v>27533960</v>
          </cell>
        </row>
        <row r="517">
          <cell r="J517">
            <v>111</v>
          </cell>
          <cell r="K517">
            <v>43117</v>
          </cell>
          <cell r="L517" t="str">
            <v>DIEGO ALEJANDRO RINCON PEREZ</v>
          </cell>
          <cell r="M517">
            <v>145</v>
          </cell>
          <cell r="N517" t="str">
            <v>CONTRATO DE PRESTACION DE SERVICIOS PROFESIONALES</v>
          </cell>
          <cell r="O517">
            <v>104</v>
          </cell>
          <cell r="P517">
            <v>43117</v>
          </cell>
          <cell r="Q517" t="str">
            <v>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v>
          </cell>
          <cell r="R517">
            <v>39088500</v>
          </cell>
          <cell r="S517">
            <v>0</v>
          </cell>
          <cell r="T517">
            <v>0</v>
          </cell>
          <cell r="U517">
            <v>39088500</v>
          </cell>
          <cell r="V517">
            <v>18581200</v>
          </cell>
        </row>
        <row r="518">
          <cell r="J518">
            <v>219</v>
          </cell>
          <cell r="K518">
            <v>43118</v>
          </cell>
          <cell r="L518" t="str">
            <v>ROBERT  URREGO RAMOS</v>
          </cell>
          <cell r="M518">
            <v>145</v>
          </cell>
          <cell r="N518" t="str">
            <v>CONTRATO DE PRESTACION DE SERVICIOS PROFESIONALES</v>
          </cell>
          <cell r="O518">
            <v>187</v>
          </cell>
          <cell r="P518">
            <v>43118</v>
          </cell>
          <cell r="Q518" t="str">
            <v>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v>
          </cell>
          <cell r="R518">
            <v>46968000</v>
          </cell>
          <cell r="S518">
            <v>0</v>
          </cell>
          <cell r="T518">
            <v>0</v>
          </cell>
          <cell r="U518">
            <v>46968000</v>
          </cell>
          <cell r="V518">
            <v>22248000</v>
          </cell>
        </row>
        <row r="519">
          <cell r="J519">
            <v>224</v>
          </cell>
          <cell r="K519">
            <v>43118</v>
          </cell>
          <cell r="L519" t="str">
            <v>JOHANA PATRICIA REYES MARCIALES</v>
          </cell>
          <cell r="M519">
            <v>145</v>
          </cell>
          <cell r="N519" t="str">
            <v>CONTRATO DE PRESTACION DE SERVICIOS PROFESIONALES</v>
          </cell>
          <cell r="O519">
            <v>198</v>
          </cell>
          <cell r="P519">
            <v>43118</v>
          </cell>
          <cell r="Q519" t="str">
            <v>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v>
          </cell>
          <cell r="R519">
            <v>71070000</v>
          </cell>
          <cell r="S519">
            <v>0</v>
          </cell>
          <cell r="T519">
            <v>0</v>
          </cell>
          <cell r="U519">
            <v>71070000</v>
          </cell>
          <cell r="V519">
            <v>33372000</v>
          </cell>
        </row>
        <row r="520">
          <cell r="J520">
            <v>460</v>
          </cell>
          <cell r="K520">
            <v>43126</v>
          </cell>
          <cell r="L520" t="str">
            <v>EDNA MARGARITA GONZALEZ ARANA</v>
          </cell>
          <cell r="M520">
            <v>145</v>
          </cell>
          <cell r="N520" t="str">
            <v>CONTRATO DE PRESTACION DE SERVICIOS PROFESIONALES</v>
          </cell>
          <cell r="O520">
            <v>387</v>
          </cell>
          <cell r="P520">
            <v>43126</v>
          </cell>
          <cell r="Q520" t="str">
            <v>Prestación de servicios profesionales para el apoyo de  la estrategia de comunicación externa, relaciones públicas y gestión de medios - Free Press de la Caja de la Vivienda Popular, garantizando la efectividad en medios masivos locales, regionales y nacionales.</v>
          </cell>
          <cell r="R520">
            <v>135960000</v>
          </cell>
          <cell r="S520">
            <v>0</v>
          </cell>
          <cell r="T520">
            <v>0</v>
          </cell>
          <cell r="U520">
            <v>135960000</v>
          </cell>
          <cell r="V520">
            <v>63860000</v>
          </cell>
        </row>
        <row r="521">
          <cell r="J521">
            <v>2507</v>
          </cell>
          <cell r="K521">
            <v>43299</v>
          </cell>
          <cell r="L521" t="str">
            <v>JOHNNY ALEXANDER RADA ESTEBAN</v>
          </cell>
          <cell r="M521">
            <v>145</v>
          </cell>
          <cell r="N521" t="str">
            <v>CONTRATO DE PRESTACION DE SERVICIOS PROFESIONALES</v>
          </cell>
          <cell r="O521">
            <v>446</v>
          </cell>
          <cell r="P521">
            <v>43299</v>
          </cell>
          <cell r="Q521" t="str">
            <v>PRESTAR LOS SERVICIOS PROFESIONALES A LA OFICINA ASESORA DE COMUNICACIONES COMO APOYO EN LA CONCEPTUALIZACIÓN Y DESARROLLO DE CAMPAÑAS DE COMUNICACIÓN CONFORME AL PLAN ESTRATÉGICO DE COMUNICACIONES DE LA ENTIDAD.</v>
          </cell>
          <cell r="R521">
            <v>24926000</v>
          </cell>
          <cell r="S521">
            <v>0</v>
          </cell>
          <cell r="T521">
            <v>0</v>
          </cell>
          <cell r="U521">
            <v>24926000</v>
          </cell>
          <cell r="V521">
            <v>0</v>
          </cell>
        </row>
        <row r="522">
          <cell r="J522">
            <v>1</v>
          </cell>
          <cell r="K522">
            <v>43105</v>
          </cell>
          <cell r="L522" t="str">
            <v>SILENIA  NEIRA TORRES</v>
          </cell>
          <cell r="M522">
            <v>145</v>
          </cell>
          <cell r="N522" t="str">
            <v>CONTRATO DE PRESTACION DE SERVICIOS PROFESIONALES</v>
          </cell>
          <cell r="O522">
            <v>1</v>
          </cell>
          <cell r="P522">
            <v>43105</v>
          </cell>
          <cell r="Q522" t="str">
            <v>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v>
          </cell>
          <cell r="R522">
            <v>113300000</v>
          </cell>
          <cell r="S522">
            <v>0</v>
          </cell>
          <cell r="T522">
            <v>0</v>
          </cell>
          <cell r="U522">
            <v>113300000</v>
          </cell>
          <cell r="V522">
            <v>60426667</v>
          </cell>
        </row>
        <row r="523">
          <cell r="J523">
            <v>14</v>
          </cell>
          <cell r="K523">
            <v>43112</v>
          </cell>
          <cell r="L523" t="str">
            <v>JEFFERSON  MALAVER GOMEZ</v>
          </cell>
          <cell r="M523">
            <v>145</v>
          </cell>
          <cell r="N523" t="str">
            <v>CONTRATO DE PRESTACION DE SERVICIOS PROFESIONALES</v>
          </cell>
          <cell r="O523">
            <v>8</v>
          </cell>
          <cell r="P523">
            <v>43112</v>
          </cell>
          <cell r="Q523" t="str">
            <v>Prestación de servicios profesionales para apoyar la formulación, seguimiento y monitoreo al cumplimiento de objetivos y metas de los programas, proyectos y planes de acción de gestión que se ejecutan en la entidad.</v>
          </cell>
          <cell r="R523">
            <v>55403700</v>
          </cell>
          <cell r="S523">
            <v>0</v>
          </cell>
          <cell r="T523">
            <v>0</v>
          </cell>
          <cell r="U523">
            <v>55403700</v>
          </cell>
          <cell r="V523">
            <v>27869740</v>
          </cell>
        </row>
        <row r="524">
          <cell r="J524">
            <v>26</v>
          </cell>
          <cell r="K524">
            <v>43115</v>
          </cell>
          <cell r="L524" t="str">
            <v>JULIETH TATIANA SANCHEZ CASTILLO</v>
          </cell>
          <cell r="M524">
            <v>145</v>
          </cell>
          <cell r="N524" t="str">
            <v>CONTRATO DE PRESTACION DE SERVICIOS PROFESIONALES</v>
          </cell>
          <cell r="O524">
            <v>24</v>
          </cell>
          <cell r="P524">
            <v>43115</v>
          </cell>
          <cell r="Q524" t="str">
            <v>Prestación de servicios profesionales para el acompañamiento jurídico en las diferentes etapas de los procesos de contratación que adelante la Caja de la Vivienda Popular.</v>
          </cell>
          <cell r="R524">
            <v>76992500</v>
          </cell>
          <cell r="S524">
            <v>0</v>
          </cell>
          <cell r="T524">
            <v>0</v>
          </cell>
          <cell r="U524">
            <v>76992500</v>
          </cell>
          <cell r="V524">
            <v>36822500</v>
          </cell>
        </row>
        <row r="525">
          <cell r="J525">
            <v>39</v>
          </cell>
          <cell r="K525">
            <v>43116</v>
          </cell>
          <cell r="L525" t="str">
            <v>ORLANDO  BARBOSA SILVA</v>
          </cell>
          <cell r="M525">
            <v>145</v>
          </cell>
          <cell r="N525" t="str">
            <v>CONTRATO DE PRESTACION DE SERVICIOS PROFESIONALES</v>
          </cell>
          <cell r="O525">
            <v>48</v>
          </cell>
          <cell r="P525">
            <v>43116</v>
          </cell>
          <cell r="Q525" t="str">
            <v>Prestación de servicios profesionales para apoyar a la Dirección de Gestión Corporativa y CID en la revisión, estructuración, seguimiento y control de los aspectos financieros y presupuestales a su cargo.</v>
          </cell>
          <cell r="R525">
            <v>82915000</v>
          </cell>
          <cell r="S525">
            <v>0</v>
          </cell>
          <cell r="T525">
            <v>0</v>
          </cell>
          <cell r="U525">
            <v>82915000</v>
          </cell>
          <cell r="V525">
            <v>39414667</v>
          </cell>
        </row>
        <row r="526">
          <cell r="J526">
            <v>50</v>
          </cell>
          <cell r="K526">
            <v>43116</v>
          </cell>
          <cell r="L526" t="str">
            <v>KENNY BIVIANA ROJAS AMUD</v>
          </cell>
          <cell r="M526">
            <v>145</v>
          </cell>
          <cell r="N526" t="str">
            <v>CONTRATO DE PRESTACION DE SERVICIOS PROFESIONALES</v>
          </cell>
          <cell r="O526">
            <v>38</v>
          </cell>
          <cell r="P526">
            <v>43116</v>
          </cell>
          <cell r="Q526" t="str">
            <v>Prestación de servicios profesionales para el acompañamiento jurídico en las diferentes etapas de los procesos de contratación que adelante la Caja de la Vivienda Popular.</v>
          </cell>
          <cell r="R526">
            <v>76992500</v>
          </cell>
          <cell r="S526">
            <v>0</v>
          </cell>
          <cell r="T526">
            <v>0</v>
          </cell>
          <cell r="U526">
            <v>76992500</v>
          </cell>
          <cell r="V526">
            <v>36599333</v>
          </cell>
        </row>
        <row r="527">
          <cell r="J527">
            <v>51</v>
          </cell>
          <cell r="K527">
            <v>43116</v>
          </cell>
          <cell r="L527" t="str">
            <v>LAURA JIMENA RINCON ROMERO</v>
          </cell>
          <cell r="M527">
            <v>145</v>
          </cell>
          <cell r="N527" t="str">
            <v>CONTRATO DE PRESTACION DE SERVICIOS PROFESIONALES</v>
          </cell>
          <cell r="O527">
            <v>43</v>
          </cell>
          <cell r="P527">
            <v>43116</v>
          </cell>
          <cell r="Q527" t="str">
            <v>Prestar servicios profesionales para liderar las acciones que proceden de la planeación, programación, seguimiento y ejecución financiera que contribuyan al mejoramiento de los procesos a cargo de la Dirección de Gestión Corporativa y CID de la Caja de Vivienda Popular.</v>
          </cell>
          <cell r="R527">
            <v>76992500</v>
          </cell>
          <cell r="S527">
            <v>76992500</v>
          </cell>
          <cell r="T527">
            <v>0</v>
          </cell>
          <cell r="U527">
            <v>0</v>
          </cell>
          <cell r="V527">
            <v>0</v>
          </cell>
        </row>
        <row r="528">
          <cell r="J528">
            <v>52</v>
          </cell>
          <cell r="K528">
            <v>43116</v>
          </cell>
          <cell r="L528" t="str">
            <v>GERMAN ALEXANDER SANCHEZ RODRIGUEZ</v>
          </cell>
          <cell r="M528">
            <v>145</v>
          </cell>
          <cell r="N528" t="str">
            <v>CONTRATO DE PRESTACION DE SERVICIOS PROFESIONALES</v>
          </cell>
          <cell r="O528">
            <v>54</v>
          </cell>
          <cell r="P528">
            <v>43116</v>
          </cell>
          <cell r="Q528" t="str">
            <v>Prestación de servicios profesionales para apoyar la gestión documental del archivo de gestión contractual que se encuentra a cargo de la Dirección de Gestión Corporativa y CID de la Caja de Vivienda Popular.</v>
          </cell>
          <cell r="R528">
            <v>40865250</v>
          </cell>
          <cell r="S528">
            <v>0</v>
          </cell>
          <cell r="T528">
            <v>0</v>
          </cell>
          <cell r="U528">
            <v>40865250</v>
          </cell>
          <cell r="V528">
            <v>19425800</v>
          </cell>
        </row>
        <row r="529">
          <cell r="J529">
            <v>53</v>
          </cell>
          <cell r="K529">
            <v>43116</v>
          </cell>
          <cell r="L529" t="str">
            <v>NELSON MIGUEL JAIME OLAYA</v>
          </cell>
          <cell r="M529">
            <v>145</v>
          </cell>
          <cell r="N529" t="str">
            <v>CONTRATO DE PRESTACION DE SERVICIOS PROFESIONALES</v>
          </cell>
          <cell r="O529">
            <v>39</v>
          </cell>
          <cell r="P529">
            <v>43116</v>
          </cell>
          <cell r="Q529" t="str">
            <v>Prestación de servicios profesionales para el acompañamiento jurídico en las diferentes etapas de los procesos de contratación que adelante la Caja de la Vivienda Popular</v>
          </cell>
          <cell r="R529">
            <v>71070000</v>
          </cell>
          <cell r="S529">
            <v>0</v>
          </cell>
          <cell r="T529">
            <v>0</v>
          </cell>
          <cell r="U529">
            <v>71070000</v>
          </cell>
          <cell r="V529">
            <v>33784000</v>
          </cell>
        </row>
        <row r="530">
          <cell r="J530">
            <v>56</v>
          </cell>
          <cell r="K530">
            <v>43116</v>
          </cell>
          <cell r="L530" t="str">
            <v>MARITH ELISA BLANCHAR MARTINEZ</v>
          </cell>
          <cell r="M530">
            <v>145</v>
          </cell>
          <cell r="N530" t="str">
            <v>CONTRATO DE PRESTACION DE SERVICIOS PROFESIONALES</v>
          </cell>
          <cell r="O530">
            <v>44</v>
          </cell>
          <cell r="P530">
            <v>43116</v>
          </cell>
          <cell r="Q530" t="str">
            <v>Prestar servicios profesionales para apoyar el impulso de los procesos disciplinarios que se adelanten en la Caja de la Vivienda Popular y que se encuentran a cargo de la Dirección de Gestión Corporativa y CID en primera instancia.</v>
          </cell>
          <cell r="R530">
            <v>82915000</v>
          </cell>
          <cell r="S530">
            <v>0</v>
          </cell>
          <cell r="T530">
            <v>0</v>
          </cell>
          <cell r="U530">
            <v>82915000</v>
          </cell>
          <cell r="V530">
            <v>39414667</v>
          </cell>
        </row>
        <row r="531">
          <cell r="J531">
            <v>57</v>
          </cell>
          <cell r="K531">
            <v>43116</v>
          </cell>
          <cell r="L531" t="str">
            <v>LAURA JIMENA RINCON ROMERO</v>
          </cell>
          <cell r="M531">
            <v>145</v>
          </cell>
          <cell r="N531" t="str">
            <v>CONTRATO DE PRESTACION DE SERVICIOS PROFESIONALES</v>
          </cell>
          <cell r="O531">
            <v>43</v>
          </cell>
          <cell r="P531">
            <v>43116</v>
          </cell>
          <cell r="Q531" t="str">
            <v>Prestar servicios profesionales para liderar las acciones que proceden de la planeación, programación, seguimiento y ejecución financiera que contribuyan al mejoramiento de los procesos a cargo de la Dirección de Gestión Corporativa y CID de la Caja de Vivienda Popular.</v>
          </cell>
          <cell r="R531">
            <v>76992500</v>
          </cell>
          <cell r="S531">
            <v>0</v>
          </cell>
          <cell r="T531">
            <v>0</v>
          </cell>
          <cell r="U531">
            <v>76992500</v>
          </cell>
          <cell r="V531">
            <v>36599333</v>
          </cell>
        </row>
        <row r="532">
          <cell r="J532">
            <v>58</v>
          </cell>
          <cell r="K532">
            <v>43116</v>
          </cell>
          <cell r="L532" t="str">
            <v>ANGELA ROCIO DIAZ MORALES</v>
          </cell>
          <cell r="M532">
            <v>145</v>
          </cell>
          <cell r="N532" t="str">
            <v>CONTRATO DE PRESTACION DE SERVICIOS PROFESIONALES</v>
          </cell>
          <cell r="O532">
            <v>45</v>
          </cell>
          <cell r="P532">
            <v>43116</v>
          </cell>
          <cell r="Q532" t="str">
            <v>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v>
          </cell>
          <cell r="R532">
            <v>40865250</v>
          </cell>
          <cell r="S532">
            <v>0</v>
          </cell>
          <cell r="T532">
            <v>0</v>
          </cell>
          <cell r="U532">
            <v>40865250</v>
          </cell>
          <cell r="V532">
            <v>18952000</v>
          </cell>
        </row>
        <row r="533">
          <cell r="J533">
            <v>72</v>
          </cell>
          <cell r="K533">
            <v>43116</v>
          </cell>
          <cell r="L533" t="str">
            <v>MAGDA CECILIA ALBA DAZA</v>
          </cell>
          <cell r="M533">
            <v>145</v>
          </cell>
          <cell r="N533" t="str">
            <v>CONTRATO DE PRESTACION DE SERVICIOS PROFESIONALES</v>
          </cell>
          <cell r="O533">
            <v>58</v>
          </cell>
          <cell r="P533">
            <v>43116</v>
          </cell>
          <cell r="Q533" t="str">
            <v>Prestación de servicios profesionales para apoyar a la Subdirección Financiera en la ejecución y seguimiento presupuestal de la Caja de la Vivienda Popular.</v>
          </cell>
          <cell r="R533">
            <v>65147500</v>
          </cell>
          <cell r="S533">
            <v>0</v>
          </cell>
          <cell r="T533">
            <v>0</v>
          </cell>
          <cell r="U533">
            <v>65147500</v>
          </cell>
          <cell r="V533">
            <v>30968667</v>
          </cell>
        </row>
        <row r="534">
          <cell r="J534">
            <v>74</v>
          </cell>
          <cell r="K534">
            <v>43116</v>
          </cell>
          <cell r="L534" t="str">
            <v>BIBIANA ANDREA TRUJILLO SANCHEZ</v>
          </cell>
          <cell r="M534">
            <v>145</v>
          </cell>
          <cell r="N534" t="str">
            <v>CONTRATO DE PRESTACION DE SERVICIOS PROFESIONALES</v>
          </cell>
          <cell r="O534">
            <v>60</v>
          </cell>
          <cell r="P534">
            <v>43116</v>
          </cell>
          <cell r="Q534" t="str">
            <v>Prestación de Servicios Profesionales para efectuar la verificación, depuración, registros y ajustes contables de las operaciones financieras derivadas de la gestión de la Entidad, ejerciendo el autocontrol y garantizando la oportunidad y confiabilidad de la información.</v>
          </cell>
          <cell r="R534">
            <v>60409500</v>
          </cell>
          <cell r="S534">
            <v>0</v>
          </cell>
          <cell r="T534">
            <v>0</v>
          </cell>
          <cell r="U534">
            <v>60409500</v>
          </cell>
          <cell r="V534">
            <v>28716400</v>
          </cell>
        </row>
        <row r="535">
          <cell r="J535">
            <v>81</v>
          </cell>
          <cell r="K535">
            <v>43116</v>
          </cell>
          <cell r="L535" t="str">
            <v>RAUL ALEJANDRO MESA VARGAS</v>
          </cell>
          <cell r="M535">
            <v>145</v>
          </cell>
          <cell r="N535" t="str">
            <v>CONTRATO DE PRESTACION DE SERVICIOS PROFESIONALES</v>
          </cell>
          <cell r="O535">
            <v>66</v>
          </cell>
          <cell r="P535">
            <v>43116</v>
          </cell>
          <cell r="Q535" t="str">
            <v>Prestación de servicios profesionales para apoyar la formulación, seguimiento y monitoreo al cumplimiento de objetivos y metas de los programas, proyectos y planes de acción de gestión que se ejecutan en la entidad.</v>
          </cell>
          <cell r="R535">
            <v>45320000</v>
          </cell>
          <cell r="S535">
            <v>0</v>
          </cell>
          <cell r="T535">
            <v>0</v>
          </cell>
          <cell r="U535">
            <v>45320000</v>
          </cell>
          <cell r="V535">
            <v>22522667</v>
          </cell>
        </row>
        <row r="536">
          <cell r="J536">
            <v>93</v>
          </cell>
          <cell r="K536">
            <v>43116</v>
          </cell>
          <cell r="L536" t="str">
            <v>RODRIGO HERNAN RIOS OLIVEROS</v>
          </cell>
          <cell r="M536">
            <v>145</v>
          </cell>
          <cell r="N536" t="str">
            <v>CONTRATO DE PRESTACION DE SERVICIOS PROFESIONALES</v>
          </cell>
          <cell r="O536">
            <v>76</v>
          </cell>
          <cell r="P536">
            <v>43116</v>
          </cell>
          <cell r="Q536" t="str">
            <v>Prestación de servicios profesionales para el acompañamiento a la Dirección de Gestión Corporativa y CID, en la revisión, elaboración, monitoreo y articulación de las diferentes actuaciones jurídicas a su cargo.</v>
          </cell>
          <cell r="R536">
            <v>113300000</v>
          </cell>
          <cell r="S536">
            <v>0</v>
          </cell>
          <cell r="T536">
            <v>0</v>
          </cell>
          <cell r="U536">
            <v>113300000</v>
          </cell>
          <cell r="V536">
            <v>56306667</v>
          </cell>
        </row>
        <row r="537">
          <cell r="J537">
            <v>96</v>
          </cell>
          <cell r="K537">
            <v>43116</v>
          </cell>
          <cell r="L537" t="str">
            <v>MARIA ELIZABETH SALINAS BUSTOS</v>
          </cell>
          <cell r="M537">
            <v>145</v>
          </cell>
          <cell r="N537" t="str">
            <v>CONTRATO DE PRESTACION DE SERVICIOS PROFESIONALES</v>
          </cell>
          <cell r="O537">
            <v>89</v>
          </cell>
          <cell r="P537">
            <v>43116</v>
          </cell>
          <cell r="Q537" t="str">
            <v>Prestación de servicios profesionales para realizar el  proceso de convergencia y adapatabilidad del nuevo marco de regulación contable en la Caja de la Vivienda Popular.</v>
          </cell>
          <cell r="R537">
            <v>68927240</v>
          </cell>
          <cell r="S537">
            <v>0</v>
          </cell>
          <cell r="T537">
            <v>0</v>
          </cell>
          <cell r="U537">
            <v>68927240</v>
          </cell>
          <cell r="V537">
            <v>32765412</v>
          </cell>
        </row>
        <row r="538">
          <cell r="J538">
            <v>98</v>
          </cell>
          <cell r="K538">
            <v>43116</v>
          </cell>
          <cell r="L538" t="str">
            <v>RAFAEL  OSORIO CANTILLO</v>
          </cell>
          <cell r="M538">
            <v>145</v>
          </cell>
          <cell r="N538" t="str">
            <v>CONTRATO DE PRESTACION DE SERVICIOS PROFESIONALES</v>
          </cell>
          <cell r="O538">
            <v>88</v>
          </cell>
          <cell r="P538">
            <v>43116</v>
          </cell>
          <cell r="Q538" t="str">
            <v>Prestación de servicios profesionales para apoyar las actividades de contabilidad a cargo de la Subdirección Financiera, aplicando la normatividad vigente y atendiendo los procesos y procedimientos establecidos por la entidad.</v>
          </cell>
          <cell r="R538">
            <v>60409500</v>
          </cell>
          <cell r="S538">
            <v>0</v>
          </cell>
          <cell r="T538">
            <v>0</v>
          </cell>
          <cell r="U538">
            <v>60409500</v>
          </cell>
          <cell r="V538">
            <v>28716400</v>
          </cell>
        </row>
        <row r="539">
          <cell r="J539">
            <v>100</v>
          </cell>
          <cell r="K539">
            <v>43116</v>
          </cell>
          <cell r="L539" t="str">
            <v>NATACHA  ESLAVA VELEZ</v>
          </cell>
          <cell r="M539">
            <v>145</v>
          </cell>
          <cell r="N539" t="str">
            <v>CONTRATO DE PRESTACION DE SERVICIOS PROFESIONALES</v>
          </cell>
          <cell r="O539">
            <v>83</v>
          </cell>
          <cell r="P539">
            <v>43116</v>
          </cell>
          <cell r="Q539" t="str">
            <v>PRESTACIÓN DE SERVICIOS PROFESIONALES PARA APOYAR EL CONTINUO MEJORAMIENTO Y LA OPERACIÓN DEL PROCESO DE GESTIÓN DOCUMENTAL A CARGO DE LA SUBDIRECCIÓN ADMINISTRATIVA.</v>
          </cell>
          <cell r="R539">
            <v>65147500</v>
          </cell>
          <cell r="S539">
            <v>0</v>
          </cell>
          <cell r="T539">
            <v>0</v>
          </cell>
          <cell r="U539">
            <v>65147500</v>
          </cell>
          <cell r="V539">
            <v>29646833</v>
          </cell>
        </row>
        <row r="540">
          <cell r="J540">
            <v>102</v>
          </cell>
          <cell r="K540">
            <v>43116</v>
          </cell>
          <cell r="L540" t="str">
            <v>CLAUDIA MARCELA GARCIA</v>
          </cell>
          <cell r="M540">
            <v>145</v>
          </cell>
          <cell r="N540" t="str">
            <v>CONTRATO DE PRESTACION DE SERVICIOS PROFESIONALES</v>
          </cell>
          <cell r="O540">
            <v>70</v>
          </cell>
          <cell r="P540">
            <v>43116</v>
          </cell>
          <cell r="Q540" t="str">
            <v>Prestación de servicios profesionales para apoyar  los procesos de planeación, implementación, seguimiento, evaluación y mejoramiento  del Sistema Integrado de Gestión, así como el cumplimiento de la Ley de Transparencia y los preceptos de Gobierno en línea.</v>
          </cell>
          <cell r="R540">
            <v>67980000</v>
          </cell>
          <cell r="S540">
            <v>67980000</v>
          </cell>
          <cell r="T540">
            <v>0</v>
          </cell>
          <cell r="U540">
            <v>0</v>
          </cell>
          <cell r="V540">
            <v>0</v>
          </cell>
        </row>
        <row r="541">
          <cell r="J541">
            <v>107</v>
          </cell>
          <cell r="K541">
            <v>43116</v>
          </cell>
          <cell r="L541" t="str">
            <v>CLAUDIA MARCELA GARCIA</v>
          </cell>
          <cell r="M541">
            <v>145</v>
          </cell>
          <cell r="N541" t="str">
            <v>CONTRATO DE PRESTACION DE SERVICIOS PROFESIONALES</v>
          </cell>
          <cell r="O541">
            <v>70</v>
          </cell>
          <cell r="P541">
            <v>43116</v>
          </cell>
          <cell r="Q541" t="str">
            <v>PRESTACIÓN DE SERVICIOS PROFESIONALES PARA APOYAR  LOS PROCESOS DE PLANEACIÓN, IMPLEMENTACIÓN, SEGUIMIENTO, EVALUACIÓN Y MEJORAMIENTO  DEL SISTEMA INTEGRADO DE GESTIÓN, ASÍ COMO EL CUMPLIMIENTO DE LA LEY DE TRANSPARENCIA Y LOS LINEAMIENTOS DE GOBIERNO EN LÍNEA.</v>
          </cell>
          <cell r="R541">
            <v>67980000</v>
          </cell>
          <cell r="S541">
            <v>0</v>
          </cell>
          <cell r="T541">
            <v>0</v>
          </cell>
          <cell r="U541">
            <v>67980000</v>
          </cell>
          <cell r="V541">
            <v>33784000</v>
          </cell>
        </row>
        <row r="542">
          <cell r="J542">
            <v>113</v>
          </cell>
          <cell r="K542">
            <v>43117</v>
          </cell>
          <cell r="L542" t="str">
            <v>JHON FREDY CASTELLANOS TORO</v>
          </cell>
          <cell r="M542">
            <v>145</v>
          </cell>
          <cell r="N542" t="str">
            <v>CONTRATO DE PRESTACION DE SERVICIOS PROFESIONALES</v>
          </cell>
          <cell r="O542">
            <v>106</v>
          </cell>
          <cell r="P542">
            <v>43117</v>
          </cell>
          <cell r="Q542" t="str">
            <v>Prestar los servicios profesionales para el mantenimiento y mejora continua del Sistema Integrado de Gestión de los procesos a cargo de la Subdirección Administrativa, así como el seguimiento financiero a las actividades a su cargo.</v>
          </cell>
          <cell r="R542">
            <v>71070000</v>
          </cell>
          <cell r="S542">
            <v>0</v>
          </cell>
          <cell r="T542">
            <v>0</v>
          </cell>
          <cell r="U542">
            <v>71070000</v>
          </cell>
          <cell r="V542">
            <v>33784000</v>
          </cell>
        </row>
        <row r="543">
          <cell r="J543">
            <v>114</v>
          </cell>
          <cell r="K543">
            <v>43117</v>
          </cell>
          <cell r="L543" t="str">
            <v>SONIA MILENA GIL MONTOYA</v>
          </cell>
          <cell r="M543">
            <v>145</v>
          </cell>
          <cell r="N543" t="str">
            <v>CONTRATO DE PRESTACION DE SERVICIOS PROFESIONALES</v>
          </cell>
          <cell r="O543">
            <v>87</v>
          </cell>
          <cell r="P543">
            <v>43117</v>
          </cell>
          <cell r="Q543" t="str">
            <v>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v>
          </cell>
          <cell r="R543">
            <v>67980000</v>
          </cell>
          <cell r="S543">
            <v>0</v>
          </cell>
          <cell r="T543">
            <v>0</v>
          </cell>
          <cell r="U543">
            <v>67980000</v>
          </cell>
          <cell r="V543">
            <v>33784000</v>
          </cell>
        </row>
        <row r="544">
          <cell r="J544">
            <v>115</v>
          </cell>
          <cell r="K544">
            <v>43117</v>
          </cell>
          <cell r="L544" t="str">
            <v>GILBERTO ANTONIO SUAREZ FAJARDO</v>
          </cell>
          <cell r="M544">
            <v>145</v>
          </cell>
          <cell r="N544" t="str">
            <v>CONTRATO DE PRESTACION DE SERVICIOS PROFESIONALES</v>
          </cell>
          <cell r="O544">
            <v>93</v>
          </cell>
          <cell r="P544">
            <v>43117</v>
          </cell>
          <cell r="Q544" t="str">
            <v>Prestar servicios profesionales en el seguimiento y ajustes que resulten necesarios dentro del sistema integrado de gestión de la Caja de la Vivienda Popular y sus componentes, que se encuentren a cargo de la Dirección Jurídica.</v>
          </cell>
          <cell r="R544">
            <v>60409500</v>
          </cell>
          <cell r="S544">
            <v>0</v>
          </cell>
          <cell r="T544">
            <v>0</v>
          </cell>
          <cell r="U544">
            <v>60409500</v>
          </cell>
          <cell r="V544">
            <v>28716400</v>
          </cell>
        </row>
        <row r="545">
          <cell r="J545">
            <v>131</v>
          </cell>
          <cell r="K545">
            <v>43117</v>
          </cell>
          <cell r="L545" t="str">
            <v>CARLOS IVAN MUÑOZ ARIAS</v>
          </cell>
          <cell r="M545">
            <v>145</v>
          </cell>
          <cell r="N545" t="str">
            <v>CONTRATO DE PRESTACION DE SERVICIOS PROFESIONALES</v>
          </cell>
          <cell r="O545">
            <v>112</v>
          </cell>
          <cell r="P545">
            <v>43117</v>
          </cell>
          <cell r="Q545" t="str">
            <v>Prestación de servicios profesionalespara apoyar las actividades relacionadas con el proceso de cartera, aplicando la normatividad vigente y los procedimientos establecidos por la Subdirección Financiera</v>
          </cell>
          <cell r="R545">
            <v>60409500</v>
          </cell>
          <cell r="S545">
            <v>0</v>
          </cell>
          <cell r="T545">
            <v>0</v>
          </cell>
          <cell r="U545">
            <v>60409500</v>
          </cell>
          <cell r="V545">
            <v>28541300</v>
          </cell>
        </row>
        <row r="546">
          <cell r="J546">
            <v>237</v>
          </cell>
          <cell r="K546">
            <v>43119</v>
          </cell>
          <cell r="L546" t="str">
            <v>CAROLINA  MONTOYA DUQUE</v>
          </cell>
          <cell r="M546">
            <v>145</v>
          </cell>
          <cell r="N546" t="str">
            <v>CONTRATO DE PRESTACION DE SERVICIOS PROFESIONALES</v>
          </cell>
          <cell r="O546">
            <v>207</v>
          </cell>
          <cell r="P546">
            <v>43119</v>
          </cell>
          <cell r="Q546" t="str">
            <v>Prestación de servicios profesionales para apoyar el desarrollo de auditorias internas, seguimiento y evaluación a los planes establecidos para fortalecer el Sistema de Control Interno y el mejoramiento del Sistema Integrado de Gestión de la Entidad.</v>
          </cell>
          <cell r="R546">
            <v>30220200</v>
          </cell>
          <cell r="S546">
            <v>0</v>
          </cell>
          <cell r="T546">
            <v>0</v>
          </cell>
          <cell r="U546">
            <v>30220200</v>
          </cell>
          <cell r="V546">
            <v>27198180</v>
          </cell>
        </row>
        <row r="547">
          <cell r="J547">
            <v>238</v>
          </cell>
          <cell r="K547">
            <v>43119</v>
          </cell>
          <cell r="M547">
            <v>145</v>
          </cell>
          <cell r="N547" t="str">
            <v>CONTRATO DE PRESTACION DE SERVICIOS PROFESIONALES</v>
          </cell>
          <cell r="O547">
            <v>95</v>
          </cell>
          <cell r="P547">
            <v>43119</v>
          </cell>
          <cell r="Q547" t="str">
            <v>Prestar servicios profesionales a la Dirección Jurídica en el ejercicio de las actividades de conceptualización, revisión de actos administrativos y demás actividades que requieran ser ejecutadas por la Caja de la Vivienda Popular.</v>
          </cell>
          <cell r="R547">
            <v>57922050</v>
          </cell>
          <cell r="S547">
            <v>57922050</v>
          </cell>
          <cell r="T547">
            <v>0</v>
          </cell>
          <cell r="U547">
            <v>0</v>
          </cell>
          <cell r="V547">
            <v>0</v>
          </cell>
        </row>
        <row r="548">
          <cell r="J548">
            <v>248</v>
          </cell>
          <cell r="K548">
            <v>43119</v>
          </cell>
          <cell r="L548" t="str">
            <v>JONNATHAN ANDRES LARA HERRERA</v>
          </cell>
          <cell r="M548">
            <v>145</v>
          </cell>
          <cell r="N548" t="str">
            <v>CONTRATO DE PRESTACION DE SERVICIOS PROFESIONALES</v>
          </cell>
          <cell r="O548">
            <v>213</v>
          </cell>
          <cell r="P548">
            <v>43119</v>
          </cell>
          <cell r="Q548" t="str">
            <v>Prestación de servicios profesionales para realizar el seguimiento y control al cumplimiento del Sistema Integrado de Gestión de la CVP, así como del Plan Operativo de Control Interno.</v>
          </cell>
          <cell r="R548">
            <v>33990000</v>
          </cell>
          <cell r="S548">
            <v>0</v>
          </cell>
          <cell r="T548">
            <v>0</v>
          </cell>
          <cell r="U548">
            <v>33990000</v>
          </cell>
          <cell r="V548">
            <v>28136166</v>
          </cell>
        </row>
        <row r="549">
          <cell r="J549">
            <v>254</v>
          </cell>
          <cell r="K549">
            <v>43119</v>
          </cell>
          <cell r="L549" t="str">
            <v>CLAUDIA YANET D ANTONIO ADAME</v>
          </cell>
          <cell r="M549">
            <v>145</v>
          </cell>
          <cell r="N549" t="str">
            <v>CONTRATO DE PRESTACION DE SERVICIOS PROFESIONALES</v>
          </cell>
          <cell r="O549">
            <v>223</v>
          </cell>
          <cell r="P549">
            <v>43119</v>
          </cell>
          <cell r="Q549" t="str">
            <v>Prestación de servicios profesionales para realizar el seguimiento y evaluación a los procesos, con el fin de fortalecer el Sistema Integrado de Gestión y la sostenibilidad del MECI, apoyando además la ejecución del plan operativo de Control Interno.</v>
          </cell>
          <cell r="R549">
            <v>33990000</v>
          </cell>
          <cell r="S549">
            <v>0</v>
          </cell>
          <cell r="T549">
            <v>0</v>
          </cell>
          <cell r="U549">
            <v>33990000</v>
          </cell>
          <cell r="V549">
            <v>30591000</v>
          </cell>
        </row>
        <row r="550">
          <cell r="J550">
            <v>259</v>
          </cell>
          <cell r="K550">
            <v>43119</v>
          </cell>
          <cell r="L550" t="str">
            <v>SANDRA MILENA HERNANDEZ CUBILLOS</v>
          </cell>
          <cell r="M550">
            <v>145</v>
          </cell>
          <cell r="N550" t="str">
            <v>CONTRATO DE PRESTACION DE SERVICIOS PROFESIONALES</v>
          </cell>
          <cell r="O550">
            <v>233</v>
          </cell>
          <cell r="P550">
            <v>43119</v>
          </cell>
          <cell r="Q550" t="str">
            <v>PRESTAR LOS SERVICIOS PROFESIONALES PARA APOYAR A LA SUBDIRECCIÓN ADMINISTRATIVA EN LOS TEMAS ADMINISTRATIVOS Y DE EJECUCIÓN CONTRACTUAL TENDIENTES AL CUMPLIMIENTO DE LAS METAS ESTABLECIDAS.</v>
          </cell>
          <cell r="R550">
            <v>57922050</v>
          </cell>
          <cell r="S550">
            <v>0</v>
          </cell>
          <cell r="T550">
            <v>0</v>
          </cell>
          <cell r="U550">
            <v>57922050</v>
          </cell>
          <cell r="V550">
            <v>26694510</v>
          </cell>
        </row>
        <row r="551">
          <cell r="J551">
            <v>300</v>
          </cell>
          <cell r="K551">
            <v>43122</v>
          </cell>
          <cell r="L551" t="str">
            <v>JORGE ENRIQUE DURAN HERRERA</v>
          </cell>
          <cell r="M551">
            <v>145</v>
          </cell>
          <cell r="N551" t="str">
            <v>CONTRATO DE PRESTACION DE SERVICIOS PROFESIONALES</v>
          </cell>
          <cell r="O551">
            <v>265</v>
          </cell>
          <cell r="P551">
            <v>43122</v>
          </cell>
          <cell r="Q551" t="str">
            <v>Prestación de servicios profesionales para el acompañamiento jurídico en las diferentes etapas de los procesos de contratación que adelante la Caja de la Vivienda Popular</v>
          </cell>
          <cell r="R551">
            <v>51211600</v>
          </cell>
          <cell r="S551">
            <v>0</v>
          </cell>
          <cell r="T551">
            <v>0</v>
          </cell>
          <cell r="U551">
            <v>51211600</v>
          </cell>
          <cell r="V551">
            <v>23868533</v>
          </cell>
        </row>
        <row r="552">
          <cell r="J552">
            <v>310</v>
          </cell>
          <cell r="K552">
            <v>43122</v>
          </cell>
          <cell r="L552" t="str">
            <v>DARRYN  CALDERON TRUJILLO</v>
          </cell>
          <cell r="M552">
            <v>145</v>
          </cell>
          <cell r="N552" t="str">
            <v>CONTRATO DE PRESTACION DE SERVICIOS PROFESIONALES</v>
          </cell>
          <cell r="O552">
            <v>281</v>
          </cell>
          <cell r="P552">
            <v>43122</v>
          </cell>
          <cell r="Q552" t="str">
            <v>Prestación de servicios profesionales para acompañar a la DGC y CID en la revisión, actualización, y/o mejora de los diferentes procesos que se encuentran a su cargo.</v>
          </cell>
          <cell r="R552">
            <v>82915000</v>
          </cell>
          <cell r="S552">
            <v>0</v>
          </cell>
          <cell r="T552">
            <v>0</v>
          </cell>
          <cell r="U552">
            <v>82915000</v>
          </cell>
          <cell r="V552">
            <v>37972667</v>
          </cell>
        </row>
        <row r="553">
          <cell r="J553">
            <v>331</v>
          </cell>
          <cell r="K553">
            <v>43123</v>
          </cell>
          <cell r="L553" t="str">
            <v>LAURA FERNANDA GOMEZ RAMIREZ</v>
          </cell>
          <cell r="M553">
            <v>145</v>
          </cell>
          <cell r="N553" t="str">
            <v>CONTRATO DE PRESTACION DE SERVICIOS PROFESIONALES</v>
          </cell>
          <cell r="O553">
            <v>282</v>
          </cell>
          <cell r="P553">
            <v>43123</v>
          </cell>
          <cell r="Q553" t="str">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ell>
          <cell r="R553">
            <v>57500000</v>
          </cell>
          <cell r="S553">
            <v>0</v>
          </cell>
          <cell r="T553">
            <v>0</v>
          </cell>
          <cell r="U553">
            <v>57500000</v>
          </cell>
          <cell r="V553">
            <v>25166666</v>
          </cell>
        </row>
        <row r="554">
          <cell r="J554">
            <v>358</v>
          </cell>
          <cell r="K554">
            <v>43123</v>
          </cell>
          <cell r="L554" t="str">
            <v>BIENES RAICES ECA LTDA</v>
          </cell>
          <cell r="M554">
            <v>17</v>
          </cell>
          <cell r="N554" t="str">
            <v>CONTRATO DE ARRENDAMIENTO</v>
          </cell>
          <cell r="O554">
            <v>291</v>
          </cell>
          <cell r="P554">
            <v>43123</v>
          </cell>
          <cell r="Q554" t="str">
            <v>CONTRATAR EL ARRENDAMIENTO DE BODEGA PARA EL ARCHIVO DE GESTIÓN DOCUMENTAL DE LA CAJA DE LA VIVIENDA POPULAR, SEGÚN ACUERDO NO. 049 DE 2000 DEL ARCHIVO GENERAL DE LA NACIÓN.</v>
          </cell>
          <cell r="R554">
            <v>65884824</v>
          </cell>
          <cell r="S554">
            <v>0</v>
          </cell>
          <cell r="T554">
            <v>0</v>
          </cell>
          <cell r="U554">
            <v>65884824</v>
          </cell>
          <cell r="V554">
            <v>28916117</v>
          </cell>
        </row>
        <row r="555">
          <cell r="J555">
            <v>406</v>
          </cell>
          <cell r="K555">
            <v>43124</v>
          </cell>
          <cell r="L555" t="str">
            <v>LAURA CAMILA FLOREZ CHAVERRA</v>
          </cell>
          <cell r="M555">
            <v>148</v>
          </cell>
          <cell r="N555" t="str">
            <v>CONTRATO DE PRESTACION DE SERVICIOS DE APOYO A LA GESTION</v>
          </cell>
          <cell r="O555">
            <v>290</v>
          </cell>
          <cell r="P555">
            <v>43124</v>
          </cell>
          <cell r="Q555" t="str">
            <v>Prestación de servicios de apoyo a la gestión para el adelantamiento de actividades administrativas y operativas relacionadas con los procesos a cargo de la Dirección de Gestión Corporativa y CID.</v>
          </cell>
          <cell r="R555">
            <v>17252500</v>
          </cell>
          <cell r="S555">
            <v>0</v>
          </cell>
          <cell r="T555">
            <v>0</v>
          </cell>
          <cell r="U555">
            <v>17252500</v>
          </cell>
          <cell r="V555">
            <v>8085500</v>
          </cell>
        </row>
        <row r="556">
          <cell r="J556">
            <v>431</v>
          </cell>
          <cell r="K556">
            <v>43124</v>
          </cell>
          <cell r="L556" t="str">
            <v>JIMMY ALEXANDER MONTAÑO DUQUE</v>
          </cell>
          <cell r="M556">
            <v>145</v>
          </cell>
          <cell r="N556" t="str">
            <v>CONTRATO DE PRESTACION DE SERVICIOS PROFESIONALES</v>
          </cell>
          <cell r="O556">
            <v>372</v>
          </cell>
          <cell r="P556">
            <v>43124</v>
          </cell>
          <cell r="Q556" t="str">
            <v>Prestar los servicios profesionales para apoyar la consolidación, seguimiento, implementación y actualización de los instrumentos archivísticos de la entidad y demás temas inherentes al proceso de Gestión Documental a cargo de la Subdirección Administrativa.</v>
          </cell>
          <cell r="R556">
            <v>26780000</v>
          </cell>
          <cell r="S556">
            <v>0</v>
          </cell>
          <cell r="T556">
            <v>0</v>
          </cell>
          <cell r="U556">
            <v>26780000</v>
          </cell>
          <cell r="V556">
            <v>21424000</v>
          </cell>
        </row>
        <row r="557">
          <cell r="J557">
            <v>440</v>
          </cell>
          <cell r="K557">
            <v>43125</v>
          </cell>
          <cell r="L557" t="str">
            <v>JOAN MANUELWILHAYNER GAITAN FERRER</v>
          </cell>
          <cell r="M557">
            <v>145</v>
          </cell>
          <cell r="N557" t="str">
            <v>CONTRATO DE PRESTACION DE SERVICIOS PROFESIONALES</v>
          </cell>
          <cell r="O557">
            <v>378</v>
          </cell>
          <cell r="P557">
            <v>43125</v>
          </cell>
          <cell r="Q557" t="str">
            <v>Prestar servicios profesionales para apoyar la planeación, seguimiento, proyección y evaluación de los proyectos de inversión y los planes de gestión de la Caja de la Vivienda Popular.</v>
          </cell>
          <cell r="R557">
            <v>37389000</v>
          </cell>
          <cell r="S557">
            <v>0</v>
          </cell>
          <cell r="T557">
            <v>0</v>
          </cell>
          <cell r="U557">
            <v>37389000</v>
          </cell>
          <cell r="V557">
            <v>17561500</v>
          </cell>
        </row>
        <row r="558">
          <cell r="J558">
            <v>441</v>
          </cell>
          <cell r="K558">
            <v>43125</v>
          </cell>
          <cell r="L558" t="str">
            <v>ADRIANA  DURAN CABRA</v>
          </cell>
          <cell r="M558">
            <v>145</v>
          </cell>
          <cell r="N558" t="str">
            <v>CONTRATO DE PRESTACION DE SERVICIOS PROFESIONALES</v>
          </cell>
          <cell r="O558">
            <v>380</v>
          </cell>
          <cell r="P558">
            <v>43125</v>
          </cell>
          <cell r="Q558" t="str">
            <v>Prestación de servicios profesionales para acompañar a la Dirección de Gestión Corporativa y CID en el seguimiento y monitoreo de las diferentes herramientas del Sistema Integrado de Gestión de los procesos que se encuentran a su cargo.</v>
          </cell>
          <cell r="R558">
            <v>71070000</v>
          </cell>
          <cell r="S558">
            <v>0</v>
          </cell>
          <cell r="T558">
            <v>0</v>
          </cell>
          <cell r="U558">
            <v>71070000</v>
          </cell>
          <cell r="V558">
            <v>32136000</v>
          </cell>
        </row>
        <row r="559">
          <cell r="J559">
            <v>452</v>
          </cell>
          <cell r="K559">
            <v>43125</v>
          </cell>
          <cell r="L559" t="str">
            <v>YUDY MARIETH VELEZ CALDERON</v>
          </cell>
          <cell r="M559">
            <v>145</v>
          </cell>
          <cell r="N559" t="str">
            <v>CONTRATO DE PRESTACION DE SERVICIOS PROFESIONALES</v>
          </cell>
          <cell r="O559">
            <v>382</v>
          </cell>
          <cell r="P559">
            <v>43125</v>
          </cell>
          <cell r="Q559" t="str">
            <v>Prestación de servicios profesionales para el acompañamiento jurídico en las diferentes etapas de los procesos de contratación que adelante la Caja de la Vivienda Popular</v>
          </cell>
          <cell r="R559">
            <v>82915000</v>
          </cell>
          <cell r="S559">
            <v>0</v>
          </cell>
          <cell r="T559">
            <v>0</v>
          </cell>
          <cell r="U559">
            <v>82915000</v>
          </cell>
          <cell r="V559">
            <v>37251667</v>
          </cell>
        </row>
        <row r="560">
          <cell r="J560">
            <v>481</v>
          </cell>
          <cell r="K560">
            <v>43126</v>
          </cell>
          <cell r="L560" t="str">
            <v>NICOLAS ANDRES GUZMAN PADILLA</v>
          </cell>
          <cell r="M560">
            <v>145</v>
          </cell>
          <cell r="N560" t="str">
            <v>CONTRATO DE PRESTACION DE SERVICIOS PROFESIONALES</v>
          </cell>
          <cell r="O560">
            <v>403</v>
          </cell>
          <cell r="P560">
            <v>43126</v>
          </cell>
          <cell r="Q560" t="str">
            <v>Prestar servicios profesionales a la Dirección Jurídica en el ejercicio de las actividades de conceptualización, revisión de actos administrativos y demás actividades que requieran ser ejecutadas por la Caja de la Vivienda Popular.</v>
          </cell>
          <cell r="R560">
            <v>52118000</v>
          </cell>
          <cell r="S560">
            <v>0</v>
          </cell>
          <cell r="T560">
            <v>0</v>
          </cell>
          <cell r="U560">
            <v>52118000</v>
          </cell>
          <cell r="V560">
            <v>23566400</v>
          </cell>
        </row>
        <row r="561">
          <cell r="J561">
            <v>506</v>
          </cell>
          <cell r="K561">
            <v>43126</v>
          </cell>
          <cell r="L561" t="str">
            <v>RAFAEL  PINILLA CUEVA</v>
          </cell>
          <cell r="M561">
            <v>145</v>
          </cell>
          <cell r="N561" t="str">
            <v>CONTRATO DE PRESTACION DE SERVICIOS PROFESIONALES</v>
          </cell>
          <cell r="O561">
            <v>416</v>
          </cell>
          <cell r="P561">
            <v>43126</v>
          </cell>
          <cell r="Q561" t="str">
            <v>Prestación de servicios profesionales para el desarrollo de actividades tendientes al manejo de información confiable, oportuna y en los tiempos requeridos, mejorando los procesos de calidad de la Subdirección Financiera de la Caja de la Vivienda Popular.</v>
          </cell>
          <cell r="R561">
            <v>39088500</v>
          </cell>
          <cell r="S561">
            <v>0</v>
          </cell>
          <cell r="T561">
            <v>0</v>
          </cell>
          <cell r="U561">
            <v>39088500</v>
          </cell>
          <cell r="V561">
            <v>17334900</v>
          </cell>
        </row>
        <row r="562">
          <cell r="J562">
            <v>1656</v>
          </cell>
          <cell r="K562">
            <v>43185</v>
          </cell>
          <cell r="L562" t="str">
            <v>HORACIO  DUQUE DUQUE</v>
          </cell>
          <cell r="M562">
            <v>17</v>
          </cell>
          <cell r="N562" t="str">
            <v>CONTRATO DE ARRENDAMIENTO</v>
          </cell>
          <cell r="O562">
            <v>564</v>
          </cell>
          <cell r="P562">
            <v>43185</v>
          </cell>
          <cell r="Q562" t="str">
            <v>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v>
          </cell>
          <cell r="R562">
            <v>31143000</v>
          </cell>
          <cell r="S562">
            <v>0</v>
          </cell>
          <cell r="T562">
            <v>0</v>
          </cell>
          <cell r="U562">
            <v>31143000</v>
          </cell>
          <cell r="V562">
            <v>31143000</v>
          </cell>
        </row>
        <row r="563">
          <cell r="J563">
            <v>2405</v>
          </cell>
          <cell r="K563">
            <v>43280</v>
          </cell>
          <cell r="L563" t="str">
            <v>EDGAR DAVID MOTTA REVOLLO</v>
          </cell>
          <cell r="M563">
            <v>145</v>
          </cell>
          <cell r="N563" t="str">
            <v>CONTRATO DE PRESTACION DE SERVICIOS PROFESIONALES</v>
          </cell>
          <cell r="O563">
            <v>437</v>
          </cell>
          <cell r="P563">
            <v>43280</v>
          </cell>
          <cell r="Q563" t="str">
            <v>PRESTACIÓN DE SERVICIOS PROFESIONALES EN EL DESARROLLO DE ACTIVIDADES JURÍDICAS Y ADMINISTRATIVAS TRANSVERSALES RELACIONADAS CON LOS DIFERENTES PROYECTOS DE LA ENTIDAD, PARA SU CORRESPONDIENTE REPORTE ANTE LA DIRECCIÓN GENERAL DE LA CAJA DE LA VIVIENDA POPULAR.</v>
          </cell>
          <cell r="R563">
            <v>54000000</v>
          </cell>
          <cell r="S563">
            <v>0</v>
          </cell>
          <cell r="T563">
            <v>0</v>
          </cell>
          <cell r="U563">
            <v>54000000</v>
          </cell>
          <cell r="V563">
            <v>0</v>
          </cell>
        </row>
        <row r="564">
          <cell r="J564">
            <v>2435</v>
          </cell>
          <cell r="K564">
            <v>43286</v>
          </cell>
          <cell r="L564" t="str">
            <v>JUAN JOSE CORREDOR CABUYA</v>
          </cell>
          <cell r="M564">
            <v>145</v>
          </cell>
          <cell r="N564" t="str">
            <v>CONTRATO DE PRESTACION DE SERVICIOS PROFESIONALES</v>
          </cell>
          <cell r="O564">
            <v>439</v>
          </cell>
          <cell r="P564">
            <v>43286</v>
          </cell>
          <cell r="Q564" t="str">
            <v>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v>
          </cell>
          <cell r="R564">
            <v>48890667</v>
          </cell>
          <cell r="S564">
            <v>0</v>
          </cell>
          <cell r="T564">
            <v>0</v>
          </cell>
          <cell r="U564">
            <v>48890667</v>
          </cell>
          <cell r="V564">
            <v>0</v>
          </cell>
        </row>
        <row r="565">
          <cell r="J565">
            <v>2447</v>
          </cell>
          <cell r="K565">
            <v>43286</v>
          </cell>
          <cell r="L565" t="str">
            <v>SERVICIOS POSTALES NACIONALES S A</v>
          </cell>
          <cell r="M565">
            <v>12</v>
          </cell>
          <cell r="N565" t="str">
            <v>CONTRATO DE PRESTACION DE SERVICIOS</v>
          </cell>
          <cell r="O565">
            <v>440</v>
          </cell>
          <cell r="P565">
            <v>43286</v>
          </cell>
          <cell r="Q565" t="str">
            <v>Prestación del servicio de mensajería expresa y motorizada para la recolección, transporte y entrega de la correspondencia de la Caja de la Vivienda Popular.</v>
          </cell>
          <cell r="R565">
            <v>22992271</v>
          </cell>
          <cell r="S565">
            <v>0</v>
          </cell>
          <cell r="T565">
            <v>0</v>
          </cell>
          <cell r="U565">
            <v>22992271</v>
          </cell>
          <cell r="V565">
            <v>0</v>
          </cell>
        </row>
        <row r="566">
          <cell r="J566">
            <v>2456</v>
          </cell>
          <cell r="K566">
            <v>43290</v>
          </cell>
          <cell r="L566" t="str">
            <v>LIESET KATHERINE REYES ACHIPIZ</v>
          </cell>
          <cell r="M566">
            <v>145</v>
          </cell>
          <cell r="N566" t="str">
            <v>CONTRATO DE PRESTACION DE SERVICIOS PROFESIONALES</v>
          </cell>
          <cell r="O566">
            <v>441</v>
          </cell>
          <cell r="P566">
            <v>43290</v>
          </cell>
          <cell r="Q566" t="str">
            <v>Prestación de servicios profesionales para el acompañamiento jurídico en las diferentes etapas de los procesos de contratación que adelante la Caja de la Vivienda Popular.</v>
          </cell>
          <cell r="R566">
            <v>31167800</v>
          </cell>
          <cell r="S566">
            <v>0</v>
          </cell>
          <cell r="T566">
            <v>0</v>
          </cell>
          <cell r="U566">
            <v>31167800</v>
          </cell>
          <cell r="V566">
            <v>0</v>
          </cell>
        </row>
        <row r="567">
          <cell r="J567">
            <v>2486</v>
          </cell>
          <cell r="K567">
            <v>43292</v>
          </cell>
          <cell r="L567" t="str">
            <v>ANDREA JOHANNA GUTIERREZ MARTINEZ</v>
          </cell>
          <cell r="M567">
            <v>148</v>
          </cell>
          <cell r="N567" t="str">
            <v>CONTRATO DE PRESTACION DE SERVICIOS DE APOYO A LA GESTION</v>
          </cell>
          <cell r="O567">
            <v>444</v>
          </cell>
          <cell r="P567">
            <v>43292</v>
          </cell>
          <cell r="Q567" t="str">
            <v>Prestación de servicios de apoyo a la gestión en la Dirección de Gestión Corporativa y CID, para apoyar operativamente las actividades relacionadas con la aplicación de los instrumentos archivísticos de la entidad.</v>
          </cell>
          <cell r="R567">
            <v>10039067</v>
          </cell>
          <cell r="S567">
            <v>0</v>
          </cell>
          <cell r="T567">
            <v>0</v>
          </cell>
          <cell r="U567">
            <v>10039067</v>
          </cell>
          <cell r="V567">
            <v>0</v>
          </cell>
        </row>
        <row r="568">
          <cell r="J568">
            <v>2500</v>
          </cell>
          <cell r="K568">
            <v>43298</v>
          </cell>
          <cell r="L568" t="str">
            <v>GUSTAVO ANDRES POLANIA CALDERON</v>
          </cell>
          <cell r="M568">
            <v>145</v>
          </cell>
          <cell r="N568" t="str">
            <v>CONTRATO DE PRESTACION DE SERVICIOS PROFESIONALES</v>
          </cell>
          <cell r="O568">
            <v>445</v>
          </cell>
          <cell r="P568">
            <v>43298</v>
          </cell>
          <cell r="Q568" t="str">
            <v>Prestar servicios profesionales para apoyar la planeación, seguimiento y evaluación de los subsistemas del Sistema Integrado de Gestión de la Caja de la Vivienda Popular.</v>
          </cell>
          <cell r="R568">
            <v>28877080</v>
          </cell>
          <cell r="S568">
            <v>0</v>
          </cell>
          <cell r="T568">
            <v>0</v>
          </cell>
          <cell r="U568">
            <v>28877080</v>
          </cell>
          <cell r="V568">
            <v>0</v>
          </cell>
        </row>
        <row r="569">
          <cell r="J569">
            <v>2540</v>
          </cell>
          <cell r="K569">
            <v>43305</v>
          </cell>
          <cell r="L569" t="str">
            <v>MAURICIO ALFONSO CALDERON ACERO</v>
          </cell>
          <cell r="M569">
            <v>145</v>
          </cell>
          <cell r="N569" t="str">
            <v>CONTRATO DE PRESTACION DE SERVICIOS PROFESIONALES</v>
          </cell>
          <cell r="O569">
            <v>460</v>
          </cell>
          <cell r="P569">
            <v>43305</v>
          </cell>
          <cell r="Q569" t="str">
            <v>Prestación de servicios profesionales como enlace jurídico para la atención de los requerimientos y trámites que adelante la Dirección General de la Caja de la Vivienda Popular ante los diferentes órganos de control.</v>
          </cell>
          <cell r="R569">
            <v>49266000</v>
          </cell>
          <cell r="S569">
            <v>0</v>
          </cell>
          <cell r="T569">
            <v>0</v>
          </cell>
          <cell r="U569">
            <v>49266000</v>
          </cell>
          <cell r="V569">
            <v>0</v>
          </cell>
        </row>
        <row r="570">
          <cell r="J570">
            <v>54</v>
          </cell>
          <cell r="K570">
            <v>43116</v>
          </cell>
          <cell r="L570" t="str">
            <v>HERNAN MAURICIO RINCON BEDOYA</v>
          </cell>
          <cell r="M570">
            <v>145</v>
          </cell>
          <cell r="N570" t="str">
            <v>CONTRATO DE PRESTACION DE SERVICIOS PROFESIONALES</v>
          </cell>
          <cell r="O570">
            <v>41</v>
          </cell>
          <cell r="P570">
            <v>43116</v>
          </cell>
          <cell r="Q570" t="str">
            <v>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v>
          </cell>
          <cell r="R570">
            <v>76992500</v>
          </cell>
          <cell r="S570">
            <v>0</v>
          </cell>
          <cell r="T570">
            <v>0</v>
          </cell>
          <cell r="U570">
            <v>76992500</v>
          </cell>
          <cell r="V570">
            <v>36599333</v>
          </cell>
        </row>
        <row r="571">
          <cell r="J571">
            <v>166</v>
          </cell>
          <cell r="K571">
            <v>43118</v>
          </cell>
          <cell r="L571" t="str">
            <v>JORGE HUMBERTO PINILLA RAMIREZ</v>
          </cell>
          <cell r="M571">
            <v>145</v>
          </cell>
          <cell r="N571" t="str">
            <v>CONTRATO DE PRESTACION DE SERVICIOS PROFESIONALES</v>
          </cell>
          <cell r="O571">
            <v>124</v>
          </cell>
          <cell r="P571">
            <v>43118</v>
          </cell>
          <cell r="Q571" t="str">
            <v>Prestar los servicios profesionales para la construcción y soporte sobre procesos de sistemas de información de la Caja de la Vivienda Popular</v>
          </cell>
          <cell r="R571">
            <v>82915000</v>
          </cell>
          <cell r="S571">
            <v>0</v>
          </cell>
          <cell r="T571">
            <v>0</v>
          </cell>
          <cell r="U571">
            <v>82915000</v>
          </cell>
          <cell r="V571">
            <v>39174333</v>
          </cell>
        </row>
        <row r="572">
          <cell r="J572">
            <v>172</v>
          </cell>
          <cell r="K572">
            <v>43118</v>
          </cell>
          <cell r="L572" t="str">
            <v>JAIRO  REMOLINA PEÑALOSA</v>
          </cell>
          <cell r="M572">
            <v>145</v>
          </cell>
          <cell r="N572" t="str">
            <v>CONTRATO DE PRESTACION DE SERVICIOS PROFESIONALES</v>
          </cell>
          <cell r="O572">
            <v>139</v>
          </cell>
          <cell r="P572">
            <v>43118</v>
          </cell>
          <cell r="Q572" t="str">
            <v>PRESTAR LOS SERVICIOS PROFESIONALES EN LA EJECUCIÓN DE ACTIVIDADES DE APOYO EN PROCESOS CONTRACTUALES, GESTIÓN DE SOLUCIONES Y TRÁMITES EN GENERAL QUE SE ENCUENTRAN A CARGO DE LA OFICINA TIC PARA LA CAJA DE LA VIVIENDA POPULAR.</v>
          </cell>
          <cell r="R572">
            <v>39088500</v>
          </cell>
          <cell r="S572">
            <v>0</v>
          </cell>
          <cell r="T572">
            <v>0</v>
          </cell>
          <cell r="U572">
            <v>39088500</v>
          </cell>
          <cell r="V572">
            <v>18467900</v>
          </cell>
        </row>
        <row r="573">
          <cell r="J573">
            <v>221</v>
          </cell>
          <cell r="K573">
            <v>43118</v>
          </cell>
          <cell r="L573" t="str">
            <v>NEPHI ESTEBAN OLIVEROS DEDERLE</v>
          </cell>
          <cell r="M573">
            <v>148</v>
          </cell>
          <cell r="N573" t="str">
            <v>CONTRATO DE PRESTACION DE SERVICIOS DE APOYO A LA GESTION</v>
          </cell>
          <cell r="O573">
            <v>195</v>
          </cell>
          <cell r="P573">
            <v>43118</v>
          </cell>
          <cell r="Q573" t="str">
            <v>Prestar los servicios de apoyo técnico para la administración de servidores de aplicación, servidores de información misional y de gestión de la entidad, así como soporte en las redes de comunicación para la Caja de la Vivienda Popular.</v>
          </cell>
          <cell r="R573">
            <v>34156173</v>
          </cell>
          <cell r="S573">
            <v>0</v>
          </cell>
          <cell r="T573">
            <v>0</v>
          </cell>
          <cell r="U573">
            <v>34156173</v>
          </cell>
          <cell r="V573">
            <v>17965260</v>
          </cell>
        </row>
        <row r="574">
          <cell r="J574">
            <v>251</v>
          </cell>
          <cell r="K574">
            <v>43119</v>
          </cell>
          <cell r="L574" t="str">
            <v>CESAR IVAN QUINTERO GARZON</v>
          </cell>
          <cell r="M574">
            <v>148</v>
          </cell>
          <cell r="N574" t="str">
            <v>CONTRATO DE PRESTACION DE SERVICIOS DE APOYO A LA GESTION</v>
          </cell>
          <cell r="O574">
            <v>204</v>
          </cell>
          <cell r="P574">
            <v>43119</v>
          </cell>
          <cell r="Q574" t="str">
            <v>Prestar los servicios de apoyo técnico para el soporte y mantenimiento tanto preventivo como correctivo de hardware, software y redes, así como soporte técnico presencial de requerimientos tecnológicos para la Caja de la Vivienda Popular.</v>
          </cell>
          <cell r="R574">
            <v>36595900</v>
          </cell>
          <cell r="S574">
            <v>0</v>
          </cell>
          <cell r="T574">
            <v>0</v>
          </cell>
          <cell r="U574">
            <v>36595900</v>
          </cell>
          <cell r="V574">
            <v>17965260</v>
          </cell>
        </row>
        <row r="575">
          <cell r="J575">
            <v>333</v>
          </cell>
          <cell r="K575">
            <v>43123</v>
          </cell>
          <cell r="L575" t="str">
            <v>OSCAR JAVIER ORDUZ GALVIS</v>
          </cell>
          <cell r="M575">
            <v>145</v>
          </cell>
          <cell r="N575" t="str">
            <v>CONTRATO DE PRESTACION DE SERVICIOS PROFESIONALES</v>
          </cell>
          <cell r="O575">
            <v>283</v>
          </cell>
          <cell r="P575">
            <v>43123</v>
          </cell>
          <cell r="Q575" t="str">
            <v>Prestar los servicios profesionales en la ejecución de actividades de apoyo en la administración de los servicios tecnológicos y  en la implementación del proceso de gestión de TIC en el sistema integrado de gestión, para la oficina TIC de la caja de la vivienda popular.</v>
          </cell>
          <cell r="R575">
            <v>51966933</v>
          </cell>
          <cell r="S575">
            <v>0</v>
          </cell>
          <cell r="T575">
            <v>0</v>
          </cell>
          <cell r="U575">
            <v>51966933</v>
          </cell>
          <cell r="V575">
            <v>23868533</v>
          </cell>
        </row>
        <row r="576">
          <cell r="J576">
            <v>468</v>
          </cell>
          <cell r="K576">
            <v>43126</v>
          </cell>
          <cell r="L576" t="str">
            <v>LUZ MARINA CHARRY LARA</v>
          </cell>
          <cell r="M576">
            <v>145</v>
          </cell>
          <cell r="N576" t="str">
            <v>CONTRATO DE PRESTACION DE SERVICIOS PROFESIONALES</v>
          </cell>
          <cell r="O576">
            <v>395</v>
          </cell>
          <cell r="P576">
            <v>43126</v>
          </cell>
          <cell r="Q576" t="str">
            <v>Prestar los servicios profesionales para realizar el soporte, mantenimiento y desarrollo de los aplicativos LIMAY, PAC, OPGET, PREDIS Y CORDIS de Si-Capital para la Caja de la Vivienda Popular.</v>
          </cell>
          <cell r="R576">
            <v>59709100</v>
          </cell>
          <cell r="S576">
            <v>0</v>
          </cell>
          <cell r="T576">
            <v>0</v>
          </cell>
          <cell r="U576">
            <v>59709100</v>
          </cell>
          <cell r="V576">
            <v>27140500</v>
          </cell>
        </row>
        <row r="577">
          <cell r="J577">
            <v>486</v>
          </cell>
          <cell r="K577">
            <v>43126</v>
          </cell>
          <cell r="L577" t="str">
            <v>IVAN DARIO CORTES WILCHES</v>
          </cell>
          <cell r="M577">
            <v>145</v>
          </cell>
          <cell r="N577" t="str">
            <v>CONTRATO DE PRESTACION DE SERVICIOS PROFESIONALES</v>
          </cell>
          <cell r="O577">
            <v>408</v>
          </cell>
          <cell r="P577">
            <v>43126</v>
          </cell>
          <cell r="Q577" t="str">
            <v>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v>
          </cell>
          <cell r="R577">
            <v>177905000</v>
          </cell>
          <cell r="S577">
            <v>0</v>
          </cell>
          <cell r="T577">
            <v>0</v>
          </cell>
          <cell r="U577">
            <v>177905000</v>
          </cell>
          <cell r="V577">
            <v>79928334</v>
          </cell>
        </row>
        <row r="578">
          <cell r="J578">
            <v>489</v>
          </cell>
          <cell r="K578">
            <v>43126</v>
          </cell>
          <cell r="L578" t="str">
            <v>LUIS ALEXANDER JIMENEZ ALVARADO</v>
          </cell>
          <cell r="M578">
            <v>145</v>
          </cell>
          <cell r="N578" t="str">
            <v>CONTRATO DE PRESTACION DE SERVICIOS PROFESIONALES</v>
          </cell>
          <cell r="O578">
            <v>418</v>
          </cell>
          <cell r="P578">
            <v>43126</v>
          </cell>
          <cell r="Q578" t="str">
            <v>Prestar los servicios profesionales especializados de apoyo en actividades de Administración de bases de datos institucionales y de gestión de la información misional de la entidad, para la Oficina TIC de la Caja de la Vivienda Popular</v>
          </cell>
          <cell r="R578">
            <v>39799200</v>
          </cell>
          <cell r="S578">
            <v>0</v>
          </cell>
          <cell r="T578">
            <v>0</v>
          </cell>
          <cell r="U578">
            <v>39799200</v>
          </cell>
          <cell r="V578">
            <v>17885950</v>
          </cell>
        </row>
        <row r="579">
          <cell r="J579">
            <v>490</v>
          </cell>
          <cell r="K579">
            <v>43126</v>
          </cell>
          <cell r="L579" t="str">
            <v>ESTHER LIGIA VILLARRAGA CIFUENTES</v>
          </cell>
          <cell r="M579">
            <v>145</v>
          </cell>
          <cell r="N579" t="str">
            <v>CONTRATO DE PRESTACION DE SERVICIOS PROFESIONALES</v>
          </cell>
          <cell r="O579">
            <v>419</v>
          </cell>
          <cell r="P579">
            <v>43126</v>
          </cell>
          <cell r="Q579" t="str">
            <v>Prestar los servicios profesionales para realizar el soporte, mantenimiento y desarrollo de los aplicativos PERNO de Si-Capital y Desprendibles de Pago para la Caja de la Vivienda Popular</v>
          </cell>
          <cell r="R579">
            <v>36256000</v>
          </cell>
          <cell r="S579">
            <v>0</v>
          </cell>
          <cell r="T579">
            <v>0</v>
          </cell>
          <cell r="U579">
            <v>36256000</v>
          </cell>
          <cell r="V579">
            <v>22660000</v>
          </cell>
        </row>
        <row r="580">
          <cell r="J580">
            <v>495</v>
          </cell>
          <cell r="K580">
            <v>43126</v>
          </cell>
          <cell r="L580" t="str">
            <v>WILSON  MOLANO FERNANDEZ</v>
          </cell>
          <cell r="M580">
            <v>145</v>
          </cell>
          <cell r="N580" t="str">
            <v>CONTRATO DE PRESTACION DE SERVICIOS PROFESIONALES</v>
          </cell>
          <cell r="O580">
            <v>424</v>
          </cell>
          <cell r="P580">
            <v>43126</v>
          </cell>
          <cell r="Q580" t="str">
            <v>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v>
          </cell>
          <cell r="R580">
            <v>80511667</v>
          </cell>
          <cell r="S580">
            <v>0</v>
          </cell>
          <cell r="T580">
            <v>0</v>
          </cell>
          <cell r="U580">
            <v>80511667</v>
          </cell>
          <cell r="V580">
            <v>36530667</v>
          </cell>
        </row>
        <row r="581">
          <cell r="J581">
            <v>2546</v>
          </cell>
          <cell r="K581">
            <v>43308</v>
          </cell>
          <cell r="L581" t="str">
            <v>LUIS GABRIEL BAREÑO ROMERO</v>
          </cell>
          <cell r="M581">
            <v>148</v>
          </cell>
          <cell r="N581" t="str">
            <v>CONTRATO DE PRESTACION DE SERVICIOS DE APOYO A LA GESTION</v>
          </cell>
          <cell r="O581">
            <v>469</v>
          </cell>
          <cell r="P581">
            <v>43308</v>
          </cell>
          <cell r="Q581" t="str">
            <v>Prestar los servicios de apoyo técnico para la gestión de la oficina tic, en la solución de requerimientos de servicios tecnológicos y soporte técnico presencial para la Caja de la Vivienda Popular.</v>
          </cell>
          <cell r="R581">
            <v>16634500</v>
          </cell>
          <cell r="S581">
            <v>0</v>
          </cell>
          <cell r="T581">
            <v>0</v>
          </cell>
          <cell r="U581">
            <v>16634500</v>
          </cell>
          <cell r="V581">
            <v>0</v>
          </cell>
        </row>
        <row r="582">
          <cell r="J582">
            <v>2529</v>
          </cell>
          <cell r="K582">
            <v>43305</v>
          </cell>
          <cell r="L582" t="str">
            <v>FIDEICOMISOS SERVITRUST GNB SUDAMERIS S.A.</v>
          </cell>
          <cell r="M582">
            <v>39</v>
          </cell>
          <cell r="N582" t="str">
            <v>ACTAS</v>
          </cell>
          <cell r="O582">
            <v>1</v>
          </cell>
          <cell r="P582">
            <v>43305</v>
          </cell>
          <cell r="Q582" t="str">
            <v>SUFRAGAR LOS GASTOS QUE SE INCURRAN  EN LA ADICIÓN DEL CONTRATO DE FIDUCIA MERCANTIL SUSCRITO CON FIDUCIARIA TEQUENDAMA S.A. HOY FIDUCIARIA GNB SUDAMERIS S.A, PATRIMONIO AUTÓNOMO ATAHUALPA II EN LIQUIDACIÓN, DE ACUERDO CON LO APROBADO EN EL ACTA DE JUNTA ORDINARIA NO. 1/2018 DEL 28 DE JUNIO DE 2018. CONSTITUCION MEDIANTE ESCRITURA PUBLICA N° 1353 DEL 11/08/1993, ID 2-1-9880.</v>
          </cell>
          <cell r="R582">
            <v>14280000</v>
          </cell>
          <cell r="S582">
            <v>0</v>
          </cell>
          <cell r="T582">
            <v>0</v>
          </cell>
          <cell r="U582">
            <v>14280000</v>
          </cell>
          <cell r="V582">
            <v>0</v>
          </cell>
        </row>
        <row r="583">
          <cell r="J583">
            <v>1484</v>
          </cell>
          <cell r="K583">
            <v>43160</v>
          </cell>
          <cell r="L583" t="str">
            <v>UNION TEMPORAL BIOLIMPIEZA</v>
          </cell>
          <cell r="M583">
            <v>4</v>
          </cell>
          <cell r="N583" t="str">
            <v>ORDEN DE COMPRA</v>
          </cell>
          <cell r="O583">
            <v>429</v>
          </cell>
          <cell r="P583">
            <v>43160</v>
          </cell>
          <cell r="Q583" t="str">
            <v>PRESTACIÓN DEL SERVICIO INTEGRAL DE ASEO Y CAFETERIA PARA LA CAJA DE LA VIVIENDA POPULAR</v>
          </cell>
          <cell r="R583">
            <v>157537280</v>
          </cell>
          <cell r="S583">
            <v>0</v>
          </cell>
          <cell r="T583">
            <v>0</v>
          </cell>
          <cell r="U583">
            <v>157537280</v>
          </cell>
          <cell r="V583">
            <v>67493932</v>
          </cell>
        </row>
        <row r="584">
          <cell r="J584">
            <v>1468</v>
          </cell>
          <cell r="K584">
            <v>43154</v>
          </cell>
          <cell r="L584" t="str">
            <v>PC COM S A</v>
          </cell>
          <cell r="M584">
            <v>4</v>
          </cell>
          <cell r="N584" t="str">
            <v>ORDEN DE COMPRA</v>
          </cell>
          <cell r="O584">
            <v>327</v>
          </cell>
          <cell r="P584">
            <v>43154</v>
          </cell>
          <cell r="Q584" t="str">
            <v>ADICIÓN AL CONTRATO 327 DE 2017, CUYO OBJETO ES: CONTRATAR EL ARRENDAMIENTO DE EQUIPOS TECNOLÓGICOS Y PERIFÉRICOS CON DESTINO A LAS DIFERENTES DEPENDENCIAS DE LA CAJA DE LA VIVIENDA POPULAR.</v>
          </cell>
          <cell r="R584">
            <v>62302353</v>
          </cell>
          <cell r="S584">
            <v>0</v>
          </cell>
          <cell r="T584">
            <v>0</v>
          </cell>
          <cell r="U584">
            <v>62302353</v>
          </cell>
          <cell r="V584">
            <v>62302353</v>
          </cell>
        </row>
        <row r="585">
          <cell r="J585">
            <v>1658</v>
          </cell>
          <cell r="K585">
            <v>43185</v>
          </cell>
          <cell r="L585" t="str">
            <v>COMPUTEL SYSTEM SAS</v>
          </cell>
          <cell r="M585">
            <v>4</v>
          </cell>
          <cell r="N585" t="str">
            <v>ORDEN DE COMPRA</v>
          </cell>
          <cell r="O585">
            <v>430</v>
          </cell>
          <cell r="P585">
            <v>43185</v>
          </cell>
          <cell r="Q585" t="str">
            <v>Arrendar Equipos Tecnológicos y Periféricos - ETP, de acuerdo a las especificaciones técnicas del Anexo Técnico establecidos conforme a las necesidades de la Caja de la Vivienda Popular.</v>
          </cell>
          <cell r="R585">
            <v>480518525</v>
          </cell>
          <cell r="S585">
            <v>0</v>
          </cell>
          <cell r="T585">
            <v>0</v>
          </cell>
          <cell r="U585">
            <v>480518525</v>
          </cell>
          <cell r="V585">
            <v>174574276</v>
          </cell>
        </row>
        <row r="586">
          <cell r="J586">
            <v>1802</v>
          </cell>
          <cell r="K586">
            <v>43203</v>
          </cell>
          <cell r="L586" t="str">
            <v>COLOMBIANA DE SOFTWARE Y HARDWARE COLSOF S A</v>
          </cell>
          <cell r="M586">
            <v>4</v>
          </cell>
          <cell r="N586" t="str">
            <v>ORDEN DE COMPRA</v>
          </cell>
          <cell r="O586">
            <v>433</v>
          </cell>
          <cell r="P586">
            <v>43203</v>
          </cell>
          <cell r="Q586" t="str">
            <v>Adquirir a Titulo de compra-venta, Equipos de Escritorios, de acuerdo a las especificaciones técnicas del Anexo Técnico establecidos conforme a las necesidades de la Caja de la Vivienda Popular.</v>
          </cell>
          <cell r="R586">
            <v>678072000</v>
          </cell>
          <cell r="S586">
            <v>0</v>
          </cell>
          <cell r="T586">
            <v>0</v>
          </cell>
          <cell r="U586">
            <v>678072000</v>
          </cell>
          <cell r="V586">
            <v>678072000</v>
          </cell>
        </row>
        <row r="587">
          <cell r="J587">
            <v>1960</v>
          </cell>
          <cell r="K587">
            <v>43250</v>
          </cell>
          <cell r="L587" t="str">
            <v>UT SOFT  IG</v>
          </cell>
          <cell r="M587">
            <v>4</v>
          </cell>
          <cell r="N587" t="str">
            <v>ORDEN DE COMPRA</v>
          </cell>
          <cell r="O587">
            <v>434</v>
          </cell>
          <cell r="P587">
            <v>43250</v>
          </cell>
          <cell r="Q587" t="str">
            <v>Adquirir el licenciamiento de Microsoft Office Profesional para uso de la Caja de la Vivienda Popular.</v>
          </cell>
          <cell r="R587">
            <v>317799910</v>
          </cell>
          <cell r="S587">
            <v>0</v>
          </cell>
          <cell r="T587">
            <v>0</v>
          </cell>
          <cell r="U587">
            <v>317799910</v>
          </cell>
          <cell r="V587">
            <v>317799910</v>
          </cell>
        </row>
        <row r="588">
          <cell r="J588">
            <v>1991</v>
          </cell>
          <cell r="K588">
            <v>43252</v>
          </cell>
          <cell r="L588" t="str">
            <v>EFORCERS S.A.</v>
          </cell>
          <cell r="M588">
            <v>100</v>
          </cell>
          <cell r="N588" t="str">
            <v>OFERTA DE COMPRA</v>
          </cell>
          <cell r="O588">
            <v>435</v>
          </cell>
          <cell r="P588">
            <v>43252</v>
          </cell>
          <cell r="Q588" t="str">
            <v>Adquisición de buzones de correo electrónico y herramientas de colaboración sobre la plataforma Google por medio del Licenciamiento G Suite para la Caja de la Vivienda Popular.</v>
          </cell>
          <cell r="R588">
            <v>198665476</v>
          </cell>
          <cell r="S588">
            <v>0</v>
          </cell>
          <cell r="T588">
            <v>0</v>
          </cell>
          <cell r="U588">
            <v>198665476</v>
          </cell>
          <cell r="V588">
            <v>198665476</v>
          </cell>
        </row>
        <row r="589">
          <cell r="J589">
            <v>2551</v>
          </cell>
          <cell r="K589">
            <v>43312</v>
          </cell>
          <cell r="L589" t="str">
            <v>UT   CCE   TECNOLOGICO</v>
          </cell>
          <cell r="M589">
            <v>4</v>
          </cell>
          <cell r="N589" t="str">
            <v>ORDEN DE COMPRA</v>
          </cell>
          <cell r="O589">
            <v>474</v>
          </cell>
          <cell r="P589">
            <v>43312</v>
          </cell>
          <cell r="Q589" t="str">
            <v>Adquirir a Título de compra-venta, computadores portátiles para la Caja de la Vivienda Popular, de acuerdo a características y cantidades descritas en el documento Anexo Técnico.</v>
          </cell>
          <cell r="R589">
            <v>36135918</v>
          </cell>
          <cell r="S589">
            <v>0</v>
          </cell>
          <cell r="T589">
            <v>0</v>
          </cell>
          <cell r="U589">
            <v>36135918</v>
          </cell>
          <cell r="V589">
            <v>0</v>
          </cell>
        </row>
        <row r="590">
          <cell r="J590">
            <v>364</v>
          </cell>
          <cell r="K590">
            <v>43124</v>
          </cell>
          <cell r="L590" t="str">
            <v>CAJA DE VIVIENDA POPULAR</v>
          </cell>
          <cell r="M590">
            <v>1</v>
          </cell>
          <cell r="N590" t="str">
            <v>RELACION DE AUTORIZACION</v>
          </cell>
          <cell r="O590">
            <v>4</v>
          </cell>
          <cell r="P590">
            <v>43124</v>
          </cell>
          <cell r="Q590" t="str">
            <v>PAGO DE LA NOMINA DEL MES DE ENERO DE 2018 DE PLANTA FIJA Y CONVENCIONADOS</v>
          </cell>
          <cell r="R590">
            <v>187375616</v>
          </cell>
          <cell r="S590">
            <v>0</v>
          </cell>
          <cell r="T590">
            <v>0</v>
          </cell>
          <cell r="U590">
            <v>187375616</v>
          </cell>
          <cell r="V590">
            <v>187375616</v>
          </cell>
        </row>
        <row r="591">
          <cell r="J591">
            <v>1384</v>
          </cell>
          <cell r="K591">
            <v>43151</v>
          </cell>
          <cell r="L591" t="str">
            <v>CAJA DE VIVIENDA POPULAR</v>
          </cell>
          <cell r="M591">
            <v>1</v>
          </cell>
          <cell r="N591" t="str">
            <v>RELACION DE AUTORIZACION</v>
          </cell>
          <cell r="O591">
            <v>16</v>
          </cell>
          <cell r="P591">
            <v>43151</v>
          </cell>
          <cell r="Q591" t="str">
            <v>PAGO DE LA NOMINA DEL MES DE FEBRERO DE 2018 DE PLANTA FIJA Y CONVENCIONADOS</v>
          </cell>
          <cell r="R591">
            <v>206598856</v>
          </cell>
          <cell r="S591">
            <v>0</v>
          </cell>
          <cell r="T591">
            <v>0</v>
          </cell>
          <cell r="U591">
            <v>206598856</v>
          </cell>
          <cell r="V591">
            <v>206598856</v>
          </cell>
        </row>
        <row r="592">
          <cell r="J592">
            <v>1603</v>
          </cell>
          <cell r="K592">
            <v>43180</v>
          </cell>
          <cell r="L592" t="str">
            <v>CAJA DE VIVIENDA POPULAR</v>
          </cell>
          <cell r="M592">
            <v>1</v>
          </cell>
          <cell r="N592" t="str">
            <v>RELACION DE AUTORIZACION</v>
          </cell>
          <cell r="O592">
            <v>24</v>
          </cell>
          <cell r="P592">
            <v>43180</v>
          </cell>
          <cell r="Q592" t="str">
            <v>PAGO DE LA NOMINA DEL MES DE MARZO DE 2018 DE PLANTA FIJA Y CONVENCIONADOS</v>
          </cell>
          <cell r="R592">
            <v>228012870</v>
          </cell>
          <cell r="S592">
            <v>228012870</v>
          </cell>
          <cell r="T592">
            <v>0</v>
          </cell>
          <cell r="U592">
            <v>0</v>
          </cell>
          <cell r="V592">
            <v>0</v>
          </cell>
        </row>
        <row r="593">
          <cell r="J593">
            <v>1615</v>
          </cell>
          <cell r="K593">
            <v>43181</v>
          </cell>
          <cell r="L593" t="str">
            <v>CAJA DE VIVIENDA POPULAR</v>
          </cell>
          <cell r="M593">
            <v>1</v>
          </cell>
          <cell r="N593" t="str">
            <v>RELACION DE AUTORIZACION</v>
          </cell>
          <cell r="O593">
            <v>24</v>
          </cell>
          <cell r="P593">
            <v>43181</v>
          </cell>
          <cell r="Q593" t="str">
            <v>PAGO DE LA NOMINA DEL MES DE MARZO DE 2018 DE PLANTA FIJA Y CONVENCIONADOS</v>
          </cell>
          <cell r="R593">
            <v>228278473</v>
          </cell>
          <cell r="S593">
            <v>0</v>
          </cell>
          <cell r="T593">
            <v>0</v>
          </cell>
          <cell r="U593">
            <v>228278473</v>
          </cell>
          <cell r="V593">
            <v>228278473</v>
          </cell>
        </row>
        <row r="594">
          <cell r="J594">
            <v>1830</v>
          </cell>
          <cell r="K594">
            <v>43213</v>
          </cell>
          <cell r="L594" t="str">
            <v>CAJA DE VIVIENDA POPULAR</v>
          </cell>
          <cell r="M594">
            <v>1</v>
          </cell>
          <cell r="N594" t="str">
            <v>RELACION DE AUTORIZACION</v>
          </cell>
          <cell r="O594">
            <v>32</v>
          </cell>
          <cell r="P594">
            <v>43213</v>
          </cell>
          <cell r="Q594" t="str">
            <v>PAGO SERVICIOS ASOCIADOS A LA NOMINA DEL MES DE ABRIL DE 2018 DE PLANTA FIJA Y CONVENCIONADOS</v>
          </cell>
          <cell r="R594">
            <v>243990935</v>
          </cell>
          <cell r="S594">
            <v>0</v>
          </cell>
          <cell r="T594">
            <v>0</v>
          </cell>
          <cell r="U594">
            <v>243990935</v>
          </cell>
          <cell r="V594">
            <v>243990935</v>
          </cell>
        </row>
        <row r="595">
          <cell r="J595">
            <v>1947</v>
          </cell>
          <cell r="K595">
            <v>43243</v>
          </cell>
          <cell r="L595" t="str">
            <v>CAJA DE VIVIENDA POPULAR</v>
          </cell>
          <cell r="M595">
            <v>1</v>
          </cell>
          <cell r="N595" t="str">
            <v>RELACION DE AUTORIZACION</v>
          </cell>
          <cell r="O595">
            <v>36</v>
          </cell>
          <cell r="P595">
            <v>43243</v>
          </cell>
          <cell r="Q595" t="str">
            <v>PAGO DE LA NOMINA DEL MES DE MAYO DE 2018 DE PLANTA FIJA Y CONVENCIONADOS</v>
          </cell>
          <cell r="R595">
            <v>231186672</v>
          </cell>
          <cell r="S595">
            <v>0</v>
          </cell>
          <cell r="T595">
            <v>0</v>
          </cell>
          <cell r="U595">
            <v>231186672</v>
          </cell>
          <cell r="V595">
            <v>231186672</v>
          </cell>
        </row>
        <row r="596">
          <cell r="J596">
            <v>2053</v>
          </cell>
          <cell r="K596">
            <v>43271</v>
          </cell>
          <cell r="L596" t="str">
            <v>CAJA DE VIVIENDA POPULAR</v>
          </cell>
          <cell r="M596">
            <v>1</v>
          </cell>
          <cell r="N596" t="str">
            <v>RELACION DE AUTORIZACION</v>
          </cell>
          <cell r="O596">
            <v>45</v>
          </cell>
          <cell r="P596">
            <v>43271</v>
          </cell>
          <cell r="Q596" t="str">
            <v>PAGO DE LA NOMINA DEL MES DE JUNIO DE 2018 DE PLANTA FIJA Y CONVENCIONADOS</v>
          </cell>
          <cell r="R596">
            <v>218477295</v>
          </cell>
          <cell r="S596">
            <v>0</v>
          </cell>
          <cell r="T596">
            <v>0</v>
          </cell>
          <cell r="U596">
            <v>218477295</v>
          </cell>
          <cell r="V596">
            <v>218477295</v>
          </cell>
        </row>
        <row r="597">
          <cell r="J597">
            <v>2520</v>
          </cell>
          <cell r="K597">
            <v>43305</v>
          </cell>
          <cell r="L597" t="str">
            <v>CAJA DE VIVIENDA POPULAR</v>
          </cell>
          <cell r="M597">
            <v>1</v>
          </cell>
          <cell r="N597" t="str">
            <v>RELACION DE AUTORIZACION</v>
          </cell>
          <cell r="O597">
            <v>51</v>
          </cell>
          <cell r="P597">
            <v>43305</v>
          </cell>
          <cell r="Q597" t="str">
            <v>PAGO DE LA NOMINA DEL MES DE JULIO DE 2018 DE LA PLANTA FIJA Y CONVENCIONADOS</v>
          </cell>
          <cell r="R597">
            <v>210724823</v>
          </cell>
          <cell r="S597">
            <v>0</v>
          </cell>
          <cell r="T597">
            <v>0</v>
          </cell>
          <cell r="U597">
            <v>210724823</v>
          </cell>
          <cell r="V597">
            <v>210724823</v>
          </cell>
        </row>
        <row r="598">
          <cell r="J598">
            <v>364</v>
          </cell>
          <cell r="K598">
            <v>43124</v>
          </cell>
          <cell r="L598" t="str">
            <v>CAJA DE VIVIENDA POPULAR</v>
          </cell>
          <cell r="M598">
            <v>1</v>
          </cell>
          <cell r="N598" t="str">
            <v>RELACION DE AUTORIZACION</v>
          </cell>
          <cell r="O598">
            <v>4</v>
          </cell>
          <cell r="P598">
            <v>43124</v>
          </cell>
          <cell r="Q598" t="str">
            <v>PAGO DE LA NOMINA DEL MES DE ENERO DE 2018 DE PLANTA FIJA Y CONVENCIONADOS</v>
          </cell>
          <cell r="R598">
            <v>31335457</v>
          </cell>
          <cell r="S598">
            <v>0</v>
          </cell>
          <cell r="T598">
            <v>0</v>
          </cell>
          <cell r="U598">
            <v>31335457</v>
          </cell>
          <cell r="V598">
            <v>31335457</v>
          </cell>
        </row>
        <row r="599">
          <cell r="J599">
            <v>1384</v>
          </cell>
          <cell r="K599">
            <v>43151</v>
          </cell>
          <cell r="L599" t="str">
            <v>CAJA DE VIVIENDA POPULAR</v>
          </cell>
          <cell r="M599">
            <v>1</v>
          </cell>
          <cell r="N599" t="str">
            <v>RELACION DE AUTORIZACION</v>
          </cell>
          <cell r="O599">
            <v>16</v>
          </cell>
          <cell r="P599">
            <v>43151</v>
          </cell>
          <cell r="Q599" t="str">
            <v>PAGO DE LA NOMINA DEL MES DE FEBRERO DE 2018 DE PLANTA FIJA Y CONVENCIONADOS</v>
          </cell>
          <cell r="R599">
            <v>30786173</v>
          </cell>
          <cell r="S599">
            <v>0</v>
          </cell>
          <cell r="T599">
            <v>0</v>
          </cell>
          <cell r="U599">
            <v>30786173</v>
          </cell>
          <cell r="V599">
            <v>30786173</v>
          </cell>
        </row>
        <row r="600">
          <cell r="J600">
            <v>1603</v>
          </cell>
          <cell r="K600">
            <v>43180</v>
          </cell>
          <cell r="L600" t="str">
            <v>CAJA DE VIVIENDA POPULAR</v>
          </cell>
          <cell r="M600">
            <v>1</v>
          </cell>
          <cell r="N600" t="str">
            <v>RELACION DE AUTORIZACION</v>
          </cell>
          <cell r="O600">
            <v>24</v>
          </cell>
          <cell r="P600">
            <v>43180</v>
          </cell>
          <cell r="Q600" t="str">
            <v>PAGO DE LA NOMINA DEL MES DE MARZO DE 2018 DE PLANTA FIJA Y CONVENCIONADOS</v>
          </cell>
          <cell r="R600">
            <v>35552432</v>
          </cell>
          <cell r="S600">
            <v>35552432</v>
          </cell>
          <cell r="T600">
            <v>0</v>
          </cell>
          <cell r="U600">
            <v>0</v>
          </cell>
          <cell r="V600">
            <v>0</v>
          </cell>
        </row>
        <row r="601">
          <cell r="J601">
            <v>1615</v>
          </cell>
          <cell r="K601">
            <v>43181</v>
          </cell>
          <cell r="L601" t="str">
            <v>CAJA DE VIVIENDA POPULAR</v>
          </cell>
          <cell r="M601">
            <v>1</v>
          </cell>
          <cell r="N601" t="str">
            <v>RELACION DE AUTORIZACION</v>
          </cell>
          <cell r="O601">
            <v>24</v>
          </cell>
          <cell r="P601">
            <v>43181</v>
          </cell>
          <cell r="Q601" t="str">
            <v>PAGO DE LA NOMINA DEL MES DE MARZO DE 2018 DE PLANTA FIJA Y CONVENCIONADOS</v>
          </cell>
          <cell r="R601">
            <v>35442602</v>
          </cell>
          <cell r="S601">
            <v>0</v>
          </cell>
          <cell r="T601">
            <v>0</v>
          </cell>
          <cell r="U601">
            <v>35442602</v>
          </cell>
          <cell r="V601">
            <v>35442602</v>
          </cell>
        </row>
        <row r="602">
          <cell r="J602">
            <v>1830</v>
          </cell>
          <cell r="K602">
            <v>43213</v>
          </cell>
          <cell r="L602" t="str">
            <v>CAJA DE VIVIENDA POPULAR</v>
          </cell>
          <cell r="M602">
            <v>1</v>
          </cell>
          <cell r="N602" t="str">
            <v>RELACION DE AUTORIZACION</v>
          </cell>
          <cell r="O602">
            <v>32</v>
          </cell>
          <cell r="P602">
            <v>43213</v>
          </cell>
          <cell r="Q602" t="str">
            <v>PAGO SERVICIOS ASOCIADOS A LA NOMINA DEL MES DE ABRIL DE 2018 DE PLANTA FIJA Y CONVENCIONADOS</v>
          </cell>
          <cell r="R602">
            <v>34396580</v>
          </cell>
          <cell r="S602">
            <v>0</v>
          </cell>
          <cell r="T602">
            <v>0</v>
          </cell>
          <cell r="U602">
            <v>34396580</v>
          </cell>
          <cell r="V602">
            <v>34396580</v>
          </cell>
        </row>
        <row r="603">
          <cell r="J603">
            <v>1947</v>
          </cell>
          <cell r="K603">
            <v>43243</v>
          </cell>
          <cell r="L603" t="str">
            <v>CAJA DE VIVIENDA POPULAR</v>
          </cell>
          <cell r="M603">
            <v>1</v>
          </cell>
          <cell r="N603" t="str">
            <v>RELACION DE AUTORIZACION</v>
          </cell>
          <cell r="O603">
            <v>36</v>
          </cell>
          <cell r="P603">
            <v>43243</v>
          </cell>
          <cell r="Q603" t="str">
            <v>PAGO DE LA NOMINA DEL MES DE MAYO DE 2018 DE PLANTA FIJA Y CONVENCIONADOS</v>
          </cell>
          <cell r="R603">
            <v>33129369</v>
          </cell>
          <cell r="S603">
            <v>0</v>
          </cell>
          <cell r="T603">
            <v>0</v>
          </cell>
          <cell r="U603">
            <v>33129369</v>
          </cell>
          <cell r="V603">
            <v>33129369</v>
          </cell>
        </row>
        <row r="604">
          <cell r="J604">
            <v>2053</v>
          </cell>
          <cell r="K604">
            <v>43271</v>
          </cell>
          <cell r="L604" t="str">
            <v>CAJA DE VIVIENDA POPULAR</v>
          </cell>
          <cell r="M604">
            <v>1</v>
          </cell>
          <cell r="N604" t="str">
            <v>RELACION DE AUTORIZACION</v>
          </cell>
          <cell r="O604">
            <v>45</v>
          </cell>
          <cell r="P604">
            <v>43271</v>
          </cell>
          <cell r="Q604" t="str">
            <v>PAGO DE LA NOMINA DEL MES DE JUNIO DE 2018 DE PLANTA FIJA Y CONVENCIONADOS</v>
          </cell>
          <cell r="R604">
            <v>35009866</v>
          </cell>
          <cell r="S604">
            <v>0</v>
          </cell>
          <cell r="T604">
            <v>0</v>
          </cell>
          <cell r="U604">
            <v>35009866</v>
          </cell>
          <cell r="V604">
            <v>35009866</v>
          </cell>
        </row>
        <row r="605">
          <cell r="J605">
            <v>2520</v>
          </cell>
          <cell r="K605">
            <v>43305</v>
          </cell>
          <cell r="L605" t="str">
            <v>CAJA DE VIVIENDA POPULAR</v>
          </cell>
          <cell r="M605">
            <v>1</v>
          </cell>
          <cell r="N605" t="str">
            <v>RELACION DE AUTORIZACION</v>
          </cell>
          <cell r="O605">
            <v>51</v>
          </cell>
          <cell r="P605">
            <v>43305</v>
          </cell>
          <cell r="Q605" t="str">
            <v>PAGO DE LA NOMINA DEL MES DE JULIO DE 2018 DE LA PLANTA FIJA Y CONVENCIONADOS</v>
          </cell>
          <cell r="R605">
            <v>30736009</v>
          </cell>
          <cell r="S605">
            <v>0</v>
          </cell>
          <cell r="T605">
            <v>0</v>
          </cell>
          <cell r="U605">
            <v>30736009</v>
          </cell>
          <cell r="V605">
            <v>30736009</v>
          </cell>
        </row>
        <row r="606">
          <cell r="J606">
            <v>364</v>
          </cell>
          <cell r="K606">
            <v>43124</v>
          </cell>
          <cell r="L606" t="str">
            <v>CAJA DE VIVIENDA POPULAR</v>
          </cell>
          <cell r="M606">
            <v>1</v>
          </cell>
          <cell r="N606" t="str">
            <v>RELACION DE AUTORIZACION</v>
          </cell>
          <cell r="O606">
            <v>4</v>
          </cell>
          <cell r="P606">
            <v>43124</v>
          </cell>
          <cell r="Q606" t="str">
            <v>PAGO DE LA NOMINA DEL MES DE ENERO DE 2018 DE PLANTA FIJA Y CONVENCIONADOS</v>
          </cell>
          <cell r="R606">
            <v>844048</v>
          </cell>
          <cell r="S606">
            <v>0</v>
          </cell>
          <cell r="T606">
            <v>0</v>
          </cell>
          <cell r="U606">
            <v>844048</v>
          </cell>
          <cell r="V606">
            <v>844048</v>
          </cell>
        </row>
        <row r="607">
          <cell r="J607">
            <v>1384</v>
          </cell>
          <cell r="K607">
            <v>43151</v>
          </cell>
          <cell r="L607" t="str">
            <v>CAJA DE VIVIENDA POPULAR</v>
          </cell>
          <cell r="M607">
            <v>1</v>
          </cell>
          <cell r="N607" t="str">
            <v>RELACION DE AUTORIZACION</v>
          </cell>
          <cell r="O607">
            <v>16</v>
          </cell>
          <cell r="P607">
            <v>43151</v>
          </cell>
          <cell r="Q607" t="str">
            <v>PAGO DE LA NOMINA DEL MES DE FEBRERO DE 2018 DE PLANTA FIJA Y CONVENCIONADOS</v>
          </cell>
          <cell r="R607">
            <v>835105</v>
          </cell>
          <cell r="S607">
            <v>0</v>
          </cell>
          <cell r="T607">
            <v>0</v>
          </cell>
          <cell r="U607">
            <v>835105</v>
          </cell>
          <cell r="V607">
            <v>835105</v>
          </cell>
        </row>
        <row r="608">
          <cell r="J608">
            <v>1603</v>
          </cell>
          <cell r="K608">
            <v>43180</v>
          </cell>
          <cell r="L608" t="str">
            <v>CAJA DE VIVIENDA POPULAR</v>
          </cell>
          <cell r="M608">
            <v>1</v>
          </cell>
          <cell r="N608" t="str">
            <v>RELACION DE AUTORIZACION</v>
          </cell>
          <cell r="O608">
            <v>24</v>
          </cell>
          <cell r="P608">
            <v>43180</v>
          </cell>
          <cell r="Q608" t="str">
            <v>PAGO DE LA NOMINA DEL MES DE MARZO DE 2018 DE PLANTA FIJA Y CONVENCIONADOS</v>
          </cell>
          <cell r="R608">
            <v>916651</v>
          </cell>
          <cell r="S608">
            <v>916651</v>
          </cell>
          <cell r="T608">
            <v>0</v>
          </cell>
          <cell r="U608">
            <v>0</v>
          </cell>
          <cell r="V608">
            <v>0</v>
          </cell>
        </row>
        <row r="609">
          <cell r="J609">
            <v>1615</v>
          </cell>
          <cell r="K609">
            <v>43181</v>
          </cell>
          <cell r="L609" t="str">
            <v>CAJA DE VIVIENDA POPULAR</v>
          </cell>
          <cell r="M609">
            <v>1</v>
          </cell>
          <cell r="N609" t="str">
            <v>RELACION DE AUTORIZACION</v>
          </cell>
          <cell r="O609">
            <v>24</v>
          </cell>
          <cell r="P609">
            <v>43181</v>
          </cell>
          <cell r="Q609" t="str">
            <v>PAGO DE LA NOMINA DEL MES DE MARZO DE 2018 DE PLANTA FIJA Y CONVENCIONADOS</v>
          </cell>
          <cell r="R609">
            <v>916651</v>
          </cell>
          <cell r="S609">
            <v>0</v>
          </cell>
          <cell r="T609">
            <v>0</v>
          </cell>
          <cell r="U609">
            <v>916651</v>
          </cell>
          <cell r="V609">
            <v>916651</v>
          </cell>
        </row>
        <row r="610">
          <cell r="J610">
            <v>1830</v>
          </cell>
          <cell r="K610">
            <v>43213</v>
          </cell>
          <cell r="L610" t="str">
            <v>CAJA DE VIVIENDA POPULAR</v>
          </cell>
          <cell r="M610">
            <v>1</v>
          </cell>
          <cell r="N610" t="str">
            <v>RELACION DE AUTORIZACION</v>
          </cell>
          <cell r="O610">
            <v>32</v>
          </cell>
          <cell r="P610">
            <v>43213</v>
          </cell>
          <cell r="Q610" t="str">
            <v>PAGO SERVICIOS ASOCIADOS A LA NOMINA DEL MES DE ABRIL DE 2018 DE PLANTA FIJA Y CONVENCIONADOS</v>
          </cell>
          <cell r="R610">
            <v>743484</v>
          </cell>
          <cell r="S610">
            <v>0</v>
          </cell>
          <cell r="T610">
            <v>0</v>
          </cell>
          <cell r="U610">
            <v>743484</v>
          </cell>
          <cell r="V610">
            <v>743484</v>
          </cell>
        </row>
        <row r="611">
          <cell r="J611">
            <v>1947</v>
          </cell>
          <cell r="K611">
            <v>43243</v>
          </cell>
          <cell r="L611" t="str">
            <v>CAJA DE VIVIENDA POPULAR</v>
          </cell>
          <cell r="M611">
            <v>1</v>
          </cell>
          <cell r="N611" t="str">
            <v>RELACION DE AUTORIZACION</v>
          </cell>
          <cell r="O611">
            <v>36</v>
          </cell>
          <cell r="P611">
            <v>43243</v>
          </cell>
          <cell r="Q611" t="str">
            <v>PAGO DE LA NOMINA DEL MES DE MAYO DE 2018 DE PLANTA FIJA Y CONVENCIONADOS</v>
          </cell>
          <cell r="R611">
            <v>904619</v>
          </cell>
          <cell r="S611">
            <v>0</v>
          </cell>
          <cell r="T611">
            <v>0</v>
          </cell>
          <cell r="U611">
            <v>904619</v>
          </cell>
          <cell r="V611">
            <v>904619</v>
          </cell>
        </row>
        <row r="612">
          <cell r="J612">
            <v>2053</v>
          </cell>
          <cell r="K612">
            <v>43271</v>
          </cell>
          <cell r="L612" t="str">
            <v>CAJA DE VIVIENDA POPULAR</v>
          </cell>
          <cell r="M612">
            <v>1</v>
          </cell>
          <cell r="N612" t="str">
            <v>RELACION DE AUTORIZACION</v>
          </cell>
          <cell r="O612">
            <v>45</v>
          </cell>
          <cell r="P612">
            <v>43271</v>
          </cell>
          <cell r="Q612" t="str">
            <v>PAGO DE LA NOMINA DEL MES DE JUNIO DE 2018 DE PLANTA FIJA Y CONVENCIONADOS</v>
          </cell>
          <cell r="R612">
            <v>900849</v>
          </cell>
          <cell r="S612">
            <v>0</v>
          </cell>
          <cell r="T612">
            <v>0</v>
          </cell>
          <cell r="U612">
            <v>900849</v>
          </cell>
          <cell r="V612">
            <v>900849</v>
          </cell>
        </row>
        <row r="613">
          <cell r="J613">
            <v>2520</v>
          </cell>
          <cell r="K613">
            <v>43305</v>
          </cell>
          <cell r="L613" t="str">
            <v>CAJA DE VIVIENDA POPULAR</v>
          </cell>
          <cell r="M613">
            <v>1</v>
          </cell>
          <cell r="N613" t="str">
            <v>RELACION DE AUTORIZACION</v>
          </cell>
          <cell r="O613">
            <v>51</v>
          </cell>
          <cell r="P613">
            <v>43305</v>
          </cell>
          <cell r="Q613" t="str">
            <v>PAGO DE LA NOMINA DEL MES DE JULIO DE 2018 DE LA PLANTA FIJA Y CONVENCIONADOS</v>
          </cell>
          <cell r="R613">
            <v>889541</v>
          </cell>
          <cell r="S613">
            <v>0</v>
          </cell>
          <cell r="T613">
            <v>0</v>
          </cell>
          <cell r="U613">
            <v>889541</v>
          </cell>
          <cell r="V613">
            <v>889541</v>
          </cell>
        </row>
        <row r="614">
          <cell r="J614">
            <v>364</v>
          </cell>
          <cell r="K614">
            <v>43124</v>
          </cell>
          <cell r="L614" t="str">
            <v>CAJA DE VIVIENDA POPULAR</v>
          </cell>
          <cell r="M614">
            <v>1</v>
          </cell>
          <cell r="N614" t="str">
            <v>RELACION DE AUTORIZACION</v>
          </cell>
          <cell r="O614">
            <v>4</v>
          </cell>
          <cell r="P614">
            <v>43124</v>
          </cell>
          <cell r="Q614" t="str">
            <v>PAGO DE LA NOMINA DEL MES DE ENERO DE 2018 DE PLANTA FIJA Y CONVENCIONADOS</v>
          </cell>
          <cell r="R614">
            <v>1361390</v>
          </cell>
          <cell r="S614">
            <v>0</v>
          </cell>
          <cell r="T614">
            <v>0</v>
          </cell>
          <cell r="U614">
            <v>1361390</v>
          </cell>
          <cell r="V614">
            <v>1361390</v>
          </cell>
        </row>
        <row r="615">
          <cell r="J615">
            <v>1384</v>
          </cell>
          <cell r="K615">
            <v>43151</v>
          </cell>
          <cell r="L615" t="str">
            <v>CAJA DE VIVIENDA POPULAR</v>
          </cell>
          <cell r="M615">
            <v>1</v>
          </cell>
          <cell r="N615" t="str">
            <v>RELACION DE AUTORIZACION</v>
          </cell>
          <cell r="O615">
            <v>16</v>
          </cell>
          <cell r="P615">
            <v>43151</v>
          </cell>
          <cell r="Q615" t="str">
            <v>PAGO DE LA NOMINA DEL MES DE FEBRERO DE 2018 DE PLANTA FIJA Y CONVENCIONADOS</v>
          </cell>
          <cell r="R615">
            <v>1817147</v>
          </cell>
          <cell r="S615">
            <v>0</v>
          </cell>
          <cell r="T615">
            <v>0</v>
          </cell>
          <cell r="U615">
            <v>1817147</v>
          </cell>
          <cell r="V615">
            <v>1817147</v>
          </cell>
        </row>
        <row r="616">
          <cell r="J616">
            <v>1603</v>
          </cell>
          <cell r="K616">
            <v>43180</v>
          </cell>
          <cell r="L616" t="str">
            <v>CAJA DE VIVIENDA POPULAR</v>
          </cell>
          <cell r="M616">
            <v>1</v>
          </cell>
          <cell r="N616" t="str">
            <v>RELACION DE AUTORIZACION</v>
          </cell>
          <cell r="O616">
            <v>24</v>
          </cell>
          <cell r="P616">
            <v>43180</v>
          </cell>
          <cell r="Q616" t="str">
            <v>PAGO DE LA NOMINA DEL MES DE MARZO DE 2018 DE PLANTA FIJA Y CONVENCIONADOS</v>
          </cell>
          <cell r="R616">
            <v>1972987</v>
          </cell>
          <cell r="S616">
            <v>1972987</v>
          </cell>
          <cell r="T616">
            <v>0</v>
          </cell>
          <cell r="U616">
            <v>0</v>
          </cell>
          <cell r="V616">
            <v>0</v>
          </cell>
        </row>
        <row r="617">
          <cell r="J617">
            <v>1615</v>
          </cell>
          <cell r="K617">
            <v>43181</v>
          </cell>
          <cell r="L617" t="str">
            <v>CAJA DE VIVIENDA POPULAR</v>
          </cell>
          <cell r="M617">
            <v>1</v>
          </cell>
          <cell r="N617" t="str">
            <v>RELACION DE AUTORIZACION</v>
          </cell>
          <cell r="O617">
            <v>24</v>
          </cell>
          <cell r="P617">
            <v>43181</v>
          </cell>
          <cell r="Q617" t="str">
            <v>PAGO DE LA NOMINA DEL MES DE MARZO DE 2018 DE PLANTA FIJA Y CONVENCIONADOS</v>
          </cell>
          <cell r="R617">
            <v>1972987</v>
          </cell>
          <cell r="S617">
            <v>0</v>
          </cell>
          <cell r="T617">
            <v>0</v>
          </cell>
          <cell r="U617">
            <v>1972987</v>
          </cell>
          <cell r="V617">
            <v>1972987</v>
          </cell>
        </row>
        <row r="618">
          <cell r="J618">
            <v>1830</v>
          </cell>
          <cell r="K618">
            <v>43213</v>
          </cell>
          <cell r="L618" t="str">
            <v>CAJA DE VIVIENDA POPULAR</v>
          </cell>
          <cell r="M618">
            <v>1</v>
          </cell>
          <cell r="N618" t="str">
            <v>RELACION DE AUTORIZACION</v>
          </cell>
          <cell r="O618">
            <v>32</v>
          </cell>
          <cell r="P618">
            <v>43213</v>
          </cell>
          <cell r="Q618" t="str">
            <v>PAGO SERVICIOS ASOCIADOS A LA NOMINA DEL MES DE ABRIL DE 2018 DE PLANTA FIJA Y CONVENCIONADOS</v>
          </cell>
          <cell r="R618">
            <v>1752459</v>
          </cell>
          <cell r="S618">
            <v>0</v>
          </cell>
          <cell r="T618">
            <v>0</v>
          </cell>
          <cell r="U618">
            <v>1752459</v>
          </cell>
          <cell r="V618">
            <v>1752459</v>
          </cell>
        </row>
        <row r="619">
          <cell r="J619">
            <v>1947</v>
          </cell>
          <cell r="K619">
            <v>43243</v>
          </cell>
          <cell r="L619" t="str">
            <v>CAJA DE VIVIENDA POPULAR</v>
          </cell>
          <cell r="M619">
            <v>1</v>
          </cell>
          <cell r="N619" t="str">
            <v>RELACION DE AUTORIZACION</v>
          </cell>
          <cell r="O619">
            <v>36</v>
          </cell>
          <cell r="P619">
            <v>43243</v>
          </cell>
          <cell r="Q619" t="str">
            <v>PAGO DE LA NOMINA DEL MES DE MAYO DE 2018 DE PLANTA FIJA Y CONVENCIONADOS</v>
          </cell>
          <cell r="R619">
            <v>1761282</v>
          </cell>
          <cell r="S619">
            <v>0</v>
          </cell>
          <cell r="T619">
            <v>0</v>
          </cell>
          <cell r="U619">
            <v>1761282</v>
          </cell>
          <cell r="V619">
            <v>1761282</v>
          </cell>
        </row>
        <row r="620">
          <cell r="J620">
            <v>2053</v>
          </cell>
          <cell r="K620">
            <v>43271</v>
          </cell>
          <cell r="L620" t="str">
            <v>CAJA DE VIVIENDA POPULAR</v>
          </cell>
          <cell r="M620">
            <v>1</v>
          </cell>
          <cell r="N620" t="str">
            <v>RELACION DE AUTORIZACION</v>
          </cell>
          <cell r="O620">
            <v>45</v>
          </cell>
          <cell r="P620">
            <v>43271</v>
          </cell>
          <cell r="Q620" t="str">
            <v>PAGO DE LA NOMINA DEL MES DE JUNIO DE 2018 DE PLANTA FIJA Y CONVENCIONADOS</v>
          </cell>
          <cell r="R620">
            <v>1746579</v>
          </cell>
          <cell r="S620">
            <v>0</v>
          </cell>
          <cell r="T620">
            <v>0</v>
          </cell>
          <cell r="U620">
            <v>1746579</v>
          </cell>
          <cell r="V620">
            <v>1746579</v>
          </cell>
        </row>
        <row r="621">
          <cell r="J621">
            <v>2520</v>
          </cell>
          <cell r="K621">
            <v>43305</v>
          </cell>
          <cell r="L621" t="str">
            <v>CAJA DE VIVIENDA POPULAR</v>
          </cell>
          <cell r="M621">
            <v>1</v>
          </cell>
          <cell r="N621" t="str">
            <v>RELACION DE AUTORIZACION</v>
          </cell>
          <cell r="O621">
            <v>51</v>
          </cell>
          <cell r="P621">
            <v>43305</v>
          </cell>
          <cell r="Q621" t="str">
            <v>PAGO DE LA NOMINA DEL MES DE JULIO DE 2018 DE LA PLANTA FIJA Y CONVENCIONADOS</v>
          </cell>
          <cell r="R621">
            <v>1784805</v>
          </cell>
          <cell r="S621">
            <v>0</v>
          </cell>
          <cell r="T621">
            <v>0</v>
          </cell>
          <cell r="U621">
            <v>1784805</v>
          </cell>
          <cell r="V621">
            <v>1784805</v>
          </cell>
        </row>
        <row r="622">
          <cell r="J622">
            <v>364</v>
          </cell>
          <cell r="K622">
            <v>43124</v>
          </cell>
          <cell r="L622" t="str">
            <v>CAJA DE VIVIENDA POPULAR</v>
          </cell>
          <cell r="M622">
            <v>1</v>
          </cell>
          <cell r="N622" t="str">
            <v>RELACION DE AUTORIZACION</v>
          </cell>
          <cell r="O622">
            <v>4</v>
          </cell>
          <cell r="P622">
            <v>43124</v>
          </cell>
          <cell r="Q622" t="str">
            <v>PAGO DE LA NOMINA DEL MES DE ENERO DE 2018 DE PLANTA FIJA Y CONVENCIONADOS</v>
          </cell>
          <cell r="R622">
            <v>2288178</v>
          </cell>
          <cell r="S622">
            <v>0</v>
          </cell>
          <cell r="T622">
            <v>0</v>
          </cell>
          <cell r="U622">
            <v>2288178</v>
          </cell>
          <cell r="V622">
            <v>2288178</v>
          </cell>
        </row>
        <row r="623">
          <cell r="J623">
            <v>1384</v>
          </cell>
          <cell r="K623">
            <v>43151</v>
          </cell>
          <cell r="L623" t="str">
            <v>CAJA DE VIVIENDA POPULAR</v>
          </cell>
          <cell r="M623">
            <v>1</v>
          </cell>
          <cell r="N623" t="str">
            <v>RELACION DE AUTORIZACION</v>
          </cell>
          <cell r="O623">
            <v>16</v>
          </cell>
          <cell r="P623">
            <v>43151</v>
          </cell>
          <cell r="Q623" t="str">
            <v>PAGO DE LA NOMINA DEL MES DE FEBRERO DE 2018 DE PLANTA FIJA Y CONVENCIONADOS</v>
          </cell>
          <cell r="R623">
            <v>3227632</v>
          </cell>
          <cell r="S623">
            <v>0</v>
          </cell>
          <cell r="T623">
            <v>0</v>
          </cell>
          <cell r="U623">
            <v>3227632</v>
          </cell>
          <cell r="V623">
            <v>3227632</v>
          </cell>
        </row>
        <row r="624">
          <cell r="J624">
            <v>1603</v>
          </cell>
          <cell r="K624">
            <v>43180</v>
          </cell>
          <cell r="L624" t="str">
            <v>CAJA DE VIVIENDA POPULAR</v>
          </cell>
          <cell r="M624">
            <v>1</v>
          </cell>
          <cell r="N624" t="str">
            <v>RELACION DE AUTORIZACION</v>
          </cell>
          <cell r="O624">
            <v>24</v>
          </cell>
          <cell r="P624">
            <v>43180</v>
          </cell>
          <cell r="Q624" t="str">
            <v>PAGO DE LA NOMINA DEL MES DE MARZO DE 2018 DE PLANTA FIJA Y CONVENCIONADOS</v>
          </cell>
          <cell r="R624">
            <v>3484915</v>
          </cell>
          <cell r="S624">
            <v>3484915</v>
          </cell>
          <cell r="T624">
            <v>0</v>
          </cell>
          <cell r="U624">
            <v>0</v>
          </cell>
          <cell r="V624">
            <v>0</v>
          </cell>
        </row>
        <row r="625">
          <cell r="J625">
            <v>1615</v>
          </cell>
          <cell r="K625">
            <v>43181</v>
          </cell>
          <cell r="L625" t="str">
            <v>CAJA DE VIVIENDA POPULAR</v>
          </cell>
          <cell r="M625">
            <v>1</v>
          </cell>
          <cell r="N625" t="str">
            <v>RELACION DE AUTORIZACION</v>
          </cell>
          <cell r="O625">
            <v>24</v>
          </cell>
          <cell r="P625">
            <v>43181</v>
          </cell>
          <cell r="Q625" t="str">
            <v>PAGO DE LA NOMINA DEL MES DE MARZO DE 2018 DE PLANTA FIJA Y CONVENCIONADOS</v>
          </cell>
          <cell r="R625">
            <v>3484915</v>
          </cell>
          <cell r="S625">
            <v>0</v>
          </cell>
          <cell r="T625">
            <v>0</v>
          </cell>
          <cell r="U625">
            <v>3484915</v>
          </cell>
          <cell r="V625">
            <v>3484915</v>
          </cell>
        </row>
        <row r="626">
          <cell r="J626">
            <v>1830</v>
          </cell>
          <cell r="K626">
            <v>43213</v>
          </cell>
          <cell r="L626" t="str">
            <v>CAJA DE VIVIENDA POPULAR</v>
          </cell>
          <cell r="M626">
            <v>1</v>
          </cell>
          <cell r="N626" t="str">
            <v>RELACION DE AUTORIZACION</v>
          </cell>
          <cell r="O626">
            <v>32</v>
          </cell>
          <cell r="P626">
            <v>43213</v>
          </cell>
          <cell r="Q626" t="str">
            <v>PAGO SERVICIOS ASOCIADOS A LA NOMINA DEL MES DE ABRIL DE 2018 DE PLANTA FIJA Y CONVENCIONADOS</v>
          </cell>
          <cell r="R626">
            <v>2716790</v>
          </cell>
          <cell r="S626">
            <v>0</v>
          </cell>
          <cell r="T626">
            <v>0</v>
          </cell>
          <cell r="U626">
            <v>2716790</v>
          </cell>
          <cell r="V626">
            <v>2716790</v>
          </cell>
        </row>
        <row r="627">
          <cell r="J627">
            <v>1947</v>
          </cell>
          <cell r="K627">
            <v>43243</v>
          </cell>
          <cell r="L627" t="str">
            <v>CAJA DE VIVIENDA POPULAR</v>
          </cell>
          <cell r="M627">
            <v>1</v>
          </cell>
          <cell r="N627" t="str">
            <v>RELACION DE AUTORIZACION</v>
          </cell>
          <cell r="O627">
            <v>36</v>
          </cell>
          <cell r="P627">
            <v>43243</v>
          </cell>
          <cell r="Q627" t="str">
            <v>PAGO DE LA NOMINA DEL MES DE MAYO DE 2018 DE PLANTA FIJA Y CONVENCIONADOS</v>
          </cell>
          <cell r="R627">
            <v>2741812</v>
          </cell>
          <cell r="S627">
            <v>0</v>
          </cell>
          <cell r="T627">
            <v>0</v>
          </cell>
          <cell r="U627">
            <v>2741812</v>
          </cell>
          <cell r="V627">
            <v>2741812</v>
          </cell>
        </row>
        <row r="628">
          <cell r="J628">
            <v>2053</v>
          </cell>
          <cell r="K628">
            <v>43271</v>
          </cell>
          <cell r="L628" t="str">
            <v>CAJA DE VIVIENDA POPULAR</v>
          </cell>
          <cell r="M628">
            <v>1</v>
          </cell>
          <cell r="N628" t="str">
            <v>RELACION DE AUTORIZACION</v>
          </cell>
          <cell r="O628">
            <v>45</v>
          </cell>
          <cell r="P628">
            <v>43271</v>
          </cell>
          <cell r="Q628" t="str">
            <v>PAGO DE LA NOMINA DEL MES DE JUNIO DE 2018 DE PLANTA FIJA Y CONVENCIONADOS</v>
          </cell>
          <cell r="R628">
            <v>2554611</v>
          </cell>
          <cell r="S628">
            <v>0</v>
          </cell>
          <cell r="T628">
            <v>0</v>
          </cell>
          <cell r="U628">
            <v>2554611</v>
          </cell>
          <cell r="V628">
            <v>2554611</v>
          </cell>
        </row>
        <row r="629">
          <cell r="J629">
            <v>2520</v>
          </cell>
          <cell r="K629">
            <v>43305</v>
          </cell>
          <cell r="L629" t="str">
            <v>CAJA DE VIVIENDA POPULAR</v>
          </cell>
          <cell r="M629">
            <v>1</v>
          </cell>
          <cell r="N629" t="str">
            <v>RELACION DE AUTORIZACION</v>
          </cell>
          <cell r="O629">
            <v>51</v>
          </cell>
          <cell r="P629">
            <v>43305</v>
          </cell>
          <cell r="Q629" t="str">
            <v>PAGO DE LA NOMINA DEL MES DE JULIO DE 2018 DE LA PLANTA FIJA Y CONVENCIONADOS</v>
          </cell>
          <cell r="R629">
            <v>2607713</v>
          </cell>
          <cell r="S629">
            <v>0</v>
          </cell>
          <cell r="T629">
            <v>0</v>
          </cell>
          <cell r="U629">
            <v>2607713</v>
          </cell>
          <cell r="V629">
            <v>2607713</v>
          </cell>
        </row>
        <row r="630">
          <cell r="J630">
            <v>364</v>
          </cell>
          <cell r="K630">
            <v>43124</v>
          </cell>
          <cell r="L630" t="str">
            <v>CAJA DE VIVIENDA POPULAR</v>
          </cell>
          <cell r="M630">
            <v>1</v>
          </cell>
          <cell r="N630" t="str">
            <v>RELACION DE AUTORIZACION</v>
          </cell>
          <cell r="O630">
            <v>4</v>
          </cell>
          <cell r="P630">
            <v>43124</v>
          </cell>
          <cell r="Q630" t="str">
            <v>PAGO DE LA NOMINA DEL MES DE ENERO DE 2018 DE PLANTA FIJA Y CONVENCIONADOS</v>
          </cell>
          <cell r="R630">
            <v>1719388</v>
          </cell>
          <cell r="S630">
            <v>0</v>
          </cell>
          <cell r="T630">
            <v>0</v>
          </cell>
          <cell r="U630">
            <v>1719388</v>
          </cell>
          <cell r="V630">
            <v>1719388</v>
          </cell>
        </row>
        <row r="631">
          <cell r="J631">
            <v>1384</v>
          </cell>
          <cell r="K631">
            <v>43151</v>
          </cell>
          <cell r="L631" t="str">
            <v>CAJA DE VIVIENDA POPULAR</v>
          </cell>
          <cell r="M631">
            <v>1</v>
          </cell>
          <cell r="N631" t="str">
            <v>RELACION DE AUTORIZACION</v>
          </cell>
          <cell r="O631">
            <v>16</v>
          </cell>
          <cell r="P631">
            <v>43151</v>
          </cell>
          <cell r="Q631" t="str">
            <v>PAGO DE LA NOMINA DEL MES DE FEBRERO DE 2018 DE PLANTA FIJA Y CONVENCIONADOS</v>
          </cell>
          <cell r="R631">
            <v>11334502</v>
          </cell>
          <cell r="S631">
            <v>0</v>
          </cell>
          <cell r="T631">
            <v>0</v>
          </cell>
          <cell r="U631">
            <v>11334502</v>
          </cell>
          <cell r="V631">
            <v>11334502</v>
          </cell>
        </row>
        <row r="632">
          <cell r="J632">
            <v>1603</v>
          </cell>
          <cell r="K632">
            <v>43180</v>
          </cell>
          <cell r="L632" t="str">
            <v>CAJA DE VIVIENDA POPULAR</v>
          </cell>
          <cell r="M632">
            <v>1</v>
          </cell>
          <cell r="N632" t="str">
            <v>RELACION DE AUTORIZACION</v>
          </cell>
          <cell r="O632">
            <v>24</v>
          </cell>
          <cell r="P632">
            <v>43180</v>
          </cell>
          <cell r="Q632" t="str">
            <v>PAGO DE LA NOMINA DEL MES DE MARZO DE 2018 DE PLANTA FIJA Y CONVENCIONADOS</v>
          </cell>
          <cell r="R632">
            <v>14254976</v>
          </cell>
          <cell r="S632">
            <v>14254976</v>
          </cell>
          <cell r="T632">
            <v>0</v>
          </cell>
          <cell r="U632">
            <v>0</v>
          </cell>
          <cell r="V632">
            <v>0</v>
          </cell>
        </row>
        <row r="633">
          <cell r="J633">
            <v>1615</v>
          </cell>
          <cell r="K633">
            <v>43181</v>
          </cell>
          <cell r="L633" t="str">
            <v>CAJA DE VIVIENDA POPULAR</v>
          </cell>
          <cell r="M633">
            <v>1</v>
          </cell>
          <cell r="N633" t="str">
            <v>RELACION DE AUTORIZACION</v>
          </cell>
          <cell r="O633">
            <v>24</v>
          </cell>
          <cell r="P633">
            <v>43181</v>
          </cell>
          <cell r="Q633" t="str">
            <v>PAGO DE LA NOMINA DEL MES DE MARZO DE 2018 DE PLANTA FIJA Y CONVENCIONADOS</v>
          </cell>
          <cell r="R633">
            <v>14254976</v>
          </cell>
          <cell r="S633">
            <v>0</v>
          </cell>
          <cell r="T633">
            <v>0</v>
          </cell>
          <cell r="U633">
            <v>14254976</v>
          </cell>
          <cell r="V633">
            <v>14254976</v>
          </cell>
        </row>
        <row r="634">
          <cell r="J634">
            <v>1830</v>
          </cell>
          <cell r="K634">
            <v>43213</v>
          </cell>
          <cell r="L634" t="str">
            <v>CAJA DE VIVIENDA POPULAR</v>
          </cell>
          <cell r="M634">
            <v>1</v>
          </cell>
          <cell r="N634" t="str">
            <v>RELACION DE AUTORIZACION</v>
          </cell>
          <cell r="O634">
            <v>32</v>
          </cell>
          <cell r="P634">
            <v>43213</v>
          </cell>
          <cell r="Q634" t="str">
            <v>PAGO SERVICIOS ASOCIADOS A LA NOMINA DEL MES DE ABRIL DE 2018 DE PLANTA FIJA Y CONVENCIONADOS</v>
          </cell>
          <cell r="R634">
            <v>6927597</v>
          </cell>
          <cell r="S634">
            <v>0</v>
          </cell>
          <cell r="T634">
            <v>0</v>
          </cell>
          <cell r="U634">
            <v>6927597</v>
          </cell>
          <cell r="V634">
            <v>6927597</v>
          </cell>
        </row>
        <row r="635">
          <cell r="J635">
            <v>1947</v>
          </cell>
          <cell r="K635">
            <v>43243</v>
          </cell>
          <cell r="L635" t="str">
            <v>CAJA DE VIVIENDA POPULAR</v>
          </cell>
          <cell r="M635">
            <v>1</v>
          </cell>
          <cell r="N635" t="str">
            <v>RELACION DE AUTORIZACION</v>
          </cell>
          <cell r="O635">
            <v>36</v>
          </cell>
          <cell r="P635">
            <v>43243</v>
          </cell>
          <cell r="Q635" t="str">
            <v>PAGO DE LA NOMINA DEL MES DE MAYO DE 2018 DE PLANTA FIJA Y CONVENCIONADOS</v>
          </cell>
          <cell r="R635">
            <v>3393386</v>
          </cell>
          <cell r="S635">
            <v>0</v>
          </cell>
          <cell r="T635">
            <v>0</v>
          </cell>
          <cell r="U635">
            <v>3393386</v>
          </cell>
          <cell r="V635">
            <v>3393386</v>
          </cell>
        </row>
        <row r="636">
          <cell r="J636">
            <v>2053</v>
          </cell>
          <cell r="K636">
            <v>43271</v>
          </cell>
          <cell r="L636" t="str">
            <v>CAJA DE VIVIENDA POPULAR</v>
          </cell>
          <cell r="M636">
            <v>1</v>
          </cell>
          <cell r="N636" t="str">
            <v>RELACION DE AUTORIZACION</v>
          </cell>
          <cell r="O636">
            <v>45</v>
          </cell>
          <cell r="P636">
            <v>43271</v>
          </cell>
          <cell r="Q636" t="str">
            <v>PAGO DE LA NOMINA DEL MES DE JUNIO DE 2018 DE PLANTA FIJA Y CONVENCIONADOS</v>
          </cell>
          <cell r="R636">
            <v>4371106</v>
          </cell>
          <cell r="S636">
            <v>0</v>
          </cell>
          <cell r="T636">
            <v>0</v>
          </cell>
          <cell r="U636">
            <v>4371106</v>
          </cell>
          <cell r="V636">
            <v>4371106</v>
          </cell>
        </row>
        <row r="637">
          <cell r="J637">
            <v>2520</v>
          </cell>
          <cell r="K637">
            <v>43305</v>
          </cell>
          <cell r="L637" t="str">
            <v>CAJA DE VIVIENDA POPULAR</v>
          </cell>
          <cell r="M637">
            <v>1</v>
          </cell>
          <cell r="N637" t="str">
            <v>RELACION DE AUTORIZACION</v>
          </cell>
          <cell r="O637">
            <v>51</v>
          </cell>
          <cell r="P637">
            <v>43305</v>
          </cell>
          <cell r="Q637" t="str">
            <v>PAGO DE LA NOMINA DEL MES DE JULIO DE 2018 DE LA PLANTA FIJA Y CONVENCIONADOS</v>
          </cell>
          <cell r="R637">
            <v>8620929</v>
          </cell>
          <cell r="S637">
            <v>0</v>
          </cell>
          <cell r="T637">
            <v>0</v>
          </cell>
          <cell r="U637">
            <v>8620929</v>
          </cell>
          <cell r="V637">
            <v>8620929</v>
          </cell>
        </row>
        <row r="638">
          <cell r="J638">
            <v>1977</v>
          </cell>
          <cell r="K638">
            <v>43252</v>
          </cell>
          <cell r="L638" t="str">
            <v>CAJA DE VIVIENDA POPULAR</v>
          </cell>
          <cell r="M638">
            <v>1</v>
          </cell>
          <cell r="N638" t="str">
            <v>RELACION DE AUTORIZACION</v>
          </cell>
          <cell r="O638">
            <v>39</v>
          </cell>
          <cell r="P638">
            <v>43252</v>
          </cell>
          <cell r="Q638" t="str">
            <v>PAGO DE LA PRIMA DE SERVICIOS Y SEMESTRAL 2018 DE PLANTA FIJA Y CONVENCIONADOS</v>
          </cell>
          <cell r="R638">
            <v>34318975</v>
          </cell>
          <cell r="S638">
            <v>0</v>
          </cell>
          <cell r="T638">
            <v>0</v>
          </cell>
          <cell r="U638">
            <v>34318975</v>
          </cell>
          <cell r="V638">
            <v>34318975</v>
          </cell>
        </row>
        <row r="639">
          <cell r="J639">
            <v>2520</v>
          </cell>
          <cell r="K639">
            <v>43305</v>
          </cell>
          <cell r="L639" t="str">
            <v>CAJA DE VIVIENDA POPULAR</v>
          </cell>
          <cell r="M639">
            <v>1</v>
          </cell>
          <cell r="N639" t="str">
            <v>RELACION DE AUTORIZACION</v>
          </cell>
          <cell r="O639">
            <v>51</v>
          </cell>
          <cell r="P639">
            <v>43305</v>
          </cell>
          <cell r="Q639" t="str">
            <v>PAGO DE LA NOMINA DEL MES DE JULIO DE 2018 DE LA PLANTA FIJA Y CONVENCIONADOS</v>
          </cell>
          <cell r="R639">
            <v>2717717</v>
          </cell>
          <cell r="S639">
            <v>0</v>
          </cell>
          <cell r="T639">
            <v>0</v>
          </cell>
          <cell r="U639">
            <v>2717717</v>
          </cell>
          <cell r="V639">
            <v>2717717</v>
          </cell>
        </row>
        <row r="640">
          <cell r="J640">
            <v>1977</v>
          </cell>
          <cell r="K640">
            <v>43252</v>
          </cell>
          <cell r="L640" t="str">
            <v>CAJA DE VIVIENDA POPULAR</v>
          </cell>
          <cell r="M640">
            <v>1</v>
          </cell>
          <cell r="N640" t="str">
            <v>RELACION DE AUTORIZACION</v>
          </cell>
          <cell r="O640">
            <v>39</v>
          </cell>
          <cell r="P640">
            <v>43252</v>
          </cell>
          <cell r="Q640" t="str">
            <v>PAGO DE LA PRIMA DE SERVICIOS Y SEMESTRAL 2018 DE PLANTA FIJA Y CONVENCIONADOS</v>
          </cell>
          <cell r="R640">
            <v>372926566</v>
          </cell>
          <cell r="S640">
            <v>0</v>
          </cell>
          <cell r="T640">
            <v>0</v>
          </cell>
          <cell r="U640">
            <v>372926566</v>
          </cell>
          <cell r="V640">
            <v>372926566</v>
          </cell>
        </row>
        <row r="641">
          <cell r="J641">
            <v>2520</v>
          </cell>
          <cell r="K641">
            <v>43305</v>
          </cell>
          <cell r="L641" t="str">
            <v>CAJA DE VIVIENDA POPULAR</v>
          </cell>
          <cell r="M641">
            <v>1</v>
          </cell>
          <cell r="N641" t="str">
            <v>RELACION DE AUTORIZACION</v>
          </cell>
          <cell r="O641">
            <v>51</v>
          </cell>
          <cell r="P641">
            <v>43305</v>
          </cell>
          <cell r="Q641" t="str">
            <v>PAGO DE LA NOMINA DEL MES DE JULIO DE 2018 DE LA PLANTA FIJA Y CONVENCIONADOS</v>
          </cell>
          <cell r="R641">
            <v>460667</v>
          </cell>
          <cell r="S641">
            <v>0</v>
          </cell>
          <cell r="T641">
            <v>0</v>
          </cell>
          <cell r="U641">
            <v>460667</v>
          </cell>
          <cell r="V641">
            <v>460667</v>
          </cell>
        </row>
        <row r="642">
          <cell r="J642">
            <v>364</v>
          </cell>
          <cell r="K642">
            <v>43124</v>
          </cell>
          <cell r="L642" t="str">
            <v>CAJA DE VIVIENDA POPULAR</v>
          </cell>
          <cell r="M642">
            <v>1</v>
          </cell>
          <cell r="N642" t="str">
            <v>RELACION DE AUTORIZACION</v>
          </cell>
          <cell r="O642">
            <v>4</v>
          </cell>
          <cell r="P642">
            <v>43124</v>
          </cell>
          <cell r="Q642" t="str">
            <v>PAGO DE LA NOMINA DEL MES DE ENERO DE 2018 DE PLANTA FIJA Y CONVENCIONADOS</v>
          </cell>
          <cell r="R642">
            <v>2671684</v>
          </cell>
          <cell r="S642">
            <v>0</v>
          </cell>
          <cell r="T642">
            <v>0</v>
          </cell>
          <cell r="U642">
            <v>2671684</v>
          </cell>
          <cell r="V642">
            <v>2671684</v>
          </cell>
        </row>
        <row r="643">
          <cell r="J643">
            <v>1384</v>
          </cell>
          <cell r="K643">
            <v>43151</v>
          </cell>
          <cell r="L643" t="str">
            <v>CAJA DE VIVIENDA POPULAR</v>
          </cell>
          <cell r="M643">
            <v>1</v>
          </cell>
          <cell r="N643" t="str">
            <v>RELACION DE AUTORIZACION</v>
          </cell>
          <cell r="O643">
            <v>16</v>
          </cell>
          <cell r="P643">
            <v>43151</v>
          </cell>
          <cell r="Q643" t="str">
            <v>PAGO DE LA NOMINA DEL MES DE FEBRERO DE 2018 DE PLANTA FIJA Y CONVENCIONADOS</v>
          </cell>
          <cell r="R643">
            <v>4794918</v>
          </cell>
          <cell r="S643">
            <v>0</v>
          </cell>
          <cell r="T643">
            <v>0</v>
          </cell>
          <cell r="U643">
            <v>4794918</v>
          </cell>
          <cell r="V643">
            <v>4794918</v>
          </cell>
        </row>
        <row r="644">
          <cell r="J644">
            <v>1603</v>
          </cell>
          <cell r="K644">
            <v>43180</v>
          </cell>
          <cell r="L644" t="str">
            <v>CAJA DE VIVIENDA POPULAR</v>
          </cell>
          <cell r="M644">
            <v>1</v>
          </cell>
          <cell r="N644" t="str">
            <v>RELACION DE AUTORIZACION</v>
          </cell>
          <cell r="O644">
            <v>24</v>
          </cell>
          <cell r="P644">
            <v>43180</v>
          </cell>
          <cell r="Q644" t="str">
            <v>PAGO DE LA NOMINA DEL MES DE MARZO DE 2018 DE PLANTA FIJA Y CONVENCIONADOS</v>
          </cell>
          <cell r="R644">
            <v>1306101</v>
          </cell>
          <cell r="S644">
            <v>1306101</v>
          </cell>
          <cell r="T644">
            <v>0</v>
          </cell>
          <cell r="U644">
            <v>0</v>
          </cell>
          <cell r="V644">
            <v>0</v>
          </cell>
        </row>
        <row r="645">
          <cell r="J645">
            <v>1615</v>
          </cell>
          <cell r="K645">
            <v>43181</v>
          </cell>
          <cell r="L645" t="str">
            <v>CAJA DE VIVIENDA POPULAR</v>
          </cell>
          <cell r="M645">
            <v>1</v>
          </cell>
          <cell r="N645" t="str">
            <v>RELACION DE AUTORIZACION</v>
          </cell>
          <cell r="O645">
            <v>24</v>
          </cell>
          <cell r="P645">
            <v>43181</v>
          </cell>
          <cell r="Q645" t="str">
            <v>PAGO DE LA NOMINA DEL MES DE MARZO DE 2018 DE PLANTA FIJA Y CONVENCIONADOS</v>
          </cell>
          <cell r="R645">
            <v>1306101</v>
          </cell>
          <cell r="S645">
            <v>0</v>
          </cell>
          <cell r="T645">
            <v>0</v>
          </cell>
          <cell r="U645">
            <v>1306101</v>
          </cell>
          <cell r="V645">
            <v>1306101</v>
          </cell>
        </row>
        <row r="646">
          <cell r="J646">
            <v>1830</v>
          </cell>
          <cell r="K646">
            <v>43213</v>
          </cell>
          <cell r="L646" t="str">
            <v>CAJA DE VIVIENDA POPULAR</v>
          </cell>
          <cell r="M646">
            <v>1</v>
          </cell>
          <cell r="N646" t="str">
            <v>RELACION DE AUTORIZACION</v>
          </cell>
          <cell r="O646">
            <v>32</v>
          </cell>
          <cell r="P646">
            <v>43213</v>
          </cell>
          <cell r="Q646" t="str">
            <v>PAGO SERVICIOS ASOCIADOS A LA NOMINA DEL MES DE ABRIL DE 2018 DE PLANTA FIJA Y CONVENCIONADOS</v>
          </cell>
          <cell r="R646">
            <v>18763293</v>
          </cell>
          <cell r="S646">
            <v>0</v>
          </cell>
          <cell r="T646">
            <v>0</v>
          </cell>
          <cell r="U646">
            <v>18763293</v>
          </cell>
          <cell r="V646">
            <v>18763293</v>
          </cell>
        </row>
        <row r="647">
          <cell r="J647">
            <v>1947</v>
          </cell>
          <cell r="K647">
            <v>43243</v>
          </cell>
          <cell r="L647" t="str">
            <v>CAJA DE VIVIENDA POPULAR</v>
          </cell>
          <cell r="M647">
            <v>1</v>
          </cell>
          <cell r="N647" t="str">
            <v>RELACION DE AUTORIZACION</v>
          </cell>
          <cell r="O647">
            <v>36</v>
          </cell>
          <cell r="P647">
            <v>43243</v>
          </cell>
          <cell r="Q647" t="str">
            <v>PAGO DE LA NOMINA DEL MES DE MAYO DE 2018 DE PLANTA FIJA Y CONVENCIONADOS</v>
          </cell>
          <cell r="R647">
            <v>14055471</v>
          </cell>
          <cell r="S647">
            <v>0</v>
          </cell>
          <cell r="T647">
            <v>0</v>
          </cell>
          <cell r="U647">
            <v>14055471</v>
          </cell>
          <cell r="V647">
            <v>14055471</v>
          </cell>
        </row>
        <row r="648">
          <cell r="J648">
            <v>2053</v>
          </cell>
          <cell r="K648">
            <v>43271</v>
          </cell>
          <cell r="L648" t="str">
            <v>CAJA DE VIVIENDA POPULAR</v>
          </cell>
          <cell r="M648">
            <v>1</v>
          </cell>
          <cell r="N648" t="str">
            <v>RELACION DE AUTORIZACION</v>
          </cell>
          <cell r="O648">
            <v>45</v>
          </cell>
          <cell r="P648">
            <v>43271</v>
          </cell>
          <cell r="Q648" t="str">
            <v>PAGO DE LA NOMINA DEL MES DE JUNIO DE 2018 DE PLANTA FIJA Y CONVENCIONADOS</v>
          </cell>
          <cell r="R648">
            <v>7835117</v>
          </cell>
          <cell r="S648">
            <v>0</v>
          </cell>
          <cell r="T648">
            <v>0</v>
          </cell>
          <cell r="U648">
            <v>7835117</v>
          </cell>
          <cell r="V648">
            <v>7835117</v>
          </cell>
        </row>
        <row r="649">
          <cell r="J649">
            <v>2520</v>
          </cell>
          <cell r="K649">
            <v>43305</v>
          </cell>
          <cell r="L649" t="str">
            <v>CAJA DE VIVIENDA POPULAR</v>
          </cell>
          <cell r="M649">
            <v>1</v>
          </cell>
          <cell r="N649" t="str">
            <v>RELACION DE AUTORIZACION</v>
          </cell>
          <cell r="O649">
            <v>51</v>
          </cell>
          <cell r="P649">
            <v>43305</v>
          </cell>
          <cell r="Q649" t="str">
            <v>PAGO DE LA NOMINA DEL MES DE JULIO DE 2018 DE LA PLANTA FIJA Y CONVENCIONADOS</v>
          </cell>
          <cell r="R649">
            <v>8722895</v>
          </cell>
          <cell r="S649">
            <v>0</v>
          </cell>
          <cell r="T649">
            <v>0</v>
          </cell>
          <cell r="U649">
            <v>8722895</v>
          </cell>
          <cell r="V649">
            <v>8722895</v>
          </cell>
        </row>
        <row r="650">
          <cell r="J650">
            <v>364</v>
          </cell>
          <cell r="K650">
            <v>43124</v>
          </cell>
          <cell r="L650" t="str">
            <v>CAJA DE VIVIENDA POPULAR</v>
          </cell>
          <cell r="M650">
            <v>1</v>
          </cell>
          <cell r="N650" t="str">
            <v>RELACION DE AUTORIZACION</v>
          </cell>
          <cell r="O650">
            <v>4</v>
          </cell>
          <cell r="P650">
            <v>43124</v>
          </cell>
          <cell r="Q650" t="str">
            <v>PAGO DE LA NOMINA DEL MES DE ENERO DE 2018 DE PLANTA FIJA Y CONVENCIONADOS</v>
          </cell>
          <cell r="R650">
            <v>60390946</v>
          </cell>
          <cell r="S650">
            <v>0</v>
          </cell>
          <cell r="T650">
            <v>0</v>
          </cell>
          <cell r="U650">
            <v>60390946</v>
          </cell>
          <cell r="V650">
            <v>60390946</v>
          </cell>
        </row>
        <row r="651">
          <cell r="J651">
            <v>1384</v>
          </cell>
          <cell r="K651">
            <v>43151</v>
          </cell>
          <cell r="L651" t="str">
            <v>CAJA DE VIVIENDA POPULAR</v>
          </cell>
          <cell r="M651">
            <v>1</v>
          </cell>
          <cell r="N651" t="str">
            <v>RELACION DE AUTORIZACION</v>
          </cell>
          <cell r="O651">
            <v>16</v>
          </cell>
          <cell r="P651">
            <v>43151</v>
          </cell>
          <cell r="Q651" t="str">
            <v>PAGO DE LA NOMINA DEL MES DE FEBRERO DE 2018 DE PLANTA FIJA Y CONVENCIONADOS</v>
          </cell>
          <cell r="R651">
            <v>61116751</v>
          </cell>
          <cell r="S651">
            <v>0</v>
          </cell>
          <cell r="T651">
            <v>0</v>
          </cell>
          <cell r="U651">
            <v>61116751</v>
          </cell>
          <cell r="V651">
            <v>61116751</v>
          </cell>
        </row>
        <row r="652">
          <cell r="J652">
            <v>1603</v>
          </cell>
          <cell r="K652">
            <v>43180</v>
          </cell>
          <cell r="L652" t="str">
            <v>CAJA DE VIVIENDA POPULAR</v>
          </cell>
          <cell r="M652">
            <v>1</v>
          </cell>
          <cell r="N652" t="str">
            <v>RELACION DE AUTORIZACION</v>
          </cell>
          <cell r="O652">
            <v>24</v>
          </cell>
          <cell r="P652">
            <v>43180</v>
          </cell>
          <cell r="Q652" t="str">
            <v>PAGO DE LA NOMINA DEL MES DE MARZO DE 2018 DE PLANTA FIJA Y CONVENCIONADOS</v>
          </cell>
          <cell r="R652">
            <v>69875520</v>
          </cell>
          <cell r="S652">
            <v>69875520</v>
          </cell>
          <cell r="T652">
            <v>0</v>
          </cell>
          <cell r="U652">
            <v>0</v>
          </cell>
          <cell r="V652">
            <v>0</v>
          </cell>
        </row>
        <row r="653">
          <cell r="J653">
            <v>1615</v>
          </cell>
          <cell r="K653">
            <v>43181</v>
          </cell>
          <cell r="L653" t="str">
            <v>CAJA DE VIVIENDA POPULAR</v>
          </cell>
          <cell r="M653">
            <v>1</v>
          </cell>
          <cell r="N653" t="str">
            <v>RELACION DE AUTORIZACION</v>
          </cell>
          <cell r="O653">
            <v>24</v>
          </cell>
          <cell r="P653">
            <v>43181</v>
          </cell>
          <cell r="Q653" t="str">
            <v>PAGO DE LA NOMINA DEL MES DE MARZO DE 2018 DE PLANTA FIJA Y CONVENCIONADOS</v>
          </cell>
          <cell r="R653">
            <v>69970778</v>
          </cell>
          <cell r="S653">
            <v>0</v>
          </cell>
          <cell r="T653">
            <v>0</v>
          </cell>
          <cell r="U653">
            <v>69970778</v>
          </cell>
          <cell r="V653">
            <v>69970778</v>
          </cell>
        </row>
        <row r="654">
          <cell r="J654">
            <v>1830</v>
          </cell>
          <cell r="K654">
            <v>43213</v>
          </cell>
          <cell r="L654" t="str">
            <v>CAJA DE VIVIENDA POPULAR</v>
          </cell>
          <cell r="M654">
            <v>1</v>
          </cell>
          <cell r="N654" t="str">
            <v>RELACION DE AUTORIZACION</v>
          </cell>
          <cell r="O654">
            <v>32</v>
          </cell>
          <cell r="P654">
            <v>43213</v>
          </cell>
          <cell r="Q654" t="str">
            <v>PAGO SERVICIOS ASOCIADOS A LA NOMINA DEL MES DE ABRIL DE 2018 DE PLANTA FIJA Y CONVENCIONADOS</v>
          </cell>
          <cell r="R654">
            <v>67276699</v>
          </cell>
          <cell r="S654">
            <v>0</v>
          </cell>
          <cell r="T654">
            <v>0</v>
          </cell>
          <cell r="U654">
            <v>67276699</v>
          </cell>
          <cell r="V654">
            <v>67276699</v>
          </cell>
        </row>
        <row r="655">
          <cell r="J655">
            <v>1947</v>
          </cell>
          <cell r="K655">
            <v>43243</v>
          </cell>
          <cell r="L655" t="str">
            <v>CAJA DE VIVIENDA POPULAR</v>
          </cell>
          <cell r="M655">
            <v>1</v>
          </cell>
          <cell r="N655" t="str">
            <v>RELACION DE AUTORIZACION</v>
          </cell>
          <cell r="O655">
            <v>36</v>
          </cell>
          <cell r="P655">
            <v>43243</v>
          </cell>
          <cell r="Q655" t="str">
            <v>PAGO DE LA NOMINA DEL MES DE MAYO DE 2018 DE PLANTA FIJA Y CONVENCIONADOS</v>
          </cell>
          <cell r="R655">
            <v>64442102</v>
          </cell>
          <cell r="S655">
            <v>0</v>
          </cell>
          <cell r="T655">
            <v>0</v>
          </cell>
          <cell r="U655">
            <v>64442102</v>
          </cell>
          <cell r="V655">
            <v>64442102</v>
          </cell>
        </row>
        <row r="656">
          <cell r="J656">
            <v>2053</v>
          </cell>
          <cell r="K656">
            <v>43271</v>
          </cell>
          <cell r="L656" t="str">
            <v>CAJA DE VIVIENDA POPULAR</v>
          </cell>
          <cell r="M656">
            <v>1</v>
          </cell>
          <cell r="N656" t="str">
            <v>RELACION DE AUTORIZACION</v>
          </cell>
          <cell r="O656">
            <v>45</v>
          </cell>
          <cell r="P656">
            <v>43271</v>
          </cell>
          <cell r="Q656" t="str">
            <v>PAGO DE LA NOMINA DEL MES DE JUNIO DE 2018 DE PLANTA FIJA Y CONVENCIONADOS</v>
          </cell>
          <cell r="R656">
            <v>64265843</v>
          </cell>
          <cell r="S656">
            <v>0</v>
          </cell>
          <cell r="T656">
            <v>0</v>
          </cell>
          <cell r="U656">
            <v>64265843</v>
          </cell>
          <cell r="V656">
            <v>64265843</v>
          </cell>
        </row>
        <row r="657">
          <cell r="J657">
            <v>2520</v>
          </cell>
          <cell r="K657">
            <v>43305</v>
          </cell>
          <cell r="L657" t="str">
            <v>CAJA DE VIVIENDA POPULAR</v>
          </cell>
          <cell r="M657">
            <v>1</v>
          </cell>
          <cell r="N657" t="str">
            <v>RELACION DE AUTORIZACION</v>
          </cell>
          <cell r="O657">
            <v>51</v>
          </cell>
          <cell r="P657">
            <v>43305</v>
          </cell>
          <cell r="Q657" t="str">
            <v>PAGO DE LA NOMINA DEL MES DE JULIO DE 2018 DE LA PLANTA FIJA Y CONVENCIONADOS</v>
          </cell>
          <cell r="R657">
            <v>60530347</v>
          </cell>
          <cell r="S657">
            <v>0</v>
          </cell>
          <cell r="T657">
            <v>0</v>
          </cell>
          <cell r="U657">
            <v>60530347</v>
          </cell>
          <cell r="V657">
            <v>60530347</v>
          </cell>
        </row>
        <row r="658">
          <cell r="J658">
            <v>364</v>
          </cell>
          <cell r="K658">
            <v>43124</v>
          </cell>
          <cell r="L658" t="str">
            <v>CAJA DE VIVIENDA POPULAR</v>
          </cell>
          <cell r="M658">
            <v>1</v>
          </cell>
          <cell r="N658" t="str">
            <v>RELACION DE AUTORIZACION</v>
          </cell>
          <cell r="O658">
            <v>4</v>
          </cell>
          <cell r="P658">
            <v>43124</v>
          </cell>
          <cell r="Q658" t="str">
            <v>PAGO DE LA NOMINA DEL MES DE ENERO DE 2018 DE PLANTA FIJA Y CONVENCIONADOS</v>
          </cell>
          <cell r="R658">
            <v>3781853</v>
          </cell>
          <cell r="S658">
            <v>0</v>
          </cell>
          <cell r="T658">
            <v>0</v>
          </cell>
          <cell r="U658">
            <v>3781853</v>
          </cell>
          <cell r="V658">
            <v>3781853</v>
          </cell>
        </row>
        <row r="659">
          <cell r="J659">
            <v>1384</v>
          </cell>
          <cell r="K659">
            <v>43151</v>
          </cell>
          <cell r="L659" t="str">
            <v>CAJA DE VIVIENDA POPULAR</v>
          </cell>
          <cell r="M659">
            <v>1</v>
          </cell>
          <cell r="N659" t="str">
            <v>RELACION DE AUTORIZACION</v>
          </cell>
          <cell r="O659">
            <v>16</v>
          </cell>
          <cell r="P659">
            <v>43151</v>
          </cell>
          <cell r="Q659" t="str">
            <v>PAGO DE LA NOMINA DEL MES DE FEBRERO DE 2018 DE PLANTA FIJA Y CONVENCIONADOS</v>
          </cell>
          <cell r="R659">
            <v>4823290</v>
          </cell>
          <cell r="S659">
            <v>0</v>
          </cell>
          <cell r="T659">
            <v>0</v>
          </cell>
          <cell r="U659">
            <v>4823290</v>
          </cell>
          <cell r="V659">
            <v>4823290</v>
          </cell>
        </row>
        <row r="660">
          <cell r="J660">
            <v>1603</v>
          </cell>
          <cell r="K660">
            <v>43180</v>
          </cell>
          <cell r="L660" t="str">
            <v>CAJA DE VIVIENDA POPULAR</v>
          </cell>
          <cell r="M660">
            <v>1</v>
          </cell>
          <cell r="N660" t="str">
            <v>RELACION DE AUTORIZACION</v>
          </cell>
          <cell r="O660">
            <v>24</v>
          </cell>
          <cell r="P660">
            <v>43180</v>
          </cell>
          <cell r="Q660" t="str">
            <v>PAGO DE LA NOMINA DEL MES DE MARZO DE 2018 DE PLANTA FIJA Y CONVENCIONADOS</v>
          </cell>
          <cell r="R660">
            <v>5443576</v>
          </cell>
          <cell r="S660">
            <v>5443576</v>
          </cell>
          <cell r="T660">
            <v>0</v>
          </cell>
          <cell r="U660">
            <v>0</v>
          </cell>
          <cell r="V660">
            <v>0</v>
          </cell>
        </row>
        <row r="661">
          <cell r="J661">
            <v>1615</v>
          </cell>
          <cell r="K661">
            <v>43181</v>
          </cell>
          <cell r="L661" t="str">
            <v>CAJA DE VIVIENDA POPULAR</v>
          </cell>
          <cell r="M661">
            <v>1</v>
          </cell>
          <cell r="N661" t="str">
            <v>RELACION DE AUTORIZACION</v>
          </cell>
          <cell r="O661">
            <v>24</v>
          </cell>
          <cell r="P661">
            <v>43181</v>
          </cell>
          <cell r="Q661" t="str">
            <v>PAGO DE LA NOMINA DEL MES DE MARZO DE 2018 DE PLANTA FIJA Y CONVENCIONADOS</v>
          </cell>
          <cell r="R661">
            <v>5443576</v>
          </cell>
          <cell r="S661">
            <v>0</v>
          </cell>
          <cell r="T661">
            <v>0</v>
          </cell>
          <cell r="U661">
            <v>5443576</v>
          </cell>
          <cell r="V661">
            <v>5443576</v>
          </cell>
        </row>
        <row r="662">
          <cell r="J662">
            <v>1830</v>
          </cell>
          <cell r="K662">
            <v>43213</v>
          </cell>
          <cell r="L662" t="str">
            <v>CAJA DE VIVIENDA POPULAR</v>
          </cell>
          <cell r="M662">
            <v>1</v>
          </cell>
          <cell r="N662" t="str">
            <v>RELACION DE AUTORIZACION</v>
          </cell>
          <cell r="O662">
            <v>32</v>
          </cell>
          <cell r="P662">
            <v>43213</v>
          </cell>
          <cell r="Q662" t="str">
            <v>PAGO SERVICIOS ASOCIADOS A LA NOMINA DEL MES DE ABRIL DE 2018 DE PLANTA FIJA Y CONVENCIONADOS</v>
          </cell>
          <cell r="R662">
            <v>5160716</v>
          </cell>
          <cell r="S662">
            <v>0</v>
          </cell>
          <cell r="T662">
            <v>0</v>
          </cell>
          <cell r="U662">
            <v>5160716</v>
          </cell>
          <cell r="V662">
            <v>5160716</v>
          </cell>
        </row>
        <row r="663">
          <cell r="J663">
            <v>1947</v>
          </cell>
          <cell r="K663">
            <v>43243</v>
          </cell>
          <cell r="L663" t="str">
            <v>CAJA DE VIVIENDA POPULAR</v>
          </cell>
          <cell r="M663">
            <v>1</v>
          </cell>
          <cell r="N663" t="str">
            <v>RELACION DE AUTORIZACION</v>
          </cell>
          <cell r="O663">
            <v>36</v>
          </cell>
          <cell r="P663">
            <v>43243</v>
          </cell>
          <cell r="Q663" t="str">
            <v>PAGO DE LA NOMINA DEL MES DE MAYO DE 2018 DE PLANTA FIJA Y CONVENCIONADOS</v>
          </cell>
          <cell r="R663">
            <v>4899221</v>
          </cell>
          <cell r="S663">
            <v>0</v>
          </cell>
          <cell r="T663">
            <v>0</v>
          </cell>
          <cell r="U663">
            <v>4899221</v>
          </cell>
          <cell r="V663">
            <v>4899221</v>
          </cell>
        </row>
        <row r="664">
          <cell r="J664">
            <v>2053</v>
          </cell>
          <cell r="K664">
            <v>43271</v>
          </cell>
          <cell r="L664" t="str">
            <v>CAJA DE VIVIENDA POPULAR</v>
          </cell>
          <cell r="M664">
            <v>1</v>
          </cell>
          <cell r="N664" t="str">
            <v>RELACION DE AUTORIZACION</v>
          </cell>
          <cell r="O664">
            <v>45</v>
          </cell>
          <cell r="P664">
            <v>43271</v>
          </cell>
          <cell r="Q664" t="str">
            <v>PAGO DE LA NOMINA DEL MES DE JUNIO DE 2018 DE PLANTA FIJA Y CONVENCIONADOS</v>
          </cell>
          <cell r="R664">
            <v>4485367</v>
          </cell>
          <cell r="S664">
            <v>0</v>
          </cell>
          <cell r="T664">
            <v>0</v>
          </cell>
          <cell r="U664">
            <v>4485367</v>
          </cell>
          <cell r="V664">
            <v>4485367</v>
          </cell>
        </row>
        <row r="665">
          <cell r="J665">
            <v>2520</v>
          </cell>
          <cell r="K665">
            <v>43305</v>
          </cell>
          <cell r="L665" t="str">
            <v>CAJA DE VIVIENDA POPULAR</v>
          </cell>
          <cell r="M665">
            <v>1</v>
          </cell>
          <cell r="N665" t="str">
            <v>RELACION DE AUTORIZACION</v>
          </cell>
          <cell r="O665">
            <v>51</v>
          </cell>
          <cell r="P665">
            <v>43305</v>
          </cell>
          <cell r="Q665" t="str">
            <v>PAGO DE LA NOMINA DEL MES DE JULIO DE 2018 DE LA PLANTA FIJA Y CONVENCIONADOS</v>
          </cell>
          <cell r="R665">
            <v>4844707</v>
          </cell>
          <cell r="S665">
            <v>0</v>
          </cell>
          <cell r="T665">
            <v>0</v>
          </cell>
          <cell r="U665">
            <v>4844707</v>
          </cell>
          <cell r="V665">
            <v>4844707</v>
          </cell>
        </row>
        <row r="666">
          <cell r="J666">
            <v>364</v>
          </cell>
          <cell r="K666">
            <v>43124</v>
          </cell>
          <cell r="L666" t="str">
            <v>CAJA DE VIVIENDA POPULAR</v>
          </cell>
          <cell r="M666">
            <v>1</v>
          </cell>
          <cell r="N666" t="str">
            <v>RELACION DE AUTORIZACION</v>
          </cell>
          <cell r="O666">
            <v>4</v>
          </cell>
          <cell r="P666">
            <v>43124</v>
          </cell>
          <cell r="Q666" t="str">
            <v>PAGO DE LA NOMINA DEL MES DE ENERO DE 2018 DE PLANTA FIJA Y CONVENCIONADOS</v>
          </cell>
          <cell r="R666">
            <v>135400</v>
          </cell>
          <cell r="S666">
            <v>0</v>
          </cell>
          <cell r="T666">
            <v>0</v>
          </cell>
          <cell r="U666">
            <v>135400</v>
          </cell>
          <cell r="V666">
            <v>135400</v>
          </cell>
        </row>
        <row r="667">
          <cell r="J667">
            <v>1384</v>
          </cell>
          <cell r="K667">
            <v>43151</v>
          </cell>
          <cell r="L667" t="str">
            <v>CAJA DE VIVIENDA POPULAR</v>
          </cell>
          <cell r="M667">
            <v>1</v>
          </cell>
          <cell r="N667" t="str">
            <v>RELACION DE AUTORIZACION</v>
          </cell>
          <cell r="O667">
            <v>16</v>
          </cell>
          <cell r="P667">
            <v>43151</v>
          </cell>
          <cell r="Q667" t="str">
            <v>PAGO DE LA NOMINA DEL MES DE FEBRERO DE 2018 DE PLANTA FIJA Y CONVENCIONADOS</v>
          </cell>
          <cell r="R667">
            <v>271410</v>
          </cell>
          <cell r="S667">
            <v>0</v>
          </cell>
          <cell r="T667">
            <v>0</v>
          </cell>
          <cell r="U667">
            <v>271410</v>
          </cell>
          <cell r="V667">
            <v>271410</v>
          </cell>
        </row>
        <row r="668">
          <cell r="J668">
            <v>1603</v>
          </cell>
          <cell r="K668">
            <v>43180</v>
          </cell>
          <cell r="L668" t="str">
            <v>CAJA DE VIVIENDA POPULAR</v>
          </cell>
          <cell r="M668">
            <v>1</v>
          </cell>
          <cell r="N668" t="str">
            <v>RELACION DE AUTORIZACION</v>
          </cell>
          <cell r="O668">
            <v>24</v>
          </cell>
          <cell r="P668">
            <v>43180</v>
          </cell>
          <cell r="Q668" t="str">
            <v>PAGO DE LA NOMINA DEL MES DE MARZO DE 2018 DE PLANTA FIJA Y CONVENCIONADOS</v>
          </cell>
          <cell r="R668">
            <v>309965</v>
          </cell>
          <cell r="S668">
            <v>309965</v>
          </cell>
          <cell r="T668">
            <v>0</v>
          </cell>
          <cell r="U668">
            <v>0</v>
          </cell>
          <cell r="V668">
            <v>0</v>
          </cell>
        </row>
        <row r="669">
          <cell r="J669">
            <v>1615</v>
          </cell>
          <cell r="K669">
            <v>43181</v>
          </cell>
          <cell r="L669" t="str">
            <v>CAJA DE VIVIENDA POPULAR</v>
          </cell>
          <cell r="M669">
            <v>1</v>
          </cell>
          <cell r="N669" t="str">
            <v>RELACION DE AUTORIZACION</v>
          </cell>
          <cell r="O669">
            <v>24</v>
          </cell>
          <cell r="P669">
            <v>43181</v>
          </cell>
          <cell r="Q669" t="str">
            <v>PAGO DE LA NOMINA DEL MES DE MARZO DE 2018 DE PLANTA FIJA Y CONVENCIONADOS</v>
          </cell>
          <cell r="R669">
            <v>309965</v>
          </cell>
          <cell r="S669">
            <v>0</v>
          </cell>
          <cell r="T669">
            <v>0</v>
          </cell>
          <cell r="U669">
            <v>309965</v>
          </cell>
          <cell r="V669">
            <v>309965</v>
          </cell>
        </row>
        <row r="670">
          <cell r="J670">
            <v>1830</v>
          </cell>
          <cell r="K670">
            <v>43213</v>
          </cell>
          <cell r="L670" t="str">
            <v>CAJA DE VIVIENDA POPULAR</v>
          </cell>
          <cell r="M670">
            <v>1</v>
          </cell>
          <cell r="N670" t="str">
            <v>RELACION DE AUTORIZACION</v>
          </cell>
          <cell r="O670">
            <v>32</v>
          </cell>
          <cell r="P670">
            <v>43213</v>
          </cell>
          <cell r="Q670" t="str">
            <v>PAGO SERVICIOS ASOCIADOS A LA NOMINA DEL MES DE ABRIL DE 2018 DE PLANTA FIJA Y CONVENCIONADOS</v>
          </cell>
          <cell r="R670">
            <v>289434</v>
          </cell>
          <cell r="S670">
            <v>0</v>
          </cell>
          <cell r="T670">
            <v>0</v>
          </cell>
          <cell r="U670">
            <v>289434</v>
          </cell>
          <cell r="V670">
            <v>289434</v>
          </cell>
        </row>
        <row r="671">
          <cell r="J671">
            <v>1947</v>
          </cell>
          <cell r="K671">
            <v>43243</v>
          </cell>
          <cell r="L671" t="str">
            <v>CAJA DE VIVIENDA POPULAR</v>
          </cell>
          <cell r="M671">
            <v>1</v>
          </cell>
          <cell r="N671" t="str">
            <v>RELACION DE AUTORIZACION</v>
          </cell>
          <cell r="O671">
            <v>36</v>
          </cell>
          <cell r="P671">
            <v>43243</v>
          </cell>
          <cell r="Q671" t="str">
            <v>PAGO DE LA NOMINA DEL MES DE MAYO DE 2018 DE PLANTA FIJA Y CONVENCIONADOS</v>
          </cell>
          <cell r="R671">
            <v>289434</v>
          </cell>
          <cell r="S671">
            <v>0</v>
          </cell>
          <cell r="T671">
            <v>0</v>
          </cell>
          <cell r="U671">
            <v>289434</v>
          </cell>
          <cell r="V671">
            <v>289434</v>
          </cell>
        </row>
        <row r="672">
          <cell r="J672">
            <v>2053</v>
          </cell>
          <cell r="K672">
            <v>43271</v>
          </cell>
          <cell r="L672" t="str">
            <v>CAJA DE VIVIENDA POPULAR</v>
          </cell>
          <cell r="M672">
            <v>1</v>
          </cell>
          <cell r="N672" t="str">
            <v>RELACION DE AUTORIZACION</v>
          </cell>
          <cell r="O672">
            <v>45</v>
          </cell>
          <cell r="P672">
            <v>43271</v>
          </cell>
          <cell r="Q672" t="str">
            <v>PAGO DE LA NOMINA DEL MES DE JUNIO DE 2018 DE PLANTA FIJA Y CONVENCIONADOS</v>
          </cell>
          <cell r="R672">
            <v>253774</v>
          </cell>
          <cell r="S672">
            <v>0</v>
          </cell>
          <cell r="T672">
            <v>0</v>
          </cell>
          <cell r="U672">
            <v>253774</v>
          </cell>
          <cell r="V672">
            <v>253774</v>
          </cell>
        </row>
        <row r="673">
          <cell r="J673">
            <v>2520</v>
          </cell>
          <cell r="K673">
            <v>43305</v>
          </cell>
          <cell r="L673" t="str">
            <v>CAJA DE VIVIENDA POPULAR</v>
          </cell>
          <cell r="M673">
            <v>1</v>
          </cell>
          <cell r="N673" t="str">
            <v>RELACION DE AUTORIZACION</v>
          </cell>
          <cell r="O673">
            <v>51</v>
          </cell>
          <cell r="P673">
            <v>43305</v>
          </cell>
          <cell r="Q673" t="str">
            <v>PAGO DE LA NOMINA DEL MES DE JULIO DE 2018 DE LA PLANTA FIJA Y CONVENCIONADOS</v>
          </cell>
          <cell r="R673">
            <v>289434</v>
          </cell>
          <cell r="S673">
            <v>0</v>
          </cell>
          <cell r="T673">
            <v>0</v>
          </cell>
          <cell r="U673">
            <v>289434</v>
          </cell>
          <cell r="V673">
            <v>289434</v>
          </cell>
        </row>
        <row r="674">
          <cell r="J674">
            <v>1603</v>
          </cell>
          <cell r="K674">
            <v>43180</v>
          </cell>
          <cell r="L674" t="str">
            <v>CAJA DE VIVIENDA POPULAR</v>
          </cell>
          <cell r="M674">
            <v>1</v>
          </cell>
          <cell r="N674" t="str">
            <v>RELACION DE AUTORIZACION</v>
          </cell>
          <cell r="O674">
            <v>24</v>
          </cell>
          <cell r="P674">
            <v>43180</v>
          </cell>
          <cell r="Q674" t="str">
            <v>PAGO DE LA NOMINA DEL MES DE MARZO DE 2018 DE PLANTA FIJA Y CONVENCIONADOS</v>
          </cell>
          <cell r="R674">
            <v>22855797</v>
          </cell>
          <cell r="S674">
            <v>22855797</v>
          </cell>
          <cell r="T674">
            <v>0</v>
          </cell>
          <cell r="U674">
            <v>0</v>
          </cell>
          <cell r="V674">
            <v>0</v>
          </cell>
        </row>
        <row r="675">
          <cell r="J675">
            <v>1615</v>
          </cell>
          <cell r="K675">
            <v>43181</v>
          </cell>
          <cell r="L675" t="str">
            <v>CAJA DE VIVIENDA POPULAR</v>
          </cell>
          <cell r="M675">
            <v>1</v>
          </cell>
          <cell r="N675" t="str">
            <v>RELACION DE AUTORIZACION</v>
          </cell>
          <cell r="O675">
            <v>24</v>
          </cell>
          <cell r="P675">
            <v>43181</v>
          </cell>
          <cell r="Q675" t="str">
            <v>PAGO DE LA NOMINA DEL MES DE MARZO DE 2018 DE PLANTA FIJA Y CONVENCIONADOS</v>
          </cell>
          <cell r="R675">
            <v>22855797</v>
          </cell>
          <cell r="S675">
            <v>0</v>
          </cell>
          <cell r="T675">
            <v>0</v>
          </cell>
          <cell r="U675">
            <v>22855797</v>
          </cell>
          <cell r="V675">
            <v>22855797</v>
          </cell>
        </row>
        <row r="676">
          <cell r="J676">
            <v>1832</v>
          </cell>
          <cell r="K676">
            <v>43213</v>
          </cell>
          <cell r="L676" t="str">
            <v>CAJA DE VIVIENDA POPULAR</v>
          </cell>
          <cell r="M676">
            <v>1</v>
          </cell>
          <cell r="N676" t="str">
            <v>RELACION DE AUTORIZACION</v>
          </cell>
          <cell r="O676">
            <v>32</v>
          </cell>
          <cell r="P676">
            <v>43213</v>
          </cell>
          <cell r="Q676" t="str">
            <v>PAGO DE LA NOMINA DEL MES DE ABRIL DE 2018 DE PLANTA FIJA Y CONVENCIONADOS</v>
          </cell>
          <cell r="R676">
            <v>15039051</v>
          </cell>
          <cell r="S676">
            <v>0</v>
          </cell>
          <cell r="T676">
            <v>0</v>
          </cell>
          <cell r="U676">
            <v>15039051</v>
          </cell>
          <cell r="V676">
            <v>15039051</v>
          </cell>
        </row>
        <row r="677">
          <cell r="J677">
            <v>364</v>
          </cell>
          <cell r="K677">
            <v>43124</v>
          </cell>
          <cell r="L677" t="str">
            <v>CAJA DE VIVIENDA POPULAR</v>
          </cell>
          <cell r="M677">
            <v>1</v>
          </cell>
          <cell r="N677" t="str">
            <v>RELACION DE AUTORIZACION</v>
          </cell>
          <cell r="O677">
            <v>4</v>
          </cell>
          <cell r="P677">
            <v>43124</v>
          </cell>
          <cell r="Q677" t="str">
            <v>PAGO DE LA NOMINA DEL MES DE ENERO DE 2018 DE PLANTA FIJA Y CONVENCIONADOS</v>
          </cell>
          <cell r="R677">
            <v>90025</v>
          </cell>
          <cell r="S677">
            <v>0</v>
          </cell>
          <cell r="T677">
            <v>0</v>
          </cell>
          <cell r="U677">
            <v>90025</v>
          </cell>
          <cell r="V677">
            <v>90025</v>
          </cell>
        </row>
        <row r="678">
          <cell r="J678">
            <v>1384</v>
          </cell>
          <cell r="K678">
            <v>43151</v>
          </cell>
          <cell r="L678" t="str">
            <v>CAJA DE VIVIENDA POPULAR</v>
          </cell>
          <cell r="M678">
            <v>1</v>
          </cell>
          <cell r="N678" t="str">
            <v>RELACION DE AUTORIZACION</v>
          </cell>
          <cell r="O678">
            <v>16</v>
          </cell>
          <cell r="P678">
            <v>43151</v>
          </cell>
          <cell r="Q678" t="str">
            <v>PAGO DE LA NOMINA DEL MES DE FEBRERO DE 2018 DE PLANTA FIJA Y CONVENCIONADOS</v>
          </cell>
          <cell r="R678">
            <v>438788</v>
          </cell>
          <cell r="S678">
            <v>0</v>
          </cell>
          <cell r="T678">
            <v>0</v>
          </cell>
          <cell r="U678">
            <v>438788</v>
          </cell>
          <cell r="V678">
            <v>438788</v>
          </cell>
        </row>
        <row r="679">
          <cell r="J679">
            <v>1603</v>
          </cell>
          <cell r="K679">
            <v>43180</v>
          </cell>
          <cell r="L679" t="str">
            <v>CAJA DE VIVIENDA POPULAR</v>
          </cell>
          <cell r="M679">
            <v>1</v>
          </cell>
          <cell r="N679" t="str">
            <v>RELACION DE AUTORIZACION</v>
          </cell>
          <cell r="O679">
            <v>24</v>
          </cell>
          <cell r="P679">
            <v>43180</v>
          </cell>
          <cell r="Q679" t="str">
            <v>PAGO DE LA NOMINA DEL MES DE MARZO DE 2018 DE PLANTA FIJA Y CONVENCIONADOS</v>
          </cell>
          <cell r="R679">
            <v>63639</v>
          </cell>
          <cell r="S679">
            <v>63639</v>
          </cell>
          <cell r="T679">
            <v>0</v>
          </cell>
          <cell r="U679">
            <v>0</v>
          </cell>
          <cell r="V679">
            <v>0</v>
          </cell>
        </row>
        <row r="680">
          <cell r="J680">
            <v>1615</v>
          </cell>
          <cell r="K680">
            <v>43181</v>
          </cell>
          <cell r="L680" t="str">
            <v>CAJA DE VIVIENDA POPULAR</v>
          </cell>
          <cell r="M680">
            <v>1</v>
          </cell>
          <cell r="N680" t="str">
            <v>RELACION DE AUTORIZACION</v>
          </cell>
          <cell r="O680">
            <v>24</v>
          </cell>
          <cell r="P680">
            <v>43181</v>
          </cell>
          <cell r="Q680" t="str">
            <v>PAGO DE LA NOMINA DEL MES DE MARZO DE 2018 DE PLANTA FIJA Y CONVENCIONADOS</v>
          </cell>
          <cell r="R680">
            <v>63639</v>
          </cell>
          <cell r="S680">
            <v>0</v>
          </cell>
          <cell r="T680">
            <v>0</v>
          </cell>
          <cell r="U680">
            <v>63639</v>
          </cell>
          <cell r="V680">
            <v>63639</v>
          </cell>
        </row>
        <row r="681">
          <cell r="J681">
            <v>1830</v>
          </cell>
          <cell r="K681">
            <v>43213</v>
          </cell>
          <cell r="L681" t="str">
            <v>CAJA DE VIVIENDA POPULAR</v>
          </cell>
          <cell r="M681">
            <v>1</v>
          </cell>
          <cell r="N681" t="str">
            <v>RELACION DE AUTORIZACION</v>
          </cell>
          <cell r="O681">
            <v>32</v>
          </cell>
          <cell r="P681">
            <v>43213</v>
          </cell>
          <cell r="Q681" t="str">
            <v>PAGO SERVICIOS ASOCIADOS A LA NOMINA DEL MES DE ABRIL DE 2018 DE PLANTA FIJA Y CONVENCIONADOS</v>
          </cell>
          <cell r="R681">
            <v>1135656</v>
          </cell>
          <cell r="S681">
            <v>0</v>
          </cell>
          <cell r="T681">
            <v>0</v>
          </cell>
          <cell r="U681">
            <v>1135656</v>
          </cell>
          <cell r="V681">
            <v>1135656</v>
          </cell>
        </row>
        <row r="682">
          <cell r="J682">
            <v>1947</v>
          </cell>
          <cell r="K682">
            <v>43243</v>
          </cell>
          <cell r="L682" t="str">
            <v>CAJA DE VIVIENDA POPULAR</v>
          </cell>
          <cell r="M682">
            <v>1</v>
          </cell>
          <cell r="N682" t="str">
            <v>RELACION DE AUTORIZACION</v>
          </cell>
          <cell r="O682">
            <v>36</v>
          </cell>
          <cell r="P682">
            <v>43243</v>
          </cell>
          <cell r="Q682" t="str">
            <v>PAGO DE LA NOMINA DEL MES DE MAYO DE 2018 DE PLANTA FIJA Y CONVENCIONADOS</v>
          </cell>
          <cell r="R682">
            <v>1241569</v>
          </cell>
          <cell r="S682">
            <v>0</v>
          </cell>
          <cell r="T682">
            <v>0</v>
          </cell>
          <cell r="U682">
            <v>1241569</v>
          </cell>
          <cell r="V682">
            <v>1241569</v>
          </cell>
        </row>
        <row r="683">
          <cell r="J683">
            <v>2053</v>
          </cell>
          <cell r="K683">
            <v>43271</v>
          </cell>
          <cell r="L683" t="str">
            <v>CAJA DE VIVIENDA POPULAR</v>
          </cell>
          <cell r="M683">
            <v>1</v>
          </cell>
          <cell r="N683" t="str">
            <v>RELACION DE AUTORIZACION</v>
          </cell>
          <cell r="O683">
            <v>45</v>
          </cell>
          <cell r="P683">
            <v>43271</v>
          </cell>
          <cell r="Q683" t="str">
            <v>PAGO DE LA NOMINA DEL MES DE JUNIO DE 2018 DE PLANTA FIJA Y CONVENCIONADOS</v>
          </cell>
          <cell r="R683">
            <v>672890</v>
          </cell>
          <cell r="S683">
            <v>0</v>
          </cell>
          <cell r="T683">
            <v>0</v>
          </cell>
          <cell r="U683">
            <v>672890</v>
          </cell>
          <cell r="V683">
            <v>672890</v>
          </cell>
        </row>
        <row r="684">
          <cell r="J684">
            <v>2520</v>
          </cell>
          <cell r="K684">
            <v>43305</v>
          </cell>
          <cell r="L684" t="str">
            <v>CAJA DE VIVIENDA POPULAR</v>
          </cell>
          <cell r="M684">
            <v>1</v>
          </cell>
          <cell r="N684" t="str">
            <v>RELACION DE AUTORIZACION</v>
          </cell>
          <cell r="O684">
            <v>51</v>
          </cell>
          <cell r="P684">
            <v>43305</v>
          </cell>
          <cell r="Q684" t="str">
            <v>PAGO DE LA NOMINA DEL MES DE JULIO DE 2018 DE LA PLANTA FIJA Y CONVENCIONADOS</v>
          </cell>
          <cell r="R684">
            <v>348217</v>
          </cell>
          <cell r="S684">
            <v>0</v>
          </cell>
          <cell r="T684">
            <v>0</v>
          </cell>
          <cell r="U684">
            <v>348217</v>
          </cell>
          <cell r="V684">
            <v>348217</v>
          </cell>
        </row>
        <row r="685">
          <cell r="J685">
            <v>364</v>
          </cell>
          <cell r="K685">
            <v>43124</v>
          </cell>
          <cell r="L685" t="str">
            <v>CAJA DE VIVIENDA POPULAR</v>
          </cell>
          <cell r="M685">
            <v>1</v>
          </cell>
          <cell r="N685" t="str">
            <v>RELACION DE AUTORIZACION</v>
          </cell>
          <cell r="O685">
            <v>4</v>
          </cell>
          <cell r="P685">
            <v>43124</v>
          </cell>
          <cell r="Q685" t="str">
            <v>PAGO DE LA NOMINA DEL MES DE ENERO DE 2018 DE PLANTA FIJA Y CONVENCIONADOS</v>
          </cell>
          <cell r="R685">
            <v>28007247</v>
          </cell>
          <cell r="S685">
            <v>0</v>
          </cell>
          <cell r="T685">
            <v>0</v>
          </cell>
          <cell r="U685">
            <v>28007247</v>
          </cell>
          <cell r="V685">
            <v>28007247</v>
          </cell>
        </row>
        <row r="686">
          <cell r="J686">
            <v>368</v>
          </cell>
          <cell r="K686">
            <v>43124</v>
          </cell>
          <cell r="L686" t="str">
            <v>CAJA DE VIVIENDA POPULAR</v>
          </cell>
          <cell r="M686">
            <v>1</v>
          </cell>
          <cell r="N686" t="str">
            <v>RELACION DE AUTORIZACION</v>
          </cell>
          <cell r="O686">
            <v>5</v>
          </cell>
          <cell r="P686">
            <v>43124</v>
          </cell>
          <cell r="Q686" t="str">
            <v>PAGO DE LA NOMINA DEL MES DE ENERO DE 2018 DE PLANTA FIJA Y CONVENCIONADOS</v>
          </cell>
          <cell r="R686">
            <v>32325820</v>
          </cell>
          <cell r="S686">
            <v>0</v>
          </cell>
          <cell r="T686">
            <v>0</v>
          </cell>
          <cell r="U686">
            <v>32325820</v>
          </cell>
          <cell r="V686">
            <v>32325820</v>
          </cell>
        </row>
        <row r="687">
          <cell r="J687">
            <v>756</v>
          </cell>
          <cell r="K687">
            <v>43137</v>
          </cell>
          <cell r="L687" t="str">
            <v>CAJA DE VIVIENDA POPULAR</v>
          </cell>
          <cell r="M687">
            <v>1</v>
          </cell>
          <cell r="N687" t="str">
            <v>RELACION DE AUTORIZACION</v>
          </cell>
          <cell r="O687">
            <v>11</v>
          </cell>
          <cell r="P687">
            <v>43137</v>
          </cell>
          <cell r="Q687" t="str">
            <v>PAGO DE LAS CESANTIAS DEL AÑO 2017 DE LA PLANTA FIJA FONDOS PUBLICOS Y PRIVADOS</v>
          </cell>
          <cell r="R687">
            <v>135188433</v>
          </cell>
          <cell r="S687">
            <v>0</v>
          </cell>
          <cell r="T687">
            <v>0</v>
          </cell>
          <cell r="U687">
            <v>135188433</v>
          </cell>
          <cell r="V687">
            <v>135188433</v>
          </cell>
        </row>
        <row r="688">
          <cell r="J688">
            <v>3</v>
          </cell>
          <cell r="K688">
            <v>43111</v>
          </cell>
          <cell r="L688" t="str">
            <v>CAJA DE VIVIENDA POPULAR</v>
          </cell>
          <cell r="M688">
            <v>1</v>
          </cell>
          <cell r="N688" t="str">
            <v>RELACION DE AUTORIZACION</v>
          </cell>
          <cell r="O688">
            <v>1</v>
          </cell>
          <cell r="P688">
            <v>43111</v>
          </cell>
          <cell r="Q688" t="str">
            <v>PAGO DE APORTES PATRONALES AL SECTOR PRIVADO Y  PÚBLICO DE FUNCIONARIOS DE PLANTA FIJA DE LA CAJA DE LA VIVIENDA POPULAR VIGENCIA MES DE DICIEMBRE 2017</v>
          </cell>
          <cell r="R688">
            <v>22028900</v>
          </cell>
          <cell r="S688">
            <v>0</v>
          </cell>
          <cell r="T688">
            <v>0</v>
          </cell>
          <cell r="U688">
            <v>22028900</v>
          </cell>
          <cell r="V688">
            <v>22028900</v>
          </cell>
        </row>
        <row r="689">
          <cell r="J689">
            <v>366</v>
          </cell>
          <cell r="K689">
            <v>43124</v>
          </cell>
          <cell r="L689" t="str">
            <v>CAJA DE VIVIENDA POPULAR</v>
          </cell>
          <cell r="M689">
            <v>1</v>
          </cell>
          <cell r="N689" t="str">
            <v>RELACION DE AUTORIZACION</v>
          </cell>
          <cell r="O689">
            <v>5</v>
          </cell>
          <cell r="P689">
            <v>43124</v>
          </cell>
          <cell r="Q689" t="str">
            <v>PAGO DE LA NOMINA DEL MES DE ENERO DE 2018 DE PLANTA FIJA Y CONVENCIONADOS</v>
          </cell>
          <cell r="R689">
            <v>32325820</v>
          </cell>
          <cell r="S689">
            <v>32325820</v>
          </cell>
          <cell r="T689">
            <v>0</v>
          </cell>
          <cell r="U689">
            <v>0</v>
          </cell>
          <cell r="V689">
            <v>0</v>
          </cell>
        </row>
        <row r="690">
          <cell r="J690">
            <v>1019</v>
          </cell>
          <cell r="K690">
            <v>43140</v>
          </cell>
          <cell r="L690" t="str">
            <v>CAJA DE VIVIENDA POPULAR</v>
          </cell>
          <cell r="M690">
            <v>1</v>
          </cell>
          <cell r="N690" t="str">
            <v>RELACION DE AUTORIZACION</v>
          </cell>
          <cell r="O690">
            <v>12</v>
          </cell>
          <cell r="P690">
            <v>43140</v>
          </cell>
          <cell r="Q690" t="str">
            <v>PAGO DE MI PLANILLA SEGURIDAD SOCIAL Y PARAFISCALES DE LA PLANTA FIJA Y CONVENCIONADOS DE LA ENTIDAD DEL MES DE ENERO DE 2018</v>
          </cell>
          <cell r="R690">
            <v>19609500</v>
          </cell>
          <cell r="S690">
            <v>0</v>
          </cell>
          <cell r="T690">
            <v>0</v>
          </cell>
          <cell r="U690">
            <v>19609500</v>
          </cell>
          <cell r="V690">
            <v>19609500</v>
          </cell>
        </row>
        <row r="691">
          <cell r="J691">
            <v>1534</v>
          </cell>
          <cell r="K691">
            <v>43165</v>
          </cell>
          <cell r="L691" t="str">
            <v>CAJA DE VIVIENDA POPULAR</v>
          </cell>
          <cell r="M691">
            <v>1</v>
          </cell>
          <cell r="N691" t="str">
            <v>RELACION DE AUTORIZACION</v>
          </cell>
          <cell r="O691">
            <v>20</v>
          </cell>
          <cell r="P691">
            <v>43165</v>
          </cell>
          <cell r="Q691" t="str">
            <v>PAGO DE MI PLANILLA SEGURIDAD SOCIAL Y PARAFISCALES DE LA PLANTA FIJA Y CONVENCIONADOS DE LA ENTIDAD DEL MES DE FEBRERO DE 2018.</v>
          </cell>
          <cell r="R691">
            <v>19774200</v>
          </cell>
          <cell r="S691">
            <v>0</v>
          </cell>
          <cell r="T691">
            <v>0</v>
          </cell>
          <cell r="U691">
            <v>19774200</v>
          </cell>
          <cell r="V691">
            <v>19774200</v>
          </cell>
        </row>
        <row r="692">
          <cell r="J692">
            <v>1794</v>
          </cell>
          <cell r="K692">
            <v>43203</v>
          </cell>
          <cell r="L692" t="str">
            <v>CAJA DE VIVIENDA POPULAR</v>
          </cell>
          <cell r="M692">
            <v>1</v>
          </cell>
          <cell r="N692" t="str">
            <v>RELACION DE AUTORIZACION</v>
          </cell>
          <cell r="O692">
            <v>27</v>
          </cell>
          <cell r="P692">
            <v>43203</v>
          </cell>
          <cell r="Q692" t="str">
            <v>PAGO DE MI PLANILLA SEGURIDAD SOCIAL Y PARAFISCALES DE LA PLANTA FIJA Y CONVENCIONADOS DE LA ENTIDAD DEL MES DE MARZO DE 2018</v>
          </cell>
          <cell r="R692">
            <v>20424400</v>
          </cell>
          <cell r="S692">
            <v>0</v>
          </cell>
          <cell r="T692">
            <v>0</v>
          </cell>
          <cell r="U692">
            <v>20424400</v>
          </cell>
          <cell r="V692">
            <v>20424400</v>
          </cell>
        </row>
        <row r="693">
          <cell r="J693">
            <v>1904</v>
          </cell>
          <cell r="K693">
            <v>43235</v>
          </cell>
          <cell r="L693" t="str">
            <v>CAJA DE VIVIENDA POPULAR</v>
          </cell>
          <cell r="M693">
            <v>1</v>
          </cell>
          <cell r="N693" t="str">
            <v>RELACION DE AUTORIZACION</v>
          </cell>
          <cell r="O693">
            <v>33</v>
          </cell>
          <cell r="P693">
            <v>43235</v>
          </cell>
          <cell r="Q693" t="str">
            <v>PAGO DE MI PLANILLA SEGURIDAD SOCIAL Y PARAFISCALES DE LA PLANTA FIJA Y CONVENCIONADOS DE LA ENTIDAD DEL MES DE ABRIL DE 2018</v>
          </cell>
          <cell r="R693">
            <v>21337000</v>
          </cell>
          <cell r="S693">
            <v>0</v>
          </cell>
          <cell r="T693">
            <v>0</v>
          </cell>
          <cell r="U693">
            <v>21337000</v>
          </cell>
          <cell r="V693">
            <v>21337000</v>
          </cell>
        </row>
        <row r="694">
          <cell r="J694">
            <v>2017</v>
          </cell>
          <cell r="K694">
            <v>43266</v>
          </cell>
          <cell r="L694" t="str">
            <v>CAJA DE VIVIENDA POPULAR</v>
          </cell>
          <cell r="M694">
            <v>1</v>
          </cell>
          <cell r="N694" t="str">
            <v>RELACION DE AUTORIZACION</v>
          </cell>
          <cell r="O694">
            <v>42</v>
          </cell>
          <cell r="P694">
            <v>43266</v>
          </cell>
          <cell r="Q694" t="str">
            <v>PAGO DE MI PLANILLA SEGURIDAD SOCIAL Y PARAFISCALES DE LA PLANTA FIJA Y CONVENCIONADOS DE LA ENTIDAD DEL MES DE MAYO DE 2018</v>
          </cell>
          <cell r="R694">
            <v>20207600</v>
          </cell>
          <cell r="S694">
            <v>0</v>
          </cell>
          <cell r="T694">
            <v>0</v>
          </cell>
          <cell r="U694">
            <v>20207600</v>
          </cell>
          <cell r="V694">
            <v>20207600</v>
          </cell>
        </row>
        <row r="695">
          <cell r="J695">
            <v>2489</v>
          </cell>
          <cell r="K695">
            <v>43298</v>
          </cell>
          <cell r="L695" t="str">
            <v>CAJA DE VIVIENDA POPULAR</v>
          </cell>
          <cell r="M695">
            <v>1</v>
          </cell>
          <cell r="N695" t="str">
            <v>RELACION DE AUTORIZACION</v>
          </cell>
          <cell r="O695">
            <v>48</v>
          </cell>
          <cell r="P695">
            <v>43298</v>
          </cell>
          <cell r="Q695" t="str">
            <v>PAGO DE MI PLANILLA SEGURIDAD SOCIAL Y PARAFISCALES DE LA PLANTA FIJA Y CONVENCIONADOS DE LA ENTIDAD DEL MES DE JUNIO DE 2018</v>
          </cell>
          <cell r="R695">
            <v>20136200</v>
          </cell>
          <cell r="S695">
            <v>0</v>
          </cell>
          <cell r="T695">
            <v>0</v>
          </cell>
          <cell r="U695">
            <v>20136200</v>
          </cell>
          <cell r="V695">
            <v>20136200</v>
          </cell>
        </row>
        <row r="696">
          <cell r="J696">
            <v>3</v>
          </cell>
          <cell r="K696">
            <v>43111</v>
          </cell>
          <cell r="L696" t="str">
            <v>CAJA DE VIVIENDA POPULAR</v>
          </cell>
          <cell r="M696">
            <v>1</v>
          </cell>
          <cell r="N696" t="str">
            <v>RELACION DE AUTORIZACION</v>
          </cell>
          <cell r="O696">
            <v>1</v>
          </cell>
          <cell r="P696">
            <v>43111</v>
          </cell>
          <cell r="Q696" t="str">
            <v>PAGO DE APORTES PATRONALES AL SECTOR PRIVADO Y  PÚBLICO DE FUNCIONARIOS DE PLANTA FIJA DE LA CAJA DE LA VIVIENDA POPULAR VIGENCIA MES DE DICIEMBRE 2017</v>
          </cell>
          <cell r="R696">
            <v>27111800</v>
          </cell>
          <cell r="S696">
            <v>0</v>
          </cell>
          <cell r="T696">
            <v>0</v>
          </cell>
          <cell r="U696">
            <v>27111800</v>
          </cell>
          <cell r="V696">
            <v>27111800</v>
          </cell>
        </row>
        <row r="697">
          <cell r="J697">
            <v>1019</v>
          </cell>
          <cell r="K697">
            <v>43140</v>
          </cell>
          <cell r="L697" t="str">
            <v>CAJA DE VIVIENDA POPULAR</v>
          </cell>
          <cell r="M697">
            <v>1</v>
          </cell>
          <cell r="N697" t="str">
            <v>RELACION DE AUTORIZACION</v>
          </cell>
          <cell r="O697">
            <v>12</v>
          </cell>
          <cell r="P697">
            <v>43140</v>
          </cell>
          <cell r="Q697" t="str">
            <v>PAGO DE MI PLANILLA SEGURIDAD SOCIAL Y PARAFISCALES DE LA PLANTA FIJA Y CONVENCIONADOS DE LA ENTIDAD DEL MES DE ENERO DE 2018</v>
          </cell>
          <cell r="R697">
            <v>26105000</v>
          </cell>
          <cell r="S697">
            <v>0</v>
          </cell>
          <cell r="T697">
            <v>0</v>
          </cell>
          <cell r="U697">
            <v>26105000</v>
          </cell>
          <cell r="V697">
            <v>26105000</v>
          </cell>
        </row>
        <row r="698">
          <cell r="J698">
            <v>1534</v>
          </cell>
          <cell r="K698">
            <v>43165</v>
          </cell>
          <cell r="L698" t="str">
            <v>CAJA DE VIVIENDA POPULAR</v>
          </cell>
          <cell r="M698">
            <v>1</v>
          </cell>
          <cell r="N698" t="str">
            <v>RELACION DE AUTORIZACION</v>
          </cell>
          <cell r="O698">
            <v>20</v>
          </cell>
          <cell r="P698">
            <v>43165</v>
          </cell>
          <cell r="Q698" t="str">
            <v>PAGO DE MI PLANILLA SEGURIDAD SOCIAL Y PARAFISCALES DE LA PLANTA FIJA Y CONVENCIONADOS DE LA ENTIDAD DEL MES DE FEBRERO DE 2018.</v>
          </cell>
          <cell r="R698">
            <v>26366600</v>
          </cell>
          <cell r="S698">
            <v>0</v>
          </cell>
          <cell r="T698">
            <v>0</v>
          </cell>
          <cell r="U698">
            <v>26366600</v>
          </cell>
          <cell r="V698">
            <v>26366600</v>
          </cell>
        </row>
        <row r="699">
          <cell r="J699">
            <v>1794</v>
          </cell>
          <cell r="K699">
            <v>43203</v>
          </cell>
          <cell r="L699" t="str">
            <v>CAJA DE VIVIENDA POPULAR</v>
          </cell>
          <cell r="M699">
            <v>1</v>
          </cell>
          <cell r="N699" t="str">
            <v>RELACION DE AUTORIZACION</v>
          </cell>
          <cell r="O699">
            <v>27</v>
          </cell>
          <cell r="P699">
            <v>43203</v>
          </cell>
          <cell r="Q699" t="str">
            <v>PAGO DE MI PLANILLA SEGURIDAD SOCIAL Y PARAFISCALES DE LA PLANTA FIJA Y CONVENCIONADOS DE LA ENTIDAD DEL MES DE MARZO DE 2018</v>
          </cell>
          <cell r="R699">
            <v>27341500</v>
          </cell>
          <cell r="S699">
            <v>0</v>
          </cell>
          <cell r="T699">
            <v>0</v>
          </cell>
          <cell r="U699">
            <v>27341500</v>
          </cell>
          <cell r="V699">
            <v>27341500</v>
          </cell>
        </row>
        <row r="700">
          <cell r="J700">
            <v>1904</v>
          </cell>
          <cell r="K700">
            <v>43235</v>
          </cell>
          <cell r="L700" t="str">
            <v>CAJA DE VIVIENDA POPULAR</v>
          </cell>
          <cell r="M700">
            <v>1</v>
          </cell>
          <cell r="N700" t="str">
            <v>RELACION DE AUTORIZACION</v>
          </cell>
          <cell r="O700">
            <v>33</v>
          </cell>
          <cell r="P700">
            <v>43235</v>
          </cell>
          <cell r="Q700" t="str">
            <v>PAGO DE MI PLANILLA SEGURIDAD SOCIAL Y PARAFISCALES DE LA PLANTA FIJA Y CONVENCIONADOS DE LA ENTIDAD DEL MES DE ABRIL DE 2018</v>
          </cell>
          <cell r="R700">
            <v>28221700</v>
          </cell>
          <cell r="S700">
            <v>0</v>
          </cell>
          <cell r="T700">
            <v>0</v>
          </cell>
          <cell r="U700">
            <v>28221700</v>
          </cell>
          <cell r="V700">
            <v>28221700</v>
          </cell>
        </row>
        <row r="701">
          <cell r="J701">
            <v>2017</v>
          </cell>
          <cell r="K701">
            <v>43266</v>
          </cell>
          <cell r="L701" t="str">
            <v>CAJA DE VIVIENDA POPULAR</v>
          </cell>
          <cell r="M701">
            <v>1</v>
          </cell>
          <cell r="N701" t="str">
            <v>RELACION DE AUTORIZACION</v>
          </cell>
          <cell r="O701">
            <v>42</v>
          </cell>
          <cell r="P701">
            <v>43266</v>
          </cell>
          <cell r="Q701" t="str">
            <v>PAGO DE MI PLANILLA SEGURIDAD SOCIAL Y PARAFISCALES DE LA PLANTA FIJA Y CONVENCIONADOS DE LA ENTIDAD DEL MES DE MAYO DE 2018</v>
          </cell>
          <cell r="R701">
            <v>28355200</v>
          </cell>
          <cell r="S701">
            <v>0</v>
          </cell>
          <cell r="T701">
            <v>0</v>
          </cell>
          <cell r="U701">
            <v>28355200</v>
          </cell>
          <cell r="V701">
            <v>28355200</v>
          </cell>
        </row>
        <row r="702">
          <cell r="J702">
            <v>2489</v>
          </cell>
          <cell r="K702">
            <v>43298</v>
          </cell>
          <cell r="L702" t="str">
            <v>CAJA DE VIVIENDA POPULAR</v>
          </cell>
          <cell r="M702">
            <v>1</v>
          </cell>
          <cell r="N702" t="str">
            <v>RELACION DE AUTORIZACION</v>
          </cell>
          <cell r="O702">
            <v>48</v>
          </cell>
          <cell r="P702">
            <v>43298</v>
          </cell>
          <cell r="Q702" t="str">
            <v>PAGO DE MI PLANILLA SEGURIDAD SOCIAL Y PARAFISCALES DE LA PLANTA FIJA Y CONVENCIONADOS DE LA ENTIDAD DEL MES DE JUNIO DE 2018</v>
          </cell>
          <cell r="R702">
            <v>28219900</v>
          </cell>
          <cell r="S702">
            <v>0</v>
          </cell>
          <cell r="T702">
            <v>0</v>
          </cell>
          <cell r="U702">
            <v>28219900</v>
          </cell>
          <cell r="V702">
            <v>28219900</v>
          </cell>
        </row>
        <row r="703">
          <cell r="J703">
            <v>3</v>
          </cell>
          <cell r="K703">
            <v>43111</v>
          </cell>
          <cell r="L703" t="str">
            <v>CAJA DE VIVIENDA POPULAR</v>
          </cell>
          <cell r="M703">
            <v>1</v>
          </cell>
          <cell r="N703" t="str">
            <v>RELACION DE AUTORIZACION</v>
          </cell>
          <cell r="O703">
            <v>1</v>
          </cell>
          <cell r="P703">
            <v>43111</v>
          </cell>
          <cell r="Q703" t="str">
            <v>PAGO DE APORTES PATRONALES AL SECTOR PRIVADO Y  PÚBLICO DE FUNCIONARIOS DE PLANTA FIJA DE LA CAJA DE LA VIVIENDA POPULAR VIGENCIA MES DE DICIEMBRE 2017</v>
          </cell>
          <cell r="R703">
            <v>3050200</v>
          </cell>
          <cell r="S703">
            <v>0</v>
          </cell>
          <cell r="T703">
            <v>0</v>
          </cell>
          <cell r="U703">
            <v>3050200</v>
          </cell>
          <cell r="V703">
            <v>3050200</v>
          </cell>
        </row>
        <row r="704">
          <cell r="J704">
            <v>1019</v>
          </cell>
          <cell r="K704">
            <v>43140</v>
          </cell>
          <cell r="L704" t="str">
            <v>CAJA DE VIVIENDA POPULAR</v>
          </cell>
          <cell r="M704">
            <v>1</v>
          </cell>
          <cell r="N704" t="str">
            <v>RELACION DE AUTORIZACION</v>
          </cell>
          <cell r="O704">
            <v>12</v>
          </cell>
          <cell r="P704">
            <v>43140</v>
          </cell>
          <cell r="Q704" t="str">
            <v>PAGO DE MI PLANILLA SEGURIDAD SOCIAL Y PARAFISCALES DE LA PLANTA FIJA Y CONVENCIONADOS DE LA ENTIDAD DEL MES DE ENERO DE 2018</v>
          </cell>
          <cell r="R704">
            <v>2783700</v>
          </cell>
          <cell r="S704">
            <v>0</v>
          </cell>
          <cell r="T704">
            <v>0</v>
          </cell>
          <cell r="U704">
            <v>2783700</v>
          </cell>
          <cell r="V704">
            <v>2783700</v>
          </cell>
        </row>
        <row r="705">
          <cell r="J705">
            <v>1534</v>
          </cell>
          <cell r="K705">
            <v>43165</v>
          </cell>
          <cell r="L705" t="str">
            <v>CAJA DE VIVIENDA POPULAR</v>
          </cell>
          <cell r="M705">
            <v>1</v>
          </cell>
          <cell r="N705" t="str">
            <v>RELACION DE AUTORIZACION</v>
          </cell>
          <cell r="O705">
            <v>20</v>
          </cell>
          <cell r="P705">
            <v>43165</v>
          </cell>
          <cell r="Q705" t="str">
            <v>PAGO DE MI PLANILLA SEGURIDAD SOCIAL Y PARAFISCALES DE LA PLANTA FIJA Y CONVENCIONADOS DE LA ENTIDAD DEL MES DE FEBRERO DE 2018.</v>
          </cell>
          <cell r="R705">
            <v>2814900</v>
          </cell>
          <cell r="S705">
            <v>0</v>
          </cell>
          <cell r="T705">
            <v>0</v>
          </cell>
          <cell r="U705">
            <v>2814900</v>
          </cell>
          <cell r="V705">
            <v>2814900</v>
          </cell>
        </row>
        <row r="706">
          <cell r="J706">
            <v>1794</v>
          </cell>
          <cell r="K706">
            <v>43203</v>
          </cell>
          <cell r="L706" t="str">
            <v>CAJA DE VIVIENDA POPULAR</v>
          </cell>
          <cell r="M706">
            <v>1</v>
          </cell>
          <cell r="N706" t="str">
            <v>RELACION DE AUTORIZACION</v>
          </cell>
          <cell r="O706">
            <v>27</v>
          </cell>
          <cell r="P706">
            <v>43203</v>
          </cell>
          <cell r="Q706" t="str">
            <v>PAGO DE MI PLANILLA SEGURIDAD SOCIAL Y PARAFISCALES DE LA PLANTA FIJA Y CONVENCIONADOS DE LA ENTIDAD DEL MES DE MARZO DE 2018</v>
          </cell>
          <cell r="R706">
            <v>2971200</v>
          </cell>
          <cell r="S706">
            <v>0</v>
          </cell>
          <cell r="T706">
            <v>0</v>
          </cell>
          <cell r="U706">
            <v>2971200</v>
          </cell>
          <cell r="V706">
            <v>2971200</v>
          </cell>
        </row>
        <row r="707">
          <cell r="J707">
            <v>1904</v>
          </cell>
          <cell r="K707">
            <v>43235</v>
          </cell>
          <cell r="L707" t="str">
            <v>CAJA DE VIVIENDA POPULAR</v>
          </cell>
          <cell r="M707">
            <v>1</v>
          </cell>
          <cell r="N707" t="str">
            <v>RELACION DE AUTORIZACION</v>
          </cell>
          <cell r="O707">
            <v>33</v>
          </cell>
          <cell r="P707">
            <v>43235</v>
          </cell>
          <cell r="Q707" t="str">
            <v>PAGO DE MI PLANILLA SEGURIDAD SOCIAL Y PARAFISCALES DE LA PLANTA FIJA Y CONVENCIONADOS DE LA ENTIDAD DEL MES DE ABRIL DE 2018</v>
          </cell>
          <cell r="R707">
            <v>2983900</v>
          </cell>
          <cell r="S707">
            <v>0</v>
          </cell>
          <cell r="T707">
            <v>0</v>
          </cell>
          <cell r="U707">
            <v>2983900</v>
          </cell>
          <cell r="V707">
            <v>2983900</v>
          </cell>
        </row>
        <row r="708">
          <cell r="J708">
            <v>2017</v>
          </cell>
          <cell r="K708">
            <v>43266</v>
          </cell>
          <cell r="L708" t="str">
            <v>CAJA DE VIVIENDA POPULAR</v>
          </cell>
          <cell r="M708">
            <v>1</v>
          </cell>
          <cell r="N708" t="str">
            <v>RELACION DE AUTORIZACION</v>
          </cell>
          <cell r="O708">
            <v>42</v>
          </cell>
          <cell r="P708">
            <v>43266</v>
          </cell>
          <cell r="Q708" t="str">
            <v>PAGO DE MI PLANILLA SEGURIDAD SOCIAL Y PARAFISCALES DE LA PLANTA FIJA Y CONVENCIONADOS DE LA ENTIDAD DEL MES DE MAYO DE 2018</v>
          </cell>
          <cell r="R708">
            <v>2863500</v>
          </cell>
          <cell r="S708">
            <v>0</v>
          </cell>
          <cell r="T708">
            <v>0</v>
          </cell>
          <cell r="U708">
            <v>2863500</v>
          </cell>
          <cell r="V708">
            <v>2863500</v>
          </cell>
        </row>
        <row r="709">
          <cell r="J709">
            <v>2489</v>
          </cell>
          <cell r="K709">
            <v>43298</v>
          </cell>
          <cell r="L709" t="str">
            <v>CAJA DE VIVIENDA POPULAR</v>
          </cell>
          <cell r="M709">
            <v>1</v>
          </cell>
          <cell r="N709" t="str">
            <v>RELACION DE AUTORIZACION</v>
          </cell>
          <cell r="O709">
            <v>48</v>
          </cell>
          <cell r="P709">
            <v>43298</v>
          </cell>
          <cell r="Q709" t="str">
            <v>PAGO DE MI PLANILLA SEGURIDAD SOCIAL Y PARAFISCALES DE LA PLANTA FIJA Y CONVENCIONADOS DE LA ENTIDAD DEL MES DE JUNIO DE 2018</v>
          </cell>
          <cell r="R709">
            <v>2778500</v>
          </cell>
          <cell r="S709">
            <v>0</v>
          </cell>
          <cell r="T709">
            <v>0</v>
          </cell>
          <cell r="U709">
            <v>2778500</v>
          </cell>
          <cell r="V709">
            <v>2778500</v>
          </cell>
        </row>
        <row r="710">
          <cell r="J710">
            <v>3</v>
          </cell>
          <cell r="K710">
            <v>43111</v>
          </cell>
          <cell r="L710" t="str">
            <v>CAJA DE VIVIENDA POPULAR</v>
          </cell>
          <cell r="M710">
            <v>1</v>
          </cell>
          <cell r="N710" t="str">
            <v>RELACION DE AUTORIZACION</v>
          </cell>
          <cell r="O710">
            <v>1</v>
          </cell>
          <cell r="P710">
            <v>43111</v>
          </cell>
          <cell r="Q710" t="str">
            <v>PAGO DE APORTES PATRONALES AL SECTOR PRIVADO Y  PÚBLICO DE FUNCIONARIOS DE PLANTA FIJA DE LA CAJA DE LA VIVIENDA POPULAR VIGENCIA MES DE DICIEMBRE 2017</v>
          </cell>
          <cell r="R710">
            <v>25793200</v>
          </cell>
          <cell r="S710">
            <v>0</v>
          </cell>
          <cell r="T710">
            <v>0</v>
          </cell>
          <cell r="U710">
            <v>25793200</v>
          </cell>
          <cell r="V710">
            <v>25793200</v>
          </cell>
        </row>
        <row r="711">
          <cell r="J711">
            <v>365</v>
          </cell>
          <cell r="K711">
            <v>43124</v>
          </cell>
          <cell r="L711" t="str">
            <v>CAJA DE VIVIENDA POPULAR</v>
          </cell>
          <cell r="M711">
            <v>1</v>
          </cell>
          <cell r="N711" t="str">
            <v>RELACION DE AUTORIZACION</v>
          </cell>
          <cell r="O711">
            <v>4</v>
          </cell>
          <cell r="P711">
            <v>43124</v>
          </cell>
          <cell r="Q711" t="str">
            <v>PAGO DE LA NOMINA DEL MES DE ENERO DE 2018 DE PLANTA FIJA Y CONVENCIONADOS</v>
          </cell>
          <cell r="R711">
            <v>2879968</v>
          </cell>
          <cell r="S711">
            <v>0</v>
          </cell>
          <cell r="T711">
            <v>0</v>
          </cell>
          <cell r="U711">
            <v>2879968</v>
          </cell>
          <cell r="V711">
            <v>2879968</v>
          </cell>
        </row>
        <row r="712">
          <cell r="J712">
            <v>1019</v>
          </cell>
          <cell r="K712">
            <v>43140</v>
          </cell>
          <cell r="L712" t="str">
            <v>CAJA DE VIVIENDA POPULAR</v>
          </cell>
          <cell r="M712">
            <v>1</v>
          </cell>
          <cell r="N712" t="str">
            <v>RELACION DE AUTORIZACION</v>
          </cell>
          <cell r="O712">
            <v>12</v>
          </cell>
          <cell r="P712">
            <v>43140</v>
          </cell>
          <cell r="Q712" t="str">
            <v>PAGO DE MI PLANILLA SEGURIDAD SOCIAL Y PARAFISCALES DE LA PLANTA FIJA Y CONVENCIONADOS DE LA ENTIDAD DEL MES DE ENERO DE 2018</v>
          </cell>
          <cell r="R712">
            <v>11868200</v>
          </cell>
          <cell r="S712">
            <v>0</v>
          </cell>
          <cell r="T712">
            <v>0</v>
          </cell>
          <cell r="U712">
            <v>11868200</v>
          </cell>
          <cell r="V712">
            <v>11868200</v>
          </cell>
        </row>
        <row r="713">
          <cell r="J713">
            <v>1385</v>
          </cell>
          <cell r="K713">
            <v>43151</v>
          </cell>
          <cell r="L713" t="str">
            <v>CAJA DE VIVIENDA POPULAR</v>
          </cell>
          <cell r="M713">
            <v>1</v>
          </cell>
          <cell r="N713" t="str">
            <v>RELACION DE AUTORIZACION</v>
          </cell>
          <cell r="O713">
            <v>16</v>
          </cell>
          <cell r="P713">
            <v>43151</v>
          </cell>
          <cell r="Q713" t="str">
            <v>PAGO DE LA NOMINA DEL MES DE FEBRERO DE 2018 DE PLANTA FIJA Y CONVENCIONADOS</v>
          </cell>
          <cell r="R713">
            <v>249592</v>
          </cell>
          <cell r="S713">
            <v>0</v>
          </cell>
          <cell r="T713">
            <v>0</v>
          </cell>
          <cell r="U713">
            <v>249592</v>
          </cell>
          <cell r="V713">
            <v>249592</v>
          </cell>
        </row>
        <row r="714">
          <cell r="J714">
            <v>1534</v>
          </cell>
          <cell r="K714">
            <v>43165</v>
          </cell>
          <cell r="L714" t="str">
            <v>CAJA DE VIVIENDA POPULAR</v>
          </cell>
          <cell r="M714">
            <v>1</v>
          </cell>
          <cell r="N714" t="str">
            <v>RELACION DE AUTORIZACION</v>
          </cell>
          <cell r="O714">
            <v>20</v>
          </cell>
          <cell r="P714">
            <v>43165</v>
          </cell>
          <cell r="Q714" t="str">
            <v>PAGO DE MI PLANILLA SEGURIDAD SOCIAL Y PARAFISCALES DE LA PLANTA FIJA Y CONVENCIONADOS DE LA ENTIDAD DEL MES DE FEBRERO DE 2018.</v>
          </cell>
          <cell r="R714">
            <v>11845200</v>
          </cell>
          <cell r="S714">
            <v>0</v>
          </cell>
          <cell r="T714">
            <v>0</v>
          </cell>
          <cell r="U714">
            <v>11845200</v>
          </cell>
          <cell r="V714">
            <v>11845200</v>
          </cell>
        </row>
        <row r="715">
          <cell r="J715">
            <v>1602</v>
          </cell>
          <cell r="K715">
            <v>43180</v>
          </cell>
          <cell r="L715" t="str">
            <v>CAJA DE VIVIENDA POPULAR</v>
          </cell>
          <cell r="M715">
            <v>1</v>
          </cell>
          <cell r="N715" t="str">
            <v>RELACION DE AUTORIZACION</v>
          </cell>
          <cell r="O715">
            <v>24</v>
          </cell>
          <cell r="P715">
            <v>43180</v>
          </cell>
          <cell r="Q715" t="str">
            <v>PAGO DE LA NOMINA DEL MES DE MARZO DE 2018 DE PLANTA FIJA Y CONVENCIONADOS</v>
          </cell>
          <cell r="R715">
            <v>565293</v>
          </cell>
          <cell r="S715">
            <v>0</v>
          </cell>
          <cell r="T715">
            <v>0</v>
          </cell>
          <cell r="U715">
            <v>565293</v>
          </cell>
          <cell r="V715">
            <v>565293</v>
          </cell>
        </row>
        <row r="716">
          <cell r="J716">
            <v>1794</v>
          </cell>
          <cell r="K716">
            <v>43203</v>
          </cell>
          <cell r="L716" t="str">
            <v>CAJA DE VIVIENDA POPULAR</v>
          </cell>
          <cell r="M716">
            <v>1</v>
          </cell>
          <cell r="N716" t="str">
            <v>RELACION DE AUTORIZACION</v>
          </cell>
          <cell r="O716">
            <v>27</v>
          </cell>
          <cell r="P716">
            <v>43203</v>
          </cell>
          <cell r="Q716" t="str">
            <v>PAGO DE MI PLANILLA SEGURIDAD SOCIAL Y PARAFISCALES DE LA PLANTA FIJA Y CONVENCIONADOS DE LA ENTIDAD DEL MES DE MARZO DE 2018</v>
          </cell>
          <cell r="R716">
            <v>12280500</v>
          </cell>
          <cell r="S716">
            <v>0</v>
          </cell>
          <cell r="T716">
            <v>0</v>
          </cell>
          <cell r="U716">
            <v>12280500</v>
          </cell>
          <cell r="V716">
            <v>12280500</v>
          </cell>
        </row>
        <row r="717">
          <cell r="J717">
            <v>1831</v>
          </cell>
          <cell r="K717">
            <v>43213</v>
          </cell>
          <cell r="L717" t="str">
            <v>CAJA DE VIVIENDA POPULAR</v>
          </cell>
          <cell r="M717">
            <v>1</v>
          </cell>
          <cell r="N717" t="str">
            <v>RELACION DE AUTORIZACION</v>
          </cell>
          <cell r="O717">
            <v>32</v>
          </cell>
          <cell r="P717">
            <v>43213</v>
          </cell>
          <cell r="Q717" t="str">
            <v>PAGO DE LA NOMINA DEL MES DE ABRIL DE 2018 DE PLANTA FIJA Y CONVENCIONADOS</v>
          </cell>
          <cell r="R717">
            <v>449406</v>
          </cell>
          <cell r="S717">
            <v>0</v>
          </cell>
          <cell r="T717">
            <v>0</v>
          </cell>
          <cell r="U717">
            <v>449406</v>
          </cell>
          <cell r="V717">
            <v>449406</v>
          </cell>
        </row>
        <row r="718">
          <cell r="J718">
            <v>1904</v>
          </cell>
          <cell r="K718">
            <v>43235</v>
          </cell>
          <cell r="L718" t="str">
            <v>CAJA DE VIVIENDA POPULAR</v>
          </cell>
          <cell r="M718">
            <v>1</v>
          </cell>
          <cell r="N718" t="str">
            <v>RELACION DE AUTORIZACION</v>
          </cell>
          <cell r="O718">
            <v>33</v>
          </cell>
          <cell r="P718">
            <v>43235</v>
          </cell>
          <cell r="Q718" t="str">
            <v>PAGO DE MI PLANILLA SEGURIDAD SOCIAL Y PARAFISCALES DE LA PLANTA FIJA Y CONVENCIONADOS DE LA ENTIDAD DEL MES DE ABRIL DE 2018</v>
          </cell>
          <cell r="R718">
            <v>13211800</v>
          </cell>
          <cell r="S718">
            <v>0</v>
          </cell>
          <cell r="T718">
            <v>0</v>
          </cell>
          <cell r="U718">
            <v>13211800</v>
          </cell>
          <cell r="V718">
            <v>13211800</v>
          </cell>
        </row>
        <row r="719">
          <cell r="J719">
            <v>1949</v>
          </cell>
          <cell r="K719">
            <v>43243</v>
          </cell>
          <cell r="L719" t="str">
            <v>CAJA DE VIVIENDA POPULAR</v>
          </cell>
          <cell r="M719">
            <v>1</v>
          </cell>
          <cell r="N719" t="str">
            <v>RELACION DE AUTORIZACION</v>
          </cell>
          <cell r="O719">
            <v>36</v>
          </cell>
          <cell r="P719">
            <v>43243</v>
          </cell>
          <cell r="Q719" t="str">
            <v>PAGO DE LA NOMINA DEL MES DE MAYO DE 2018 PLANTA FIJA Y CONVENCIONADOS</v>
          </cell>
          <cell r="R719">
            <v>1464228</v>
          </cell>
          <cell r="S719">
            <v>0</v>
          </cell>
          <cell r="T719">
            <v>0</v>
          </cell>
          <cell r="U719">
            <v>1464228</v>
          </cell>
          <cell r="V719">
            <v>1464228</v>
          </cell>
        </row>
        <row r="720">
          <cell r="J720">
            <v>2017</v>
          </cell>
          <cell r="K720">
            <v>43266</v>
          </cell>
          <cell r="L720" t="str">
            <v>CAJA DE VIVIENDA POPULAR</v>
          </cell>
          <cell r="M720">
            <v>1</v>
          </cell>
          <cell r="N720" t="str">
            <v>RELACION DE AUTORIZACION</v>
          </cell>
          <cell r="O720">
            <v>42</v>
          </cell>
          <cell r="P720">
            <v>43266</v>
          </cell>
          <cell r="Q720" t="str">
            <v>PAGO DE MI PLANILLA SEGURIDAD SOCIAL Y PARAFISCALES DE LA PLANTA FIJA Y CONVENCIONADOS DE LA ENTIDAD DEL MES DE MAYO DE 2018</v>
          </cell>
          <cell r="R720">
            <v>13273400</v>
          </cell>
          <cell r="S720">
            <v>0</v>
          </cell>
          <cell r="T720">
            <v>0</v>
          </cell>
          <cell r="U720">
            <v>13273400</v>
          </cell>
          <cell r="V720">
            <v>13273400</v>
          </cell>
        </row>
        <row r="721">
          <cell r="J721">
            <v>2054</v>
          </cell>
          <cell r="K721">
            <v>43271</v>
          </cell>
          <cell r="L721" t="str">
            <v>CAJA DE VIVIENDA POPULAR</v>
          </cell>
          <cell r="M721">
            <v>1</v>
          </cell>
          <cell r="N721" t="str">
            <v>RELACION DE AUTORIZACION</v>
          </cell>
          <cell r="O721">
            <v>45</v>
          </cell>
          <cell r="P721">
            <v>43271</v>
          </cell>
          <cell r="Q721" t="str">
            <v>PAGO DE LA NOMINA DEL MES DE JUNIO DE 2018 PLANTA FIJA Y CONVENCIONADOS</v>
          </cell>
          <cell r="R721">
            <v>357078</v>
          </cell>
          <cell r="S721">
            <v>0</v>
          </cell>
          <cell r="T721">
            <v>0</v>
          </cell>
          <cell r="U721">
            <v>357078</v>
          </cell>
          <cell r="V721">
            <v>357078</v>
          </cell>
        </row>
        <row r="722">
          <cell r="J722">
            <v>2489</v>
          </cell>
          <cell r="K722">
            <v>43298</v>
          </cell>
          <cell r="L722" t="str">
            <v>CAJA DE VIVIENDA POPULAR</v>
          </cell>
          <cell r="M722">
            <v>1</v>
          </cell>
          <cell r="N722" t="str">
            <v>RELACION DE AUTORIZACION</v>
          </cell>
          <cell r="O722">
            <v>48</v>
          </cell>
          <cell r="P722">
            <v>43298</v>
          </cell>
          <cell r="Q722" t="str">
            <v>PAGO DE MI PLANILLA SEGURIDAD SOCIAL Y PARAFISCALES DE LA PLANTA FIJA Y CONVENCIONADOS DE LA ENTIDAD DEL MES DE JUNIO DE 2018</v>
          </cell>
          <cell r="R722">
            <v>28125700</v>
          </cell>
          <cell r="S722">
            <v>0</v>
          </cell>
          <cell r="T722">
            <v>0</v>
          </cell>
          <cell r="U722">
            <v>28125700</v>
          </cell>
          <cell r="V722">
            <v>28125700</v>
          </cell>
        </row>
        <row r="723">
          <cell r="J723">
            <v>2521</v>
          </cell>
          <cell r="K723">
            <v>43305</v>
          </cell>
          <cell r="L723" t="str">
            <v>CAJA DE VIVIENDA POPULAR</v>
          </cell>
          <cell r="M723">
            <v>1</v>
          </cell>
          <cell r="N723" t="str">
            <v>RELACION DE AUTORIZACION</v>
          </cell>
          <cell r="O723">
            <v>51</v>
          </cell>
          <cell r="P723">
            <v>43305</v>
          </cell>
          <cell r="Q723" t="str">
            <v>PAGO DE LA NOMINA DEL MES DE JULIO DE 2018 DE PLANTA FIJA Y CONVENCIONADOS</v>
          </cell>
          <cell r="R723">
            <v>1275600</v>
          </cell>
          <cell r="S723">
            <v>0</v>
          </cell>
          <cell r="T723">
            <v>0</v>
          </cell>
          <cell r="U723">
            <v>1275600</v>
          </cell>
          <cell r="V723">
            <v>1275600</v>
          </cell>
        </row>
        <row r="724">
          <cell r="J724">
            <v>366</v>
          </cell>
          <cell r="K724">
            <v>43124</v>
          </cell>
          <cell r="L724" t="str">
            <v>CAJA DE VIVIENDA POPULAR</v>
          </cell>
          <cell r="M724">
            <v>1</v>
          </cell>
          <cell r="N724" t="str">
            <v>RELACION DE AUTORIZACION</v>
          </cell>
          <cell r="O724">
            <v>5</v>
          </cell>
          <cell r="P724">
            <v>43124</v>
          </cell>
          <cell r="Q724" t="str">
            <v>PAGO DE LA NOMINA DEL MES DE ENERO DE 2018 DE PLANTA FIJA Y CONVENCIONADOS</v>
          </cell>
          <cell r="R724">
            <v>5456178</v>
          </cell>
          <cell r="S724">
            <v>5456178</v>
          </cell>
          <cell r="T724">
            <v>0</v>
          </cell>
          <cell r="U724">
            <v>0</v>
          </cell>
          <cell r="V724">
            <v>0</v>
          </cell>
        </row>
        <row r="725">
          <cell r="J725">
            <v>368</v>
          </cell>
          <cell r="K725">
            <v>43124</v>
          </cell>
          <cell r="L725" t="str">
            <v>CAJA DE VIVIENDA POPULAR</v>
          </cell>
          <cell r="M725">
            <v>1</v>
          </cell>
          <cell r="N725" t="str">
            <v>RELACION DE AUTORIZACION</v>
          </cell>
          <cell r="O725">
            <v>5</v>
          </cell>
          <cell r="P725">
            <v>43124</v>
          </cell>
          <cell r="Q725" t="str">
            <v>PAGO DE LA NOMINA DEL MES DE ENERO DE 2018 DE PLANTA FIJA Y CONVENCIONADOS</v>
          </cell>
          <cell r="R725">
            <v>5456178</v>
          </cell>
          <cell r="S725">
            <v>0</v>
          </cell>
          <cell r="T725">
            <v>0</v>
          </cell>
          <cell r="U725">
            <v>5456178</v>
          </cell>
          <cell r="V725">
            <v>5456178</v>
          </cell>
        </row>
        <row r="726">
          <cell r="J726">
            <v>756</v>
          </cell>
          <cell r="K726">
            <v>43137</v>
          </cell>
          <cell r="L726" t="str">
            <v>CAJA DE VIVIENDA POPULAR</v>
          </cell>
          <cell r="M726">
            <v>1</v>
          </cell>
          <cell r="N726" t="str">
            <v>RELACION DE AUTORIZACION</v>
          </cell>
          <cell r="O726">
            <v>11</v>
          </cell>
          <cell r="P726">
            <v>43137</v>
          </cell>
          <cell r="Q726" t="str">
            <v>PAGO DE LAS CESANTIAS DEL AÑO 2017 DE LA PLANTA FIJA FONDOS PUBLICOS Y PRIVADOS</v>
          </cell>
          <cell r="R726">
            <v>144665875</v>
          </cell>
          <cell r="S726">
            <v>0</v>
          </cell>
          <cell r="T726">
            <v>0</v>
          </cell>
          <cell r="U726">
            <v>144665875</v>
          </cell>
          <cell r="V726">
            <v>144665875</v>
          </cell>
        </row>
        <row r="727">
          <cell r="J727">
            <v>1387</v>
          </cell>
          <cell r="K727">
            <v>43151</v>
          </cell>
          <cell r="L727" t="str">
            <v>CAJA DE VIVIENDA POPULAR</v>
          </cell>
          <cell r="M727">
            <v>1</v>
          </cell>
          <cell r="N727" t="str">
            <v>RELACION DE AUTORIZACION</v>
          </cell>
          <cell r="O727">
            <v>18</v>
          </cell>
          <cell r="P727">
            <v>43151</v>
          </cell>
          <cell r="Q727" t="str">
            <v>PAGO DE INTERESES DE CESANTIAS 2018 DE UN FUNCIONARIO CONVENCIONADO- FONDOS PUBLICOS</v>
          </cell>
          <cell r="R727">
            <v>554686</v>
          </cell>
          <cell r="S727">
            <v>0</v>
          </cell>
          <cell r="T727">
            <v>0</v>
          </cell>
          <cell r="U727">
            <v>554686</v>
          </cell>
          <cell r="V727">
            <v>554686</v>
          </cell>
        </row>
        <row r="728">
          <cell r="J728">
            <v>3</v>
          </cell>
          <cell r="K728">
            <v>43111</v>
          </cell>
          <cell r="L728" t="str">
            <v>CAJA DE VIVIENDA POPULAR</v>
          </cell>
          <cell r="M728">
            <v>1</v>
          </cell>
          <cell r="N728" t="str">
            <v>RELACION DE AUTORIZACION</v>
          </cell>
          <cell r="O728">
            <v>1</v>
          </cell>
          <cell r="P728">
            <v>43111</v>
          </cell>
          <cell r="Q728" t="str">
            <v>PAGO DE APORTES PATRONALES AL SECTOR PRIVADO Y  PÚBLICO DE FUNCIONARIOS DE PLANTA FIJA DE LA CAJA DE LA VIVIENDA POPULAR VIGENCIA MES DE DICIEMBRE 2017</v>
          </cell>
          <cell r="R728">
            <v>16247600</v>
          </cell>
          <cell r="S728">
            <v>0</v>
          </cell>
          <cell r="T728">
            <v>0</v>
          </cell>
          <cell r="U728">
            <v>16247600</v>
          </cell>
          <cell r="V728">
            <v>16247600</v>
          </cell>
        </row>
        <row r="729">
          <cell r="J729">
            <v>1019</v>
          </cell>
          <cell r="K729">
            <v>43140</v>
          </cell>
          <cell r="L729" t="str">
            <v>CAJA DE VIVIENDA POPULAR</v>
          </cell>
          <cell r="M729">
            <v>1</v>
          </cell>
          <cell r="N729" t="str">
            <v>RELACION DE AUTORIZACION</v>
          </cell>
          <cell r="O729">
            <v>12</v>
          </cell>
          <cell r="P729">
            <v>43140</v>
          </cell>
          <cell r="Q729" t="str">
            <v>PAGO DE MI PLANILLA SEGURIDAD SOCIAL Y PARAFISCALES DE LA PLANTA FIJA Y CONVENCIONADOS DE LA ENTIDAD DEL MES DE ENERO DE 2018</v>
          </cell>
          <cell r="R729">
            <v>17246900</v>
          </cell>
          <cell r="S729">
            <v>0</v>
          </cell>
          <cell r="T729">
            <v>0</v>
          </cell>
          <cell r="U729">
            <v>17246900</v>
          </cell>
          <cell r="V729">
            <v>17246900</v>
          </cell>
        </row>
        <row r="730">
          <cell r="J730">
            <v>1534</v>
          </cell>
          <cell r="K730">
            <v>43165</v>
          </cell>
          <cell r="L730" t="str">
            <v>CAJA DE VIVIENDA POPULAR</v>
          </cell>
          <cell r="M730">
            <v>1</v>
          </cell>
          <cell r="N730" t="str">
            <v>RELACION DE AUTORIZACION</v>
          </cell>
          <cell r="O730">
            <v>20</v>
          </cell>
          <cell r="P730">
            <v>43165</v>
          </cell>
          <cell r="Q730" t="str">
            <v>PAGO DE MI PLANILLA SEGURIDAD SOCIAL Y PARAFISCALES DE LA PLANTA FIJA Y CONVENCIONADOS DE LA ENTIDAD DEL MES DE FEBRERO DE 2018.</v>
          </cell>
          <cell r="R730">
            <v>17450200</v>
          </cell>
          <cell r="S730">
            <v>0</v>
          </cell>
          <cell r="T730">
            <v>0</v>
          </cell>
          <cell r="U730">
            <v>17450200</v>
          </cell>
          <cell r="V730">
            <v>17450200</v>
          </cell>
        </row>
        <row r="731">
          <cell r="J731">
            <v>1794</v>
          </cell>
          <cell r="K731">
            <v>43203</v>
          </cell>
          <cell r="L731" t="str">
            <v>CAJA DE VIVIENDA POPULAR</v>
          </cell>
          <cell r="M731">
            <v>1</v>
          </cell>
          <cell r="N731" t="str">
            <v>RELACION DE AUTORIZACION</v>
          </cell>
          <cell r="O731">
            <v>27</v>
          </cell>
          <cell r="P731">
            <v>43203</v>
          </cell>
          <cell r="Q731" t="str">
            <v>PAGO DE MI PLANILLA SEGURIDAD SOCIAL Y PARAFISCALES DE LA PLANTA FIJA Y CONVENCIONADOS DE LA ENTIDAD DEL MES DE MARZO DE 2018</v>
          </cell>
          <cell r="R731">
            <v>18175500</v>
          </cell>
          <cell r="S731">
            <v>0</v>
          </cell>
          <cell r="T731">
            <v>0</v>
          </cell>
          <cell r="U731">
            <v>18175500</v>
          </cell>
          <cell r="V731">
            <v>18175500</v>
          </cell>
        </row>
        <row r="732">
          <cell r="J732">
            <v>1904</v>
          </cell>
          <cell r="K732">
            <v>43235</v>
          </cell>
          <cell r="L732" t="str">
            <v>CAJA DE VIVIENDA POPULAR</v>
          </cell>
          <cell r="M732">
            <v>1</v>
          </cell>
          <cell r="N732" t="str">
            <v>RELACION DE AUTORIZACION</v>
          </cell>
          <cell r="O732">
            <v>33</v>
          </cell>
          <cell r="P732">
            <v>43235</v>
          </cell>
          <cell r="Q732" t="str">
            <v>PAGO DE MI PLANILLA SEGURIDAD SOCIAL Y PARAFISCALES DE LA PLANTA FIJA Y CONVENCIONADOS DE LA ENTIDAD DEL MES DE ABRIL DE 2018</v>
          </cell>
          <cell r="R732">
            <v>18505500</v>
          </cell>
          <cell r="S732">
            <v>0</v>
          </cell>
          <cell r="T732">
            <v>0</v>
          </cell>
          <cell r="U732">
            <v>18505500</v>
          </cell>
          <cell r="V732">
            <v>18505500</v>
          </cell>
        </row>
        <row r="733">
          <cell r="J733">
            <v>2017</v>
          </cell>
          <cell r="K733">
            <v>43266</v>
          </cell>
          <cell r="L733" t="str">
            <v>CAJA DE VIVIENDA POPULAR</v>
          </cell>
          <cell r="M733">
            <v>1</v>
          </cell>
          <cell r="N733" t="str">
            <v>RELACION DE AUTORIZACION</v>
          </cell>
          <cell r="O733">
            <v>42</v>
          </cell>
          <cell r="P733">
            <v>43266</v>
          </cell>
          <cell r="Q733" t="str">
            <v>PAGO DE MI PLANILLA SEGURIDAD SOCIAL Y PARAFISCALES DE LA PLANTA FIJA Y CONVENCIONADOS DE LA ENTIDAD DEL MES DE MAYO DE 2018</v>
          </cell>
          <cell r="R733">
            <v>19823700</v>
          </cell>
          <cell r="S733">
            <v>0</v>
          </cell>
          <cell r="T733">
            <v>0</v>
          </cell>
          <cell r="U733">
            <v>19823700</v>
          </cell>
          <cell r="V733">
            <v>19823700</v>
          </cell>
        </row>
        <row r="734">
          <cell r="J734">
            <v>2489</v>
          </cell>
          <cell r="K734">
            <v>43298</v>
          </cell>
          <cell r="L734" t="str">
            <v>CAJA DE VIVIENDA POPULAR</v>
          </cell>
          <cell r="M734">
            <v>1</v>
          </cell>
          <cell r="N734" t="str">
            <v>RELACION DE AUTORIZACION</v>
          </cell>
          <cell r="O734">
            <v>48</v>
          </cell>
          <cell r="P734">
            <v>43298</v>
          </cell>
          <cell r="Q734" t="str">
            <v>PAGO DE MI PLANILLA SEGURIDAD SOCIAL Y PARAFISCALES DE LA PLANTA FIJA Y CONVENCIONADOS DE LA ENTIDAD DEL MES DE JUNIO DE 2018</v>
          </cell>
          <cell r="R734">
            <v>19704000</v>
          </cell>
          <cell r="S734">
            <v>0</v>
          </cell>
          <cell r="T734">
            <v>0</v>
          </cell>
          <cell r="U734">
            <v>19704000</v>
          </cell>
          <cell r="V734">
            <v>19704000</v>
          </cell>
        </row>
        <row r="735">
          <cell r="J735">
            <v>3</v>
          </cell>
          <cell r="K735">
            <v>43111</v>
          </cell>
          <cell r="L735" t="str">
            <v>CAJA DE VIVIENDA POPULAR</v>
          </cell>
          <cell r="M735">
            <v>1</v>
          </cell>
          <cell r="N735" t="str">
            <v>RELACION DE AUTORIZACION</v>
          </cell>
          <cell r="O735">
            <v>1</v>
          </cell>
          <cell r="P735">
            <v>43111</v>
          </cell>
          <cell r="Q735" t="str">
            <v>PAGO DE APORTES PATRONALES AL SECTOR PRIVADO Y  PÚBLICO DE FUNCIONARIOS DE PLANTA FIJA DE LA CAJA DE LA VIVIENDA POPULAR VIGENCIA MES DE DICIEMBRE 2017</v>
          </cell>
          <cell r="R735">
            <v>21294300</v>
          </cell>
          <cell r="S735">
            <v>0</v>
          </cell>
          <cell r="T735">
            <v>0</v>
          </cell>
          <cell r="U735">
            <v>21294300</v>
          </cell>
          <cell r="V735">
            <v>21294300</v>
          </cell>
        </row>
        <row r="736">
          <cell r="J736">
            <v>1019</v>
          </cell>
          <cell r="K736">
            <v>43140</v>
          </cell>
          <cell r="L736" t="str">
            <v>CAJA DE VIVIENDA POPULAR</v>
          </cell>
          <cell r="M736">
            <v>1</v>
          </cell>
          <cell r="N736" t="str">
            <v>RELACION DE AUTORIZACION</v>
          </cell>
          <cell r="O736">
            <v>12</v>
          </cell>
          <cell r="P736">
            <v>43140</v>
          </cell>
          <cell r="Q736" t="str">
            <v>PAGO DE MI PLANILLA SEGURIDAD SOCIAL Y PARAFISCALES DE LA PLANTA FIJA Y CONVENCIONADOS DE LA ENTIDAD DEL MES DE ENERO DE 2018</v>
          </cell>
          <cell r="R736">
            <v>9288300</v>
          </cell>
          <cell r="S736">
            <v>0</v>
          </cell>
          <cell r="T736">
            <v>0</v>
          </cell>
          <cell r="U736">
            <v>9288300</v>
          </cell>
          <cell r="V736">
            <v>9288300</v>
          </cell>
        </row>
        <row r="737">
          <cell r="J737">
            <v>1534</v>
          </cell>
          <cell r="K737">
            <v>43165</v>
          </cell>
          <cell r="L737" t="str">
            <v>CAJA DE VIVIENDA POPULAR</v>
          </cell>
          <cell r="M737">
            <v>1</v>
          </cell>
          <cell r="N737" t="str">
            <v>RELACION DE AUTORIZACION</v>
          </cell>
          <cell r="O737">
            <v>20</v>
          </cell>
          <cell r="P737">
            <v>43165</v>
          </cell>
          <cell r="Q737" t="str">
            <v>PAGO DE MI PLANILLA SEGURIDAD SOCIAL Y PARAFISCALES DE LA PLANTA FIJA Y CONVENCIONADOS DE LA ENTIDAD DEL MES DE FEBRERO DE 2018.</v>
          </cell>
          <cell r="R737">
            <v>9298800</v>
          </cell>
          <cell r="S737">
            <v>0</v>
          </cell>
          <cell r="T737">
            <v>0</v>
          </cell>
          <cell r="U737">
            <v>9298800</v>
          </cell>
          <cell r="V737">
            <v>9298800</v>
          </cell>
        </row>
        <row r="738">
          <cell r="J738">
            <v>1794</v>
          </cell>
          <cell r="K738">
            <v>43203</v>
          </cell>
          <cell r="L738" t="str">
            <v>CAJA DE VIVIENDA POPULAR</v>
          </cell>
          <cell r="M738">
            <v>1</v>
          </cell>
          <cell r="N738" t="str">
            <v>RELACION DE AUTORIZACION</v>
          </cell>
          <cell r="O738">
            <v>27</v>
          </cell>
          <cell r="P738">
            <v>43203</v>
          </cell>
          <cell r="Q738" t="str">
            <v>PAGO DE MI PLANILLA SEGURIDAD SOCIAL Y PARAFISCALES DE LA PLANTA FIJA Y CONVENCIONADOS DE LA ENTIDAD DEL MES DE MARZO DE 2018</v>
          </cell>
          <cell r="R738">
            <v>9639100</v>
          </cell>
          <cell r="S738">
            <v>0</v>
          </cell>
          <cell r="T738">
            <v>0</v>
          </cell>
          <cell r="U738">
            <v>9639100</v>
          </cell>
          <cell r="V738">
            <v>9639100</v>
          </cell>
        </row>
        <row r="739">
          <cell r="J739">
            <v>1904</v>
          </cell>
          <cell r="K739">
            <v>43235</v>
          </cell>
          <cell r="L739" t="str">
            <v>CAJA DE VIVIENDA POPULAR</v>
          </cell>
          <cell r="M739">
            <v>1</v>
          </cell>
          <cell r="N739" t="str">
            <v>RELACION DE AUTORIZACION</v>
          </cell>
          <cell r="O739">
            <v>33</v>
          </cell>
          <cell r="P739">
            <v>43235</v>
          </cell>
          <cell r="Q739" t="str">
            <v>PAGO DE MI PLANILLA SEGURIDAD SOCIAL Y PARAFISCALES DE LA PLANTA FIJA Y CONVENCIONADOS DE LA ENTIDAD DEL MES DE ABRIL DE 2018</v>
          </cell>
          <cell r="R739">
            <v>10474300</v>
          </cell>
          <cell r="S739">
            <v>0</v>
          </cell>
          <cell r="T739">
            <v>0</v>
          </cell>
          <cell r="U739">
            <v>10474300</v>
          </cell>
          <cell r="V739">
            <v>10474300</v>
          </cell>
        </row>
        <row r="740">
          <cell r="J740">
            <v>2017</v>
          </cell>
          <cell r="K740">
            <v>43266</v>
          </cell>
          <cell r="L740" t="str">
            <v>CAJA DE VIVIENDA POPULAR</v>
          </cell>
          <cell r="M740">
            <v>1</v>
          </cell>
          <cell r="N740" t="str">
            <v>RELACION DE AUTORIZACION</v>
          </cell>
          <cell r="O740">
            <v>42</v>
          </cell>
          <cell r="P740">
            <v>43266</v>
          </cell>
          <cell r="Q740" t="str">
            <v>PAGO DE MI PLANILLA SEGURIDAD SOCIAL Y PARAFISCALES DE LA PLANTA FIJA Y CONVENCIONADOS DE LA ENTIDAD DEL MES DE MAYO DE 2018</v>
          </cell>
          <cell r="R740">
            <v>10280500</v>
          </cell>
          <cell r="S740">
            <v>0</v>
          </cell>
          <cell r="T740">
            <v>0</v>
          </cell>
          <cell r="U740">
            <v>10280500</v>
          </cell>
          <cell r="V740">
            <v>10280500</v>
          </cell>
        </row>
        <row r="741">
          <cell r="J741">
            <v>2489</v>
          </cell>
          <cell r="K741">
            <v>43298</v>
          </cell>
          <cell r="L741" t="str">
            <v>CAJA DE VIVIENDA POPULAR</v>
          </cell>
          <cell r="M741">
            <v>1</v>
          </cell>
          <cell r="N741" t="str">
            <v>RELACION DE AUTORIZACION</v>
          </cell>
          <cell r="O741">
            <v>48</v>
          </cell>
          <cell r="P741">
            <v>43298</v>
          </cell>
          <cell r="Q741" t="str">
            <v>PAGO DE MI PLANILLA SEGURIDAD SOCIAL Y PARAFISCALES DE LA PLANTA FIJA Y CONVENCIONADOS DE LA ENTIDAD DEL MES DE JUNIO DE 2018</v>
          </cell>
          <cell r="R741">
            <v>22051700</v>
          </cell>
          <cell r="S741">
            <v>0</v>
          </cell>
          <cell r="T741">
            <v>0</v>
          </cell>
          <cell r="U741">
            <v>22051700</v>
          </cell>
          <cell r="V741">
            <v>22051700</v>
          </cell>
        </row>
        <row r="742">
          <cell r="J742">
            <v>3</v>
          </cell>
          <cell r="K742">
            <v>43111</v>
          </cell>
          <cell r="L742" t="str">
            <v>CAJA DE VIVIENDA POPULAR</v>
          </cell>
          <cell r="M742">
            <v>1</v>
          </cell>
          <cell r="N742" t="str">
            <v>RELACION DE AUTORIZACION</v>
          </cell>
          <cell r="O742">
            <v>1</v>
          </cell>
          <cell r="P742">
            <v>43111</v>
          </cell>
          <cell r="Q742" t="str">
            <v>PAGO DE APORTES PATRONALES AL SECTOR PRIVADO Y  PÚBLICO DE FUNCIONARIOS DE PLANTA FIJA DE LA CAJA DE LA VIVIENDA POPULAR VIGENCIA MES DE DICIEMBRE 2017</v>
          </cell>
          <cell r="R742">
            <v>14197500</v>
          </cell>
          <cell r="S742">
            <v>0</v>
          </cell>
          <cell r="T742">
            <v>0</v>
          </cell>
          <cell r="U742">
            <v>14197500</v>
          </cell>
          <cell r="V742">
            <v>14197500</v>
          </cell>
        </row>
        <row r="743">
          <cell r="J743">
            <v>1019</v>
          </cell>
          <cell r="K743">
            <v>43140</v>
          </cell>
          <cell r="L743" t="str">
            <v>CAJA DE VIVIENDA POPULAR</v>
          </cell>
          <cell r="M743">
            <v>1</v>
          </cell>
          <cell r="N743" t="str">
            <v>RELACION DE AUTORIZACION</v>
          </cell>
          <cell r="O743">
            <v>12</v>
          </cell>
          <cell r="P743">
            <v>43140</v>
          </cell>
          <cell r="Q743" t="str">
            <v>PAGO DE MI PLANILLA SEGURIDAD SOCIAL Y PARAFISCALES DE LA PLANTA FIJA Y CONVENCIONADOS DE LA ENTIDAD DEL MES DE ENERO DE 2018</v>
          </cell>
          <cell r="R743">
            <v>6193700</v>
          </cell>
          <cell r="S743">
            <v>0</v>
          </cell>
          <cell r="T743">
            <v>0</v>
          </cell>
          <cell r="U743">
            <v>6193700</v>
          </cell>
          <cell r="V743">
            <v>6193700</v>
          </cell>
        </row>
        <row r="744">
          <cell r="J744">
            <v>1534</v>
          </cell>
          <cell r="K744">
            <v>43165</v>
          </cell>
          <cell r="L744" t="str">
            <v>CAJA DE VIVIENDA POPULAR</v>
          </cell>
          <cell r="M744">
            <v>1</v>
          </cell>
          <cell r="N744" t="str">
            <v>RELACION DE AUTORIZACION</v>
          </cell>
          <cell r="O744">
            <v>20</v>
          </cell>
          <cell r="P744">
            <v>43165</v>
          </cell>
          <cell r="Q744" t="str">
            <v>PAGO DE MI PLANILLA SEGURIDAD SOCIAL Y PARAFISCALES DE LA PLANTA FIJA Y CONVENCIONADOS DE LA ENTIDAD DEL MES DE FEBRERO DE 2018.</v>
          </cell>
          <cell r="R744">
            <v>6200800</v>
          </cell>
          <cell r="S744">
            <v>0</v>
          </cell>
          <cell r="T744">
            <v>0</v>
          </cell>
          <cell r="U744">
            <v>6200800</v>
          </cell>
          <cell r="V744">
            <v>6200800</v>
          </cell>
        </row>
        <row r="745">
          <cell r="J745">
            <v>1794</v>
          </cell>
          <cell r="K745">
            <v>43203</v>
          </cell>
          <cell r="L745" t="str">
            <v>CAJA DE VIVIENDA POPULAR</v>
          </cell>
          <cell r="M745">
            <v>1</v>
          </cell>
          <cell r="N745" t="str">
            <v>RELACION DE AUTORIZACION</v>
          </cell>
          <cell r="O745">
            <v>27</v>
          </cell>
          <cell r="P745">
            <v>43203</v>
          </cell>
          <cell r="Q745" t="str">
            <v>PAGO DE MI PLANILLA SEGURIDAD SOCIAL Y PARAFISCALES DE LA PLANTA FIJA Y CONVENCIONADOS DE LA ENTIDAD DEL MES DE MARZO DE 2018</v>
          </cell>
          <cell r="R745">
            <v>6426900</v>
          </cell>
          <cell r="S745">
            <v>0</v>
          </cell>
          <cell r="T745">
            <v>0</v>
          </cell>
          <cell r="U745">
            <v>6426900</v>
          </cell>
          <cell r="V745">
            <v>6426900</v>
          </cell>
        </row>
        <row r="746">
          <cell r="J746">
            <v>1904</v>
          </cell>
          <cell r="K746">
            <v>43235</v>
          </cell>
          <cell r="L746" t="str">
            <v>CAJA DE VIVIENDA POPULAR</v>
          </cell>
          <cell r="M746">
            <v>1</v>
          </cell>
          <cell r="N746" t="str">
            <v>RELACION DE AUTORIZACION</v>
          </cell>
          <cell r="O746">
            <v>33</v>
          </cell>
          <cell r="P746">
            <v>43235</v>
          </cell>
          <cell r="Q746" t="str">
            <v>PAGO DE MI PLANILLA SEGURIDAD SOCIAL Y PARAFISCALES DE LA PLANTA FIJA Y CONVENCIONADOS DE LA ENTIDAD DEL MES DE ABRIL DE 2018</v>
          </cell>
          <cell r="R746">
            <v>6984200</v>
          </cell>
          <cell r="S746">
            <v>0</v>
          </cell>
          <cell r="T746">
            <v>0</v>
          </cell>
          <cell r="U746">
            <v>6984200</v>
          </cell>
          <cell r="V746">
            <v>6984200</v>
          </cell>
        </row>
        <row r="747">
          <cell r="J747">
            <v>2017</v>
          </cell>
          <cell r="K747">
            <v>43266</v>
          </cell>
          <cell r="L747" t="str">
            <v>CAJA DE VIVIENDA POPULAR</v>
          </cell>
          <cell r="M747">
            <v>1</v>
          </cell>
          <cell r="N747" t="str">
            <v>RELACION DE AUTORIZACION</v>
          </cell>
          <cell r="O747">
            <v>42</v>
          </cell>
          <cell r="P747">
            <v>43266</v>
          </cell>
          <cell r="Q747" t="str">
            <v>PAGO DE MI PLANILLA SEGURIDAD SOCIAL Y PARAFISCALES DE LA PLANTA FIJA Y CONVENCIONADOS DE LA ENTIDAD DEL MES DE MAYO DE 2018</v>
          </cell>
          <cell r="R747">
            <v>6854900</v>
          </cell>
          <cell r="S747">
            <v>0</v>
          </cell>
          <cell r="T747">
            <v>0</v>
          </cell>
          <cell r="U747">
            <v>6854900</v>
          </cell>
          <cell r="V747">
            <v>6854900</v>
          </cell>
        </row>
        <row r="748">
          <cell r="J748">
            <v>2489</v>
          </cell>
          <cell r="K748">
            <v>43298</v>
          </cell>
          <cell r="L748" t="str">
            <v>CAJA DE VIVIENDA POPULAR</v>
          </cell>
          <cell r="M748">
            <v>1</v>
          </cell>
          <cell r="N748" t="str">
            <v>RELACION DE AUTORIZACION</v>
          </cell>
          <cell r="O748">
            <v>48</v>
          </cell>
          <cell r="P748">
            <v>43298</v>
          </cell>
          <cell r="Q748" t="str">
            <v>PAGO DE MI PLANILLA SEGURIDAD SOCIAL Y PARAFISCALES DE LA PLANTA FIJA Y CONVENCIONADOS DE LA ENTIDAD DEL MES DE JUNIO DE 2018</v>
          </cell>
          <cell r="R748">
            <v>14703100</v>
          </cell>
          <cell r="S748">
            <v>0</v>
          </cell>
          <cell r="T748">
            <v>0</v>
          </cell>
          <cell r="U748">
            <v>14703100</v>
          </cell>
          <cell r="V748">
            <v>14703100</v>
          </cell>
        </row>
        <row r="749">
          <cell r="J749">
            <v>755</v>
          </cell>
          <cell r="K749">
            <v>43137</v>
          </cell>
          <cell r="L749" t="str">
            <v>CAJA DE VIVIENDA POPULAR</v>
          </cell>
          <cell r="M749">
            <v>1</v>
          </cell>
          <cell r="N749" t="str">
            <v>RELACION DE AUTORIZACION</v>
          </cell>
          <cell r="O749">
            <v>10</v>
          </cell>
          <cell r="P749">
            <v>43137</v>
          </cell>
          <cell r="Q749" t="str">
            <v>PAGO DE LAS CESANTIAS DEL AÑO 2017 DE LA PLANTA TEMPORAL PROYECTO 3075</v>
          </cell>
          <cell r="R749">
            <v>37008030</v>
          </cell>
          <cell r="S749">
            <v>0</v>
          </cell>
          <cell r="T749">
            <v>0</v>
          </cell>
          <cell r="U749">
            <v>37008030</v>
          </cell>
          <cell r="V749">
            <v>37008030</v>
          </cell>
        </row>
        <row r="750">
          <cell r="J750">
            <v>1022</v>
          </cell>
          <cell r="K750">
            <v>43140</v>
          </cell>
          <cell r="L750" t="str">
            <v>CAJA DE VIVIENDA POPULAR</v>
          </cell>
          <cell r="M750">
            <v>1</v>
          </cell>
          <cell r="N750" t="str">
            <v>RELACION DE AUTORIZACION</v>
          </cell>
          <cell r="O750">
            <v>13</v>
          </cell>
          <cell r="P750">
            <v>43140</v>
          </cell>
          <cell r="Q750" t="str">
            <v>PAGO DE MI PLANILLA SEGURIDAD SOCIAL Y PARAFISCALES DE LA PLANTA TEMPORAL DE LA ENTIDAD DEL MES DE ENERO DE 2018 PROYECTO 3075</v>
          </cell>
          <cell r="R750">
            <v>40872400</v>
          </cell>
          <cell r="S750">
            <v>0</v>
          </cell>
          <cell r="T750">
            <v>0</v>
          </cell>
          <cell r="U750">
            <v>40872400</v>
          </cell>
          <cell r="V750">
            <v>40872400</v>
          </cell>
        </row>
        <row r="751">
          <cell r="J751">
            <v>1240</v>
          </cell>
          <cell r="K751">
            <v>43144</v>
          </cell>
          <cell r="L751" t="str">
            <v>CAJA DE VIVIENDA POPULAR</v>
          </cell>
          <cell r="M751">
            <v>1</v>
          </cell>
          <cell r="N751" t="str">
            <v>RELACION DE AUTORIZACION</v>
          </cell>
          <cell r="O751">
            <v>15</v>
          </cell>
          <cell r="P751">
            <v>43144</v>
          </cell>
          <cell r="Q751" t="str">
            <v>PAGO DE PARAFISCALES DE EXFUNCIONARIOS DE PLANTA TEMPORAL DE LA DIRECCIÓN DE REASENTAMIENTOS DE LA CAJA DE LA VIVIENDA POPULAR "</v>
          </cell>
          <cell r="R751">
            <v>2023800</v>
          </cell>
          <cell r="S751">
            <v>0</v>
          </cell>
          <cell r="T751">
            <v>0</v>
          </cell>
          <cell r="U751">
            <v>2023800</v>
          </cell>
          <cell r="V751">
            <v>2023800</v>
          </cell>
        </row>
        <row r="752">
          <cell r="J752">
            <v>1391</v>
          </cell>
          <cell r="K752">
            <v>43151</v>
          </cell>
          <cell r="L752" t="str">
            <v>CAJA DE VIVIENDA POPULAR</v>
          </cell>
          <cell r="M752">
            <v>1</v>
          </cell>
          <cell r="N752" t="str">
            <v>RELACION DE AUTORIZACION</v>
          </cell>
          <cell r="O752">
            <v>17</v>
          </cell>
          <cell r="P752">
            <v>43151</v>
          </cell>
          <cell r="Q752" t="str">
            <v>PAGO DE NOMINA DEL MES DE FEBRERO DE 2018 DE LA PLANTA TEMPORAL PROYECTO 3075</v>
          </cell>
          <cell r="R752">
            <v>109439448</v>
          </cell>
          <cell r="S752">
            <v>0</v>
          </cell>
          <cell r="T752">
            <v>0</v>
          </cell>
          <cell r="U752">
            <v>109439448</v>
          </cell>
          <cell r="V752">
            <v>109439448</v>
          </cell>
        </row>
        <row r="753">
          <cell r="J753">
            <v>1535</v>
          </cell>
          <cell r="K753">
            <v>43165</v>
          </cell>
          <cell r="L753" t="str">
            <v>CAJA DE VIVIENDA POPULAR</v>
          </cell>
          <cell r="M753">
            <v>1</v>
          </cell>
          <cell r="N753" t="str">
            <v>RELACION DE AUTORIZACION</v>
          </cell>
          <cell r="O753">
            <v>22</v>
          </cell>
          <cell r="P753">
            <v>43165</v>
          </cell>
          <cell r="Q753" t="str">
            <v>PAGO DE MI PLANILLA SEGURIDAD SOCIAL Y PARAFISCALES DE LA PLANTA TEMPORAL DE LA ENTIDAD DEL MES DE FEBRERO DE 2018 PROYECTO 3075</v>
          </cell>
          <cell r="R753">
            <v>32883000</v>
          </cell>
          <cell r="S753">
            <v>0</v>
          </cell>
          <cell r="T753">
            <v>0</v>
          </cell>
          <cell r="U753">
            <v>32883000</v>
          </cell>
          <cell r="V753">
            <v>32883000</v>
          </cell>
        </row>
        <row r="754">
          <cell r="J754">
            <v>1605</v>
          </cell>
          <cell r="K754">
            <v>43180</v>
          </cell>
          <cell r="L754" t="str">
            <v>CAJA DE VIVIENDA POPULAR</v>
          </cell>
          <cell r="M754">
            <v>1</v>
          </cell>
          <cell r="N754" t="str">
            <v>RELACION DE AUTORIZACION</v>
          </cell>
          <cell r="O754">
            <v>25</v>
          </cell>
          <cell r="P754">
            <v>43180</v>
          </cell>
          <cell r="Q754" t="str">
            <v>PAGO DE NÓMINA FUNCIONARIOS DE PLANTA TEMPORAL DE LA DIRECCIÓN DE REASENTAMIENTOS DE LA CAJA DE LA VIVIENDA POPULAR MES DE MARZO 2018"</v>
          </cell>
          <cell r="R754">
            <v>136345033</v>
          </cell>
          <cell r="S754">
            <v>0</v>
          </cell>
          <cell r="T754">
            <v>0</v>
          </cell>
          <cell r="U754">
            <v>136345033</v>
          </cell>
          <cell r="V754">
            <v>136345033</v>
          </cell>
        </row>
        <row r="755">
          <cell r="J755">
            <v>1798</v>
          </cell>
          <cell r="K755">
            <v>43203</v>
          </cell>
          <cell r="L755" t="str">
            <v>CAJA DE VIVIENDA POPULAR</v>
          </cell>
          <cell r="M755">
            <v>1</v>
          </cell>
          <cell r="N755" t="str">
            <v>RELACION DE AUTORIZACION</v>
          </cell>
          <cell r="O755">
            <v>28</v>
          </cell>
          <cell r="P755">
            <v>43203</v>
          </cell>
          <cell r="Q755" t="str">
            <v>PAGO DE SEGURIDAD SOCIAL Y PARAFISCALES DE FUNCIONARIOS DE PLANTA TEMPORAL DE LA DIRECCIÓN DE REASENTAMIENTOS DE LA CAJA DE LA VIVIENDA POPULAR  MES MARZO DE 2018"</v>
          </cell>
          <cell r="R755">
            <v>35468800</v>
          </cell>
          <cell r="S755">
            <v>0</v>
          </cell>
          <cell r="T755">
            <v>0</v>
          </cell>
          <cell r="U755">
            <v>35468800</v>
          </cell>
          <cell r="V755">
            <v>35468800</v>
          </cell>
        </row>
        <row r="756">
          <cell r="J756">
            <v>1836</v>
          </cell>
          <cell r="K756">
            <v>43213</v>
          </cell>
          <cell r="L756" t="str">
            <v>CAJA DE VIVIENDA POPULAR</v>
          </cell>
          <cell r="M756">
            <v>1</v>
          </cell>
          <cell r="N756" t="str">
            <v>RELACION DE AUTORIZACION</v>
          </cell>
          <cell r="O756">
            <v>31</v>
          </cell>
          <cell r="P756">
            <v>43213</v>
          </cell>
          <cell r="Q756" t="str">
            <v>PAGO DE NÓMINA DEL MES DE ABRIL 2018 DE LA PLANTA TEMPORAL, PROYECTO 3075"</v>
          </cell>
          <cell r="R756">
            <v>112968667</v>
          </cell>
          <cell r="S756">
            <v>0</v>
          </cell>
          <cell r="T756">
            <v>0</v>
          </cell>
          <cell r="U756">
            <v>112968667</v>
          </cell>
          <cell r="V756">
            <v>112968667</v>
          </cell>
        </row>
        <row r="757">
          <cell r="J757">
            <v>1901</v>
          </cell>
          <cell r="K757">
            <v>43235</v>
          </cell>
          <cell r="L757" t="str">
            <v>CAJA DE VIVIENDA POPULAR</v>
          </cell>
          <cell r="M757">
            <v>1</v>
          </cell>
          <cell r="N757" t="str">
            <v>RELACION DE AUTORIZACION</v>
          </cell>
          <cell r="O757">
            <v>34</v>
          </cell>
          <cell r="P757">
            <v>43235</v>
          </cell>
          <cell r="Q757" t="str">
            <v>PAGO DE  MI PLANILLA SEGURIDAD SOCIAL Y PARAFISCALES  DE FUNCIONARIOS DE PLANTA TEMPORAL DE LA DIRECCIÓN DE REASENTAMIENTOS DE LA CAJA DE LA VIVIENDA POPULAR "</v>
          </cell>
          <cell r="R757">
            <v>34694800</v>
          </cell>
          <cell r="S757">
            <v>0</v>
          </cell>
          <cell r="T757">
            <v>0</v>
          </cell>
          <cell r="U757">
            <v>34694800</v>
          </cell>
          <cell r="V757">
            <v>34694800</v>
          </cell>
        </row>
        <row r="758">
          <cell r="J758">
            <v>1945</v>
          </cell>
          <cell r="K758">
            <v>43243</v>
          </cell>
          <cell r="L758" t="str">
            <v>CAJA DE VIVIENDA POPULAR</v>
          </cell>
          <cell r="M758">
            <v>1</v>
          </cell>
          <cell r="N758" t="str">
            <v>RELACION DE AUTORIZACION</v>
          </cell>
          <cell r="O758">
            <v>37</v>
          </cell>
          <cell r="P758">
            <v>43243</v>
          </cell>
          <cell r="Q758" t="str">
            <v>PAGO DE NÓMINA DE FUNCIONARIOS DE PLANTA TEMPORAL DE LA DIRECCIÓN DE REASENTAMIENTOS DE LA CAJA DE LA VIVIENDA POPULAR MES MAYO DE 2018"</v>
          </cell>
          <cell r="R758">
            <v>139936994</v>
          </cell>
          <cell r="S758">
            <v>0</v>
          </cell>
          <cell r="T758">
            <v>0</v>
          </cell>
          <cell r="U758">
            <v>139936994</v>
          </cell>
          <cell r="V758">
            <v>139936994</v>
          </cell>
        </row>
        <row r="759">
          <cell r="J759">
            <v>1979</v>
          </cell>
          <cell r="K759">
            <v>43252</v>
          </cell>
          <cell r="L759" t="str">
            <v>CAJA DE VIVIENDA POPULAR</v>
          </cell>
          <cell r="M759">
            <v>1</v>
          </cell>
          <cell r="N759" t="str">
            <v>RELACION DE AUTORIZACION</v>
          </cell>
          <cell r="O759">
            <v>40</v>
          </cell>
          <cell r="P759">
            <v>43252</v>
          </cell>
          <cell r="Q759" t="str">
            <v>PAGO DE LA PRIMA SE SERVICIOS 2018  FUNCIONARIOS DE PLANTA TEMPORAL DE LA DIRECCIÓN DE REASENTAMIENTOS DE LA CAJA DE LA VIVIENDA POPULAR "</v>
          </cell>
          <cell r="R759">
            <v>147544748</v>
          </cell>
          <cell r="S759">
            <v>0</v>
          </cell>
          <cell r="T759">
            <v>0</v>
          </cell>
          <cell r="U759">
            <v>147544748</v>
          </cell>
          <cell r="V759">
            <v>147544748</v>
          </cell>
        </row>
        <row r="760">
          <cell r="J760">
            <v>2018</v>
          </cell>
          <cell r="K760">
            <v>43266</v>
          </cell>
          <cell r="L760" t="str">
            <v>CAJA DE VIVIENDA POPULAR</v>
          </cell>
          <cell r="M760">
            <v>1</v>
          </cell>
          <cell r="N760" t="str">
            <v>RELACION DE AUTORIZACION</v>
          </cell>
          <cell r="O760">
            <v>43</v>
          </cell>
          <cell r="P760">
            <v>43266</v>
          </cell>
          <cell r="Q760" t="str">
            <v>PAGO DE MI PLANILLA SEGURIDAD SOCIAL Y PARAFOSCALES  FUNCIONARIOS DE PLANTA TEMPORAL DE LA DIRECCIÓN DE REASENTAMIENTOS DE LA CAJA DE LA VIVIENDA POPULAR MES DE MAYO DE 2018"</v>
          </cell>
          <cell r="R760">
            <v>35637500</v>
          </cell>
          <cell r="S760">
            <v>0</v>
          </cell>
          <cell r="T760">
            <v>0</v>
          </cell>
          <cell r="U760">
            <v>35637500</v>
          </cell>
          <cell r="V760">
            <v>35637500</v>
          </cell>
        </row>
        <row r="761">
          <cell r="J761">
            <v>2048</v>
          </cell>
          <cell r="K761">
            <v>43271</v>
          </cell>
          <cell r="L761" t="str">
            <v>CAJA DE VIVIENDA POPULAR</v>
          </cell>
          <cell r="M761">
            <v>1</v>
          </cell>
          <cell r="N761" t="str">
            <v>RELACION DE AUTORIZACION</v>
          </cell>
          <cell r="O761">
            <v>46</v>
          </cell>
          <cell r="P761">
            <v>43271</v>
          </cell>
          <cell r="Q761" t="str">
            <v>PAGO DE NÓMIN DEL MES DE JUNIO 2018 PLANTA TEMPORAL, PROYECTO 3075</v>
          </cell>
          <cell r="R761">
            <v>111929375</v>
          </cell>
          <cell r="S761">
            <v>0</v>
          </cell>
          <cell r="T761">
            <v>0</v>
          </cell>
          <cell r="U761">
            <v>111929375</v>
          </cell>
          <cell r="V761">
            <v>111929375</v>
          </cell>
        </row>
        <row r="762">
          <cell r="J762">
            <v>2490</v>
          </cell>
          <cell r="K762">
            <v>43298</v>
          </cell>
          <cell r="L762" t="str">
            <v>CAJA DE VIVIENDA POPULAR</v>
          </cell>
          <cell r="M762">
            <v>1</v>
          </cell>
          <cell r="N762" t="str">
            <v>RELACION DE AUTORIZACION</v>
          </cell>
          <cell r="O762">
            <v>49</v>
          </cell>
          <cell r="P762">
            <v>43298</v>
          </cell>
          <cell r="Q762" t="str">
            <v>PAGO DE MI PLANILLA SEGURIDAD SOCIAL Y PARAFISCALES DE LA PLANTA TEMPORAL DE LA ENTIDAD DEL MES DE JUNIO DE 2018 PROYECTO 3075</v>
          </cell>
          <cell r="R762">
            <v>48170800</v>
          </cell>
          <cell r="S762">
            <v>0</v>
          </cell>
          <cell r="T762">
            <v>0</v>
          </cell>
          <cell r="U762">
            <v>48170800</v>
          </cell>
          <cell r="V762">
            <v>48170800</v>
          </cell>
        </row>
        <row r="763">
          <cell r="J763">
            <v>2525</v>
          </cell>
          <cell r="K763">
            <v>43305</v>
          </cell>
          <cell r="L763" t="str">
            <v>CAJA DE VIVIENDA POPULAR</v>
          </cell>
          <cell r="M763">
            <v>1</v>
          </cell>
          <cell r="N763" t="str">
            <v>RELACION DE AUTORIZACION</v>
          </cell>
          <cell r="O763">
            <v>52</v>
          </cell>
          <cell r="P763">
            <v>43305</v>
          </cell>
          <cell r="Q763" t="str">
            <v>PAGO DE NÓMINA A FUNCIONARIOS DE PLANTA TEMPORAL DE LA DIRECCIÓN DE REASENTAMIENTOS DE LA CAJA DE LA VIVIENDA POPULAR MES DE JULIO DE 2018"</v>
          </cell>
          <cell r="R763">
            <v>130000766</v>
          </cell>
          <cell r="S763">
            <v>0</v>
          </cell>
          <cell r="T763">
            <v>0</v>
          </cell>
          <cell r="U763">
            <v>130000766</v>
          </cell>
          <cell r="V763">
            <v>130000766</v>
          </cell>
        </row>
        <row r="764">
          <cell r="J764">
            <v>1608</v>
          </cell>
          <cell r="K764">
            <v>43180</v>
          </cell>
          <cell r="L764" t="str">
            <v>CAJA DE VIVIENDA POPULAR</v>
          </cell>
          <cell r="M764">
            <v>1</v>
          </cell>
          <cell r="N764" t="str">
            <v>RELACION DE AUTORIZACION</v>
          </cell>
          <cell r="O764">
            <v>25</v>
          </cell>
          <cell r="P764">
            <v>43180</v>
          </cell>
          <cell r="Q764" t="str">
            <v>PAGO DE NOMINA A FUNCIONARIOS DE PLANTA TEMPORAL DE LA DIRECCION DE MEJORAMIENTO DE BARRIOS MES DE MARZO DE 2018</v>
          </cell>
          <cell r="R764">
            <v>17659299</v>
          </cell>
          <cell r="S764">
            <v>0</v>
          </cell>
          <cell r="T764">
            <v>0</v>
          </cell>
          <cell r="U764">
            <v>17659299</v>
          </cell>
          <cell r="V764">
            <v>17659299</v>
          </cell>
        </row>
        <row r="765">
          <cell r="J765">
            <v>1800</v>
          </cell>
          <cell r="K765">
            <v>43203</v>
          </cell>
          <cell r="L765" t="str">
            <v>CAJA DE VIVIENDA POPULAR</v>
          </cell>
          <cell r="M765">
            <v>1</v>
          </cell>
          <cell r="N765" t="str">
            <v>RELACION DE AUTORIZACION</v>
          </cell>
          <cell r="O765">
            <v>28</v>
          </cell>
          <cell r="P765">
            <v>43203</v>
          </cell>
          <cell r="Q765" t="str">
            <v>PPAGO DE SEGURIDAD SOCIAL Y PARAFISCALES DE FUNCIONARIOS DEPLANTA TEMPORAL DE LA DIRECCION DE MEJORAMIENTO DE BARRIOS MES DE MARZO 2018</v>
          </cell>
          <cell r="R765">
            <v>6036900</v>
          </cell>
          <cell r="S765">
            <v>0</v>
          </cell>
          <cell r="T765">
            <v>0</v>
          </cell>
          <cell r="U765">
            <v>6036900</v>
          </cell>
          <cell r="V765">
            <v>6036900</v>
          </cell>
        </row>
        <row r="766">
          <cell r="J766">
            <v>1837</v>
          </cell>
          <cell r="K766">
            <v>43213</v>
          </cell>
          <cell r="L766" t="str">
            <v>CAJA DE VIVIENDA POPULAR</v>
          </cell>
          <cell r="M766">
            <v>1</v>
          </cell>
          <cell r="N766" t="str">
            <v>RELACION DE AUTORIZACION</v>
          </cell>
          <cell r="O766">
            <v>31</v>
          </cell>
          <cell r="P766">
            <v>43213</v>
          </cell>
          <cell r="Q766" t="str">
            <v>PAGO DE NOMINA DEL MES DE ABRIL DE 2018 DE LA PLANTA TEMPORAL, PROYECTO 208</v>
          </cell>
          <cell r="R766">
            <v>23291350</v>
          </cell>
          <cell r="S766">
            <v>0</v>
          </cell>
          <cell r="T766">
            <v>0</v>
          </cell>
          <cell r="U766">
            <v>23291350</v>
          </cell>
          <cell r="V766">
            <v>23291350</v>
          </cell>
        </row>
        <row r="767">
          <cell r="J767">
            <v>1902</v>
          </cell>
          <cell r="K767">
            <v>43235</v>
          </cell>
          <cell r="L767" t="str">
            <v>CAJA DE VIVIENDA POPULAR</v>
          </cell>
          <cell r="M767">
            <v>1</v>
          </cell>
          <cell r="N767" t="str">
            <v>RELACION DE AUTORIZACION</v>
          </cell>
          <cell r="O767">
            <v>34</v>
          </cell>
          <cell r="P767">
            <v>43235</v>
          </cell>
          <cell r="Q767" t="str">
            <v>PAGO DE  MI PLANILLA SEGURIDAD SOCIAL Y PARAFISCALES DE FUNCIONARIOS DE PLANTA TEMPORAL DE LA DIRECCION DE MEJORAMIENTO DE BARRIOS MES DE ABRIL 2018</v>
          </cell>
          <cell r="R767">
            <v>6280800</v>
          </cell>
          <cell r="S767">
            <v>0</v>
          </cell>
          <cell r="T767">
            <v>0</v>
          </cell>
          <cell r="U767">
            <v>6280800</v>
          </cell>
          <cell r="V767">
            <v>6280800</v>
          </cell>
        </row>
        <row r="768">
          <cell r="J768">
            <v>1946</v>
          </cell>
          <cell r="K768">
            <v>43243</v>
          </cell>
          <cell r="L768" t="str">
            <v>CAJA DE VIVIENDA POPULAR</v>
          </cell>
          <cell r="M768">
            <v>1</v>
          </cell>
          <cell r="N768" t="str">
            <v>RELACION DE AUTORIZACION</v>
          </cell>
          <cell r="O768">
            <v>37</v>
          </cell>
          <cell r="P768">
            <v>43243</v>
          </cell>
          <cell r="Q768" t="str">
            <v>PAGO DE NOMINA DE FUNCIONARIOS DE PLANTA TEMPORAL DE LA DIRECCION DE MEJORAMIENTO DE BARRIOS MES MAYO DE 2018</v>
          </cell>
          <cell r="R768">
            <v>24494278</v>
          </cell>
          <cell r="S768">
            <v>0</v>
          </cell>
          <cell r="T768">
            <v>0</v>
          </cell>
          <cell r="U768">
            <v>24494278</v>
          </cell>
          <cell r="V768">
            <v>24494278</v>
          </cell>
        </row>
        <row r="769">
          <cell r="J769">
            <v>1978</v>
          </cell>
          <cell r="K769">
            <v>43252</v>
          </cell>
          <cell r="L769" t="str">
            <v>CAJA DE VIVIENDA POPULAR</v>
          </cell>
          <cell r="M769">
            <v>1</v>
          </cell>
          <cell r="N769" t="str">
            <v>RELACION DE AUTORIZACION</v>
          </cell>
          <cell r="O769">
            <v>40</v>
          </cell>
          <cell r="P769">
            <v>43221</v>
          </cell>
          <cell r="Q769" t="str">
            <v>PAGO DE LA PRIMA SE SERVICIOS 2018 FUNCIONARIOS DE PLANTA TEMPORAL DE LA DIRECCION DE MEJORAMIENTO DE BARRIOS</v>
          </cell>
          <cell r="R769">
            <v>22594833</v>
          </cell>
          <cell r="S769">
            <v>0</v>
          </cell>
          <cell r="T769">
            <v>0</v>
          </cell>
          <cell r="U769">
            <v>22594833</v>
          </cell>
          <cell r="V769">
            <v>22594833</v>
          </cell>
        </row>
        <row r="770">
          <cell r="J770">
            <v>2020</v>
          </cell>
          <cell r="K770">
            <v>43266</v>
          </cell>
          <cell r="L770" t="str">
            <v>CAJA DE VIVIENDA POPULAR</v>
          </cell>
          <cell r="M770">
            <v>1</v>
          </cell>
          <cell r="N770" t="str">
            <v>RELACION DE AUTORIZACION</v>
          </cell>
          <cell r="O770">
            <v>43</v>
          </cell>
          <cell r="P770">
            <v>43266</v>
          </cell>
          <cell r="Q770" t="str">
            <v>PAGO DE MI PLANILLA SEGURIDAD SOCIAL Y PARAFISCALES A FUNCIONARIOS DE PLANTA TEMPORAL DE LA DIRECCION DE MEJORAMIENTO DE BARRIOS MES MAYO 2018</v>
          </cell>
          <cell r="R770">
            <v>6483100</v>
          </cell>
          <cell r="S770">
            <v>0</v>
          </cell>
          <cell r="T770">
            <v>0</v>
          </cell>
          <cell r="U770">
            <v>6483100</v>
          </cell>
          <cell r="V770">
            <v>6483100</v>
          </cell>
        </row>
        <row r="771">
          <cell r="J771">
            <v>2050</v>
          </cell>
          <cell r="K771">
            <v>43271</v>
          </cell>
          <cell r="L771" t="str">
            <v>CAJA DE VIVIENDA POPULAR</v>
          </cell>
          <cell r="M771">
            <v>1</v>
          </cell>
          <cell r="N771" t="str">
            <v>RELACION DE AUTORIZACION</v>
          </cell>
          <cell r="O771">
            <v>46</v>
          </cell>
          <cell r="P771">
            <v>43271</v>
          </cell>
          <cell r="Q771" t="str">
            <v>PAGO DE NÓMIN DEL MES DE JUNIO 2018 PLANTA TEMPORAL, PROYECTO 208</v>
          </cell>
          <cell r="R771">
            <v>14000069</v>
          </cell>
          <cell r="S771">
            <v>0</v>
          </cell>
          <cell r="T771">
            <v>0</v>
          </cell>
          <cell r="U771">
            <v>14000069</v>
          </cell>
          <cell r="V771">
            <v>14000069</v>
          </cell>
        </row>
        <row r="772">
          <cell r="J772">
            <v>2492</v>
          </cell>
          <cell r="K772">
            <v>43298</v>
          </cell>
          <cell r="L772" t="str">
            <v>CAJA DE VIVIENDA POPULAR</v>
          </cell>
          <cell r="M772">
            <v>1</v>
          </cell>
          <cell r="N772" t="str">
            <v>RELACION DE AUTORIZACION</v>
          </cell>
          <cell r="O772">
            <v>49</v>
          </cell>
          <cell r="P772">
            <v>43298</v>
          </cell>
          <cell r="Q772" t="str">
            <v>PAGO DE MI PLANILLA SEGURIDAD SOCIAL Y PARAFISCALES DE LA PLANTA TEMPORAL DE LA ENTIDAD DEL MES DE JUNIO DE 2018. PROYECTO 208</v>
          </cell>
          <cell r="R772">
            <v>7935400</v>
          </cell>
          <cell r="S772">
            <v>0</v>
          </cell>
          <cell r="T772">
            <v>0</v>
          </cell>
          <cell r="U772">
            <v>7935400</v>
          </cell>
          <cell r="V772">
            <v>7935400</v>
          </cell>
        </row>
        <row r="773">
          <cell r="J773">
            <v>2526</v>
          </cell>
          <cell r="K773">
            <v>43305</v>
          </cell>
          <cell r="L773" t="str">
            <v>CAJA DE VIVIENDA POPULAR</v>
          </cell>
          <cell r="M773">
            <v>1</v>
          </cell>
          <cell r="N773" t="str">
            <v>RELACION DE AUTORIZACION</v>
          </cell>
          <cell r="O773">
            <v>52</v>
          </cell>
          <cell r="P773">
            <v>43305</v>
          </cell>
          <cell r="Q773" t="str">
            <v>PAGO DE NÓMINA A FUNCIONARIOS DE PLANTA TEMPORAL DE LA DIRECCION DE MEJORAMIENTO DE BARRIOS MES DE JULIO DE 2018</v>
          </cell>
          <cell r="R773">
            <v>24949340</v>
          </cell>
          <cell r="S773">
            <v>0</v>
          </cell>
          <cell r="T773">
            <v>0</v>
          </cell>
          <cell r="U773">
            <v>24949340</v>
          </cell>
          <cell r="V773">
            <v>24949340</v>
          </cell>
        </row>
        <row r="774">
          <cell r="J774">
            <v>1390</v>
          </cell>
          <cell r="K774">
            <v>43151</v>
          </cell>
          <cell r="L774" t="str">
            <v>CAJA DE VIVIENDA POPULAR</v>
          </cell>
          <cell r="M774">
            <v>1</v>
          </cell>
          <cell r="N774" t="str">
            <v>RELACION DE AUTORIZACION</v>
          </cell>
          <cell r="O774">
            <v>17</v>
          </cell>
          <cell r="P774">
            <v>43151</v>
          </cell>
          <cell r="Q774" t="str">
            <v>PAGO DE NOMINA DEL MES DE FEBRERO DE 2018 DE LA PLANTA TEMPORAL PROYECTO 471</v>
          </cell>
          <cell r="R774">
            <v>43840647</v>
          </cell>
          <cell r="S774">
            <v>0</v>
          </cell>
          <cell r="T774">
            <v>0</v>
          </cell>
          <cell r="U774">
            <v>43840647</v>
          </cell>
          <cell r="V774">
            <v>43840647</v>
          </cell>
        </row>
        <row r="775">
          <cell r="J775">
            <v>1533</v>
          </cell>
          <cell r="K775">
            <v>43165</v>
          </cell>
          <cell r="L775" t="str">
            <v>CAJA DE VIVIENDA POPULAR</v>
          </cell>
          <cell r="M775">
            <v>1</v>
          </cell>
          <cell r="N775" t="str">
            <v>RELACION DE AUTORIZACION</v>
          </cell>
          <cell r="O775">
            <v>22</v>
          </cell>
          <cell r="P775">
            <v>43165</v>
          </cell>
          <cell r="Q775" t="str">
            <v>PAGO DE MI PLANILLA SEGURIDAD SOCIAL Y PARAFISCALES DE LA PLANTA TEMPORAL DE LA ENTIDAD DEL MES DE FEBRERO DE 2018 PROYECTO 471</v>
          </cell>
          <cell r="R775">
            <v>20170300</v>
          </cell>
          <cell r="S775">
            <v>0</v>
          </cell>
          <cell r="T775">
            <v>0</v>
          </cell>
          <cell r="U775">
            <v>20170300</v>
          </cell>
          <cell r="V775">
            <v>20170300</v>
          </cell>
        </row>
        <row r="776">
          <cell r="J776">
            <v>1606</v>
          </cell>
          <cell r="K776">
            <v>43180</v>
          </cell>
          <cell r="L776" t="str">
            <v>CAJA DE VIVIENDA POPULAR</v>
          </cell>
          <cell r="M776">
            <v>1</v>
          </cell>
          <cell r="N776" t="str">
            <v>RELACION DE AUTORIZACION</v>
          </cell>
          <cell r="O776">
            <v>25</v>
          </cell>
          <cell r="P776">
            <v>43180</v>
          </cell>
          <cell r="Q776" t="str">
            <v>PAGO DE NOMINA A FUNCIONARIOS DE PLANTA TEMPORAL DE LA DIRECCIÓN DE URBANIZACIONES Y TITULACIÓN MES DE MARZO DE 2018</v>
          </cell>
          <cell r="R776">
            <v>69893901</v>
          </cell>
          <cell r="S776">
            <v>0</v>
          </cell>
          <cell r="T776">
            <v>0</v>
          </cell>
          <cell r="U776">
            <v>69893901</v>
          </cell>
          <cell r="V776">
            <v>69893901</v>
          </cell>
        </row>
        <row r="777">
          <cell r="J777">
            <v>1801</v>
          </cell>
          <cell r="K777">
            <v>43203</v>
          </cell>
          <cell r="L777" t="str">
            <v>CAJA DE VIVIENDA POPULAR</v>
          </cell>
          <cell r="M777">
            <v>1</v>
          </cell>
          <cell r="N777" t="str">
            <v>RELACION DE AUTORIZACION</v>
          </cell>
          <cell r="O777">
            <v>28</v>
          </cell>
          <cell r="P777">
            <v>43203</v>
          </cell>
          <cell r="Q777" t="str">
            <v>PAGO DE SEGURIDAD SOCIAL Y PARAFISCALES DE FUNCIONARIOS DE PLANTA TEMPORAL DE LA DIRECCIÓN DE URBANIZACIONES Y TITULACIÓN MES MARZO 2018</v>
          </cell>
          <cell r="R777">
            <v>20421900</v>
          </cell>
          <cell r="S777">
            <v>0</v>
          </cell>
          <cell r="T777">
            <v>0</v>
          </cell>
          <cell r="U777">
            <v>20421900</v>
          </cell>
          <cell r="V777">
            <v>20421900</v>
          </cell>
        </row>
        <row r="778">
          <cell r="J778">
            <v>1838</v>
          </cell>
          <cell r="K778">
            <v>43213</v>
          </cell>
          <cell r="L778" t="str">
            <v>CAJA DE VIVIENDA POPULAR</v>
          </cell>
          <cell r="M778">
            <v>1</v>
          </cell>
          <cell r="N778" t="str">
            <v>RELACION DE AUTORIZACION</v>
          </cell>
          <cell r="O778">
            <v>31</v>
          </cell>
          <cell r="P778">
            <v>43213</v>
          </cell>
          <cell r="Q778" t="str">
            <v>PAGO DE NOMINA DEL MES DE ABRIL DE 2018 DE LA PLANTA TEMPORAL, PROYECTO 471</v>
          </cell>
          <cell r="R778">
            <v>74912067</v>
          </cell>
          <cell r="S778">
            <v>0</v>
          </cell>
          <cell r="T778">
            <v>0</v>
          </cell>
          <cell r="U778">
            <v>74912067</v>
          </cell>
          <cell r="V778">
            <v>74912067</v>
          </cell>
        </row>
        <row r="779">
          <cell r="J779">
            <v>1903</v>
          </cell>
          <cell r="K779">
            <v>43235</v>
          </cell>
          <cell r="L779" t="str">
            <v>CAJA DE VIVIENDA POPULAR</v>
          </cell>
          <cell r="M779">
            <v>1</v>
          </cell>
          <cell r="N779" t="str">
            <v>RELACION DE AUTORIZACION</v>
          </cell>
          <cell r="O779">
            <v>34</v>
          </cell>
          <cell r="P779">
            <v>43235</v>
          </cell>
          <cell r="Q779" t="str">
            <v>PAGO DE  MI PLANILLA SEGURIDAD SOCIAL Y PARAFISCALES DE FUNCIONARIOS DE PLANTA TEMPORAL DE LA DIRECCIÓN DE URBANIZACIONES Y TITULACIÓN MES DE ABRIL 2018</v>
          </cell>
          <cell r="R779">
            <v>20823700</v>
          </cell>
          <cell r="S779">
            <v>0</v>
          </cell>
          <cell r="T779">
            <v>0</v>
          </cell>
          <cell r="U779">
            <v>20823700</v>
          </cell>
          <cell r="V779">
            <v>20823700</v>
          </cell>
        </row>
        <row r="780">
          <cell r="J780">
            <v>1948</v>
          </cell>
          <cell r="K780">
            <v>43243</v>
          </cell>
          <cell r="L780" t="str">
            <v>CAJA DE VIVIENDA POPULAR</v>
          </cell>
          <cell r="M780">
            <v>1</v>
          </cell>
          <cell r="N780" t="str">
            <v>RELACION DE AUTORIZACION</v>
          </cell>
          <cell r="O780">
            <v>37</v>
          </cell>
          <cell r="P780">
            <v>43243</v>
          </cell>
          <cell r="Q780" t="str">
            <v>PAGO DE NOMINA DE FUNCIONARIOS DE PLANTA TEMPORAL DE LA DIRECCIÓN DE URBANIZACIONES Y TITULACIÓN MES MAYO DE 2018</v>
          </cell>
          <cell r="R780">
            <v>63058562</v>
          </cell>
          <cell r="S780">
            <v>0</v>
          </cell>
          <cell r="T780">
            <v>0</v>
          </cell>
          <cell r="U780">
            <v>63058562</v>
          </cell>
          <cell r="V780">
            <v>63058562</v>
          </cell>
        </row>
        <row r="781">
          <cell r="J781">
            <v>1983</v>
          </cell>
          <cell r="K781">
            <v>43252</v>
          </cell>
          <cell r="L781" t="str">
            <v>CAJA DE VIVIENDA POPULAR</v>
          </cell>
          <cell r="M781">
            <v>1</v>
          </cell>
          <cell r="N781" t="str">
            <v>RELACION DE AUTORIZACION</v>
          </cell>
          <cell r="O781">
            <v>40</v>
          </cell>
          <cell r="P781">
            <v>43252</v>
          </cell>
          <cell r="Q781" t="str">
            <v>PAGO DE LA PRIMA SE SERVICIOS 2018 FUNCIONARIOS DE PLANTA TEMPORAL DE LA DIRECCIÓN DE URBANIZACIONES Y TITULACIÓN</v>
          </cell>
          <cell r="R781">
            <v>84957328</v>
          </cell>
          <cell r="S781">
            <v>0</v>
          </cell>
          <cell r="T781">
            <v>0</v>
          </cell>
          <cell r="U781">
            <v>84957328</v>
          </cell>
          <cell r="V781">
            <v>84957328</v>
          </cell>
        </row>
        <row r="782">
          <cell r="J782">
            <v>2021</v>
          </cell>
          <cell r="K782">
            <v>43266</v>
          </cell>
          <cell r="L782" t="str">
            <v>CAJA DE VIVIENDA POPULAR</v>
          </cell>
          <cell r="M782">
            <v>1</v>
          </cell>
          <cell r="N782" t="str">
            <v>RELACION DE AUTORIZACION</v>
          </cell>
          <cell r="O782">
            <v>43</v>
          </cell>
          <cell r="P782">
            <v>43266</v>
          </cell>
          <cell r="Q782" t="str">
            <v>PAGO DE MI PLANILLA SEGURIDAD SOCIAL Y PARAFISCALES DE  FUNCIONARIOS DE PLANTA TEMPORAL DE LA DIRECCIÓN DE URBANIZACIONES Y TITULACIÓN MES MAYO DE 2018</v>
          </cell>
          <cell r="R782">
            <v>19820900</v>
          </cell>
          <cell r="S782">
            <v>0</v>
          </cell>
          <cell r="T782">
            <v>0</v>
          </cell>
          <cell r="U782">
            <v>19820900</v>
          </cell>
          <cell r="V782">
            <v>19820900</v>
          </cell>
        </row>
        <row r="783">
          <cell r="J783">
            <v>2051</v>
          </cell>
          <cell r="K783">
            <v>43271</v>
          </cell>
          <cell r="L783" t="str">
            <v>CAJA DE VIVIENDA POPULAR</v>
          </cell>
          <cell r="M783">
            <v>1</v>
          </cell>
          <cell r="N783" t="str">
            <v>RELACION DE AUTORIZACION</v>
          </cell>
          <cell r="O783">
            <v>46</v>
          </cell>
          <cell r="P783">
            <v>43271</v>
          </cell>
          <cell r="Q783" t="str">
            <v>PAGO DE NÓMINA DEL MES DE JUNIO 2018 PLANTA TEMPORAL, PROYECTO 471</v>
          </cell>
          <cell r="R783">
            <v>77548868</v>
          </cell>
          <cell r="S783">
            <v>0</v>
          </cell>
          <cell r="T783">
            <v>0</v>
          </cell>
          <cell r="U783">
            <v>77548868</v>
          </cell>
          <cell r="V783">
            <v>77548868</v>
          </cell>
        </row>
        <row r="784">
          <cell r="J784">
            <v>2493</v>
          </cell>
          <cell r="K784">
            <v>43298</v>
          </cell>
          <cell r="L784" t="str">
            <v>CAJA DE VIVIENDA POPULAR</v>
          </cell>
          <cell r="M784">
            <v>1</v>
          </cell>
          <cell r="N784" t="str">
            <v>RELACION DE AUTORIZACION</v>
          </cell>
          <cell r="O784">
            <v>49</v>
          </cell>
          <cell r="P784">
            <v>43298</v>
          </cell>
          <cell r="Q784" t="str">
            <v>PAGO DE MI PLANILLA Y PARAFISCALES DE LA PLANTA TEMPORAL DE LA ENTIDAD DEL MES DE JUNIO DE 2018. PROYECTO 471</v>
          </cell>
          <cell r="R784">
            <v>27308200</v>
          </cell>
          <cell r="S784">
            <v>0</v>
          </cell>
          <cell r="T784">
            <v>0</v>
          </cell>
          <cell r="U784">
            <v>27308200</v>
          </cell>
          <cell r="V784">
            <v>27308200</v>
          </cell>
        </row>
        <row r="785">
          <cell r="J785">
            <v>2527</v>
          </cell>
          <cell r="K785">
            <v>43305</v>
          </cell>
          <cell r="L785" t="str">
            <v>CAJA DE VIVIENDA POPULAR</v>
          </cell>
          <cell r="M785">
            <v>1</v>
          </cell>
          <cell r="N785" t="str">
            <v>RELACION DE AUTORIZACION</v>
          </cell>
          <cell r="O785">
            <v>52</v>
          </cell>
          <cell r="P785">
            <v>43305</v>
          </cell>
          <cell r="Q785" t="str">
            <v>PAGO DE NÓMINA A FUNCIONARIOS DE PLANTA TEMPORAL DE LA DIRECCIÓN DE URBANIZACIONES Y TITULACIÓN MES DE JULIO DE 2018</v>
          </cell>
          <cell r="R785">
            <v>71607211</v>
          </cell>
          <cell r="S785">
            <v>0</v>
          </cell>
          <cell r="T785">
            <v>0</v>
          </cell>
          <cell r="U785">
            <v>71607211</v>
          </cell>
          <cell r="V785">
            <v>71607211</v>
          </cell>
        </row>
        <row r="786">
          <cell r="J786">
            <v>375</v>
          </cell>
          <cell r="K786">
            <v>43124</v>
          </cell>
          <cell r="L786" t="str">
            <v>CAJA DE VIVIENDA POPULAR</v>
          </cell>
          <cell r="M786">
            <v>1</v>
          </cell>
          <cell r="N786" t="str">
            <v>RELACION DE AUTORIZACION</v>
          </cell>
          <cell r="O786">
            <v>6</v>
          </cell>
          <cell r="P786">
            <v>43124</v>
          </cell>
          <cell r="Q786" t="str">
            <v>PAGO DE NÓMINA DEL MES DE ENERO DE 2018 DE LA PLANTA TEMPORAL, PROYECTO 7328</v>
          </cell>
          <cell r="R786">
            <v>32395026</v>
          </cell>
          <cell r="S786">
            <v>0</v>
          </cell>
          <cell r="T786">
            <v>0</v>
          </cell>
          <cell r="U786">
            <v>32395026</v>
          </cell>
          <cell r="V786">
            <v>25075162</v>
          </cell>
        </row>
        <row r="787">
          <cell r="J787">
            <v>378</v>
          </cell>
          <cell r="K787">
            <v>43124</v>
          </cell>
          <cell r="L787" t="str">
            <v>CAJA DE VIVIENDA POPULAR</v>
          </cell>
          <cell r="M787">
            <v>1</v>
          </cell>
          <cell r="N787" t="str">
            <v>RELACION DE AUTORIZACION</v>
          </cell>
          <cell r="O787">
            <v>7</v>
          </cell>
          <cell r="P787">
            <v>43124</v>
          </cell>
          <cell r="Q787" t="str">
            <v>PAGO DE NÓMINA DEL MES DE ENERO DE 2018 DE LA PLANTA TEMPORAL, PROYECTO 7328</v>
          </cell>
          <cell r="R787">
            <v>3643793</v>
          </cell>
          <cell r="S787">
            <v>0</v>
          </cell>
          <cell r="T787">
            <v>0</v>
          </cell>
          <cell r="U787">
            <v>3643793</v>
          </cell>
          <cell r="V787">
            <v>3643793</v>
          </cell>
        </row>
        <row r="788">
          <cell r="J788">
            <v>758</v>
          </cell>
          <cell r="K788">
            <v>43137</v>
          </cell>
          <cell r="L788" t="str">
            <v>CAJA DE VIVIENDA POPULAR</v>
          </cell>
          <cell r="M788">
            <v>1</v>
          </cell>
          <cell r="N788" t="str">
            <v>RELACION DE AUTORIZACION</v>
          </cell>
          <cell r="O788">
            <v>10</v>
          </cell>
          <cell r="P788">
            <v>43137</v>
          </cell>
          <cell r="Q788" t="str">
            <v>PAGO DE LAS CESANTIAS 2017 DE LA PLANTA TEMPORAL, PROYECTO 7328</v>
          </cell>
          <cell r="R788">
            <v>28804661</v>
          </cell>
          <cell r="S788">
            <v>0</v>
          </cell>
          <cell r="T788">
            <v>0</v>
          </cell>
          <cell r="U788">
            <v>28804661</v>
          </cell>
          <cell r="V788">
            <v>28804661</v>
          </cell>
        </row>
        <row r="789">
          <cell r="J789">
            <v>1021</v>
          </cell>
          <cell r="K789">
            <v>43140</v>
          </cell>
          <cell r="L789" t="str">
            <v>CAJA DE VIVIENDA POPULAR</v>
          </cell>
          <cell r="M789">
            <v>1</v>
          </cell>
          <cell r="N789" t="str">
            <v>RELACION DE AUTORIZACION</v>
          </cell>
          <cell r="O789">
            <v>13</v>
          </cell>
          <cell r="P789">
            <v>43140</v>
          </cell>
          <cell r="Q789" t="str">
            <v>PAGO DE MI PLANILLA SEGURIDAD SOCIAL Y PARAFISCALES DE LA PLANTA TEMPORAL DE LA ENTIDAD DEL MES DE ENERO DE 2018 PROYECTO 7328</v>
          </cell>
          <cell r="R789">
            <v>11586300</v>
          </cell>
          <cell r="S789">
            <v>0</v>
          </cell>
          <cell r="T789">
            <v>0</v>
          </cell>
          <cell r="U789">
            <v>11586300</v>
          </cell>
          <cell r="V789">
            <v>11586300</v>
          </cell>
        </row>
        <row r="790">
          <cell r="J790">
            <v>1386</v>
          </cell>
          <cell r="K790">
            <v>43151</v>
          </cell>
          <cell r="L790" t="str">
            <v>CAJA DE VIVIENDA POPULAR</v>
          </cell>
          <cell r="M790">
            <v>1</v>
          </cell>
          <cell r="N790" t="str">
            <v>RELACION DE AUTORIZACION</v>
          </cell>
          <cell r="O790">
            <v>17</v>
          </cell>
          <cell r="P790">
            <v>43151</v>
          </cell>
          <cell r="Q790" t="str">
            <v>PAGO DE NÓMINA DE FUNCIONARIOS DE PLANTA TEMPORAL DE LA DIRECCIÓN DE MEJORAMIENTO DE VIVIENDA MES DE FEBRERO 2018</v>
          </cell>
          <cell r="R790">
            <v>34931094</v>
          </cell>
          <cell r="S790">
            <v>0</v>
          </cell>
          <cell r="T790">
            <v>0</v>
          </cell>
          <cell r="U790">
            <v>34931094</v>
          </cell>
          <cell r="V790">
            <v>34931094</v>
          </cell>
        </row>
        <row r="791">
          <cell r="J791">
            <v>1531</v>
          </cell>
          <cell r="K791">
            <v>43165</v>
          </cell>
          <cell r="L791" t="str">
            <v>CAJA DE VIVIENDA POPULAR</v>
          </cell>
          <cell r="M791">
            <v>1</v>
          </cell>
          <cell r="N791" t="str">
            <v>RELACION DE AUTORIZACION</v>
          </cell>
          <cell r="O791">
            <v>22</v>
          </cell>
          <cell r="P791">
            <v>43165</v>
          </cell>
          <cell r="Q791" t="str">
            <v>PAGO DE PLANILLA SEGURIDAD SOCIAL Y PARAFISCALES DE LA PLANTA TEMPORAL DE LA ENTIDAD DEL MES DE FEBRERO DE 2018. PROYECTO 7328</v>
          </cell>
          <cell r="R791">
            <v>9883700</v>
          </cell>
          <cell r="S791">
            <v>0</v>
          </cell>
          <cell r="T791">
            <v>0</v>
          </cell>
          <cell r="U791">
            <v>9883700</v>
          </cell>
          <cell r="V791">
            <v>9883700</v>
          </cell>
        </row>
        <row r="792">
          <cell r="J792">
            <v>1607</v>
          </cell>
          <cell r="K792">
            <v>43180</v>
          </cell>
          <cell r="L792" t="str">
            <v>CAJA DE VIVIENDA POPULAR</v>
          </cell>
          <cell r="M792">
            <v>1</v>
          </cell>
          <cell r="N792" t="str">
            <v>RELACION DE AUTORIZACION</v>
          </cell>
          <cell r="O792">
            <v>25</v>
          </cell>
          <cell r="P792">
            <v>43180</v>
          </cell>
          <cell r="Q792" t="str">
            <v>PAGO DE NÓMINA A FUNCIONARIOS DE PLANTA TEMPORAL DE LA DIRECCIÓN DE MEJORAMIENTO DE VIVIENDA MES DE MARZO 2018</v>
          </cell>
          <cell r="R792">
            <v>28900340</v>
          </cell>
          <cell r="S792">
            <v>0</v>
          </cell>
          <cell r="T792">
            <v>0</v>
          </cell>
          <cell r="U792">
            <v>28900340</v>
          </cell>
          <cell r="V792">
            <v>28900340</v>
          </cell>
        </row>
        <row r="793">
          <cell r="J793">
            <v>1797</v>
          </cell>
          <cell r="K793">
            <v>43203</v>
          </cell>
          <cell r="L793" t="str">
            <v>CAJA DE VIVIENDA POPULAR</v>
          </cell>
          <cell r="M793">
            <v>1</v>
          </cell>
          <cell r="N793" t="str">
            <v>RELACION DE AUTORIZACION</v>
          </cell>
          <cell r="O793">
            <v>28</v>
          </cell>
          <cell r="P793">
            <v>43113</v>
          </cell>
          <cell r="Q793" t="str">
            <v>PAGO DE MI PLANILLA SEGURIDAD SOCIAL Y PARAFISCALES DE LA PLANTA TEMPORAL DE LA ENTIDAD DEL MES DE MARZO DE 2018. PROYECTO 7328</v>
          </cell>
          <cell r="R793">
            <v>9855800</v>
          </cell>
          <cell r="S793">
            <v>0</v>
          </cell>
          <cell r="T793">
            <v>0</v>
          </cell>
          <cell r="U793">
            <v>9855800</v>
          </cell>
          <cell r="V793">
            <v>9855800</v>
          </cell>
        </row>
        <row r="794">
          <cell r="J794">
            <v>1833</v>
          </cell>
          <cell r="K794">
            <v>43213</v>
          </cell>
          <cell r="L794" t="str">
            <v>CAJA DE VIVIENDA POPULAR</v>
          </cell>
          <cell r="M794">
            <v>1</v>
          </cell>
          <cell r="N794" t="str">
            <v>RELACION DE AUTORIZACION</v>
          </cell>
          <cell r="O794">
            <v>31</v>
          </cell>
          <cell r="P794">
            <v>43213</v>
          </cell>
          <cell r="Q794" t="str">
            <v>PAGO DE NÓMINA A FUNCIONARIOS DE PLANTA TEMPORAL DE LA DIRECCIÓN DE MEJORAMIENTO DE VIVIENDA MES DE ABRIL 2018</v>
          </cell>
          <cell r="R794">
            <v>28030021</v>
          </cell>
          <cell r="S794">
            <v>0</v>
          </cell>
          <cell r="T794">
            <v>0</v>
          </cell>
          <cell r="U794">
            <v>28030021</v>
          </cell>
          <cell r="V794">
            <v>28030021</v>
          </cell>
        </row>
        <row r="795">
          <cell r="J795">
            <v>1905</v>
          </cell>
          <cell r="K795">
            <v>43235</v>
          </cell>
          <cell r="L795" t="str">
            <v>CAJA DE VIVIENDA POPULAR</v>
          </cell>
          <cell r="M795">
            <v>1</v>
          </cell>
          <cell r="N795" t="str">
            <v>RELACION DE AUTORIZACION</v>
          </cell>
          <cell r="O795">
            <v>34</v>
          </cell>
          <cell r="P795">
            <v>43235</v>
          </cell>
          <cell r="Q795" t="str">
            <v>PAGO DE MI PLANILLA SEGURIDAD SOCIAL Y PARAFISCALES DE LA PLANTA TEMPORAL DE LA ENTIDAD DEL MES DE ABRIL DE 2018, PROYECTO 7328</v>
          </cell>
          <cell r="R795">
            <v>9989200</v>
          </cell>
          <cell r="S795">
            <v>0</v>
          </cell>
          <cell r="T795">
            <v>0</v>
          </cell>
          <cell r="U795">
            <v>9989200</v>
          </cell>
          <cell r="V795">
            <v>9989200</v>
          </cell>
        </row>
        <row r="796">
          <cell r="J796">
            <v>1951</v>
          </cell>
          <cell r="K796">
            <v>43243</v>
          </cell>
          <cell r="L796" t="str">
            <v>CAJA DE VIVIENDA POPULAR</v>
          </cell>
          <cell r="M796">
            <v>1</v>
          </cell>
          <cell r="N796" t="str">
            <v>RELACION DE AUTORIZACION</v>
          </cell>
          <cell r="O796">
            <v>37</v>
          </cell>
          <cell r="P796">
            <v>43243</v>
          </cell>
          <cell r="Q796" t="str">
            <v>PAGO DE NÓMINA DEL MES DE MAYO 2018 DE LA PLANTA TEMPORAL, PROYECTO 7328</v>
          </cell>
          <cell r="R796">
            <v>46020714</v>
          </cell>
          <cell r="S796">
            <v>0</v>
          </cell>
          <cell r="T796">
            <v>0</v>
          </cell>
          <cell r="U796">
            <v>46020714</v>
          </cell>
          <cell r="V796">
            <v>46020714</v>
          </cell>
        </row>
        <row r="797">
          <cell r="J797">
            <v>1985</v>
          </cell>
          <cell r="K797">
            <v>43252</v>
          </cell>
          <cell r="L797" t="str">
            <v>CAJA DE VIVIENDA POPULAR</v>
          </cell>
          <cell r="M797">
            <v>1</v>
          </cell>
          <cell r="N797" t="str">
            <v>RELACION DE AUTORIZACION</v>
          </cell>
          <cell r="O797">
            <v>40</v>
          </cell>
          <cell r="P797">
            <v>43252</v>
          </cell>
          <cell r="Q797" t="str">
            <v>PAGO DE LA PRIMA SE SERVICIOS 2018  FUNCIONARIOS DE PLANTA TEMPORAL DE LA DIRECCIÓN DE MEJORAMIENTO DE VIVIENDA</v>
          </cell>
          <cell r="R797">
            <v>36919090</v>
          </cell>
          <cell r="S797">
            <v>0</v>
          </cell>
          <cell r="T797">
            <v>0</v>
          </cell>
          <cell r="U797">
            <v>36919090</v>
          </cell>
          <cell r="V797">
            <v>36919090</v>
          </cell>
        </row>
        <row r="798">
          <cell r="J798">
            <v>2022</v>
          </cell>
          <cell r="K798">
            <v>43266</v>
          </cell>
          <cell r="L798" t="str">
            <v>CAJA DE VIVIENDA POPULAR</v>
          </cell>
          <cell r="M798">
            <v>1</v>
          </cell>
          <cell r="N798" t="str">
            <v>RELACION DE AUTORIZACION</v>
          </cell>
          <cell r="O798">
            <v>43</v>
          </cell>
          <cell r="P798">
            <v>43266</v>
          </cell>
          <cell r="Q798" t="str">
            <v>PAGO DE MI PLANILLA SEGURIDAD SOCIAL Y PARAFISCALES  DE FUNCIONARIOS DE PLANTA TEMPORAL DE LA DIRECCIÓN DE MEJORAMIENTO DE VIVIENDA MES MAYO DE 2018</v>
          </cell>
          <cell r="R798">
            <v>10737900</v>
          </cell>
          <cell r="S798">
            <v>0</v>
          </cell>
          <cell r="T798">
            <v>0</v>
          </cell>
          <cell r="U798">
            <v>10737900</v>
          </cell>
          <cell r="V798">
            <v>10737900</v>
          </cell>
        </row>
        <row r="799">
          <cell r="J799">
            <v>2049</v>
          </cell>
          <cell r="K799">
            <v>43271</v>
          </cell>
          <cell r="L799" t="str">
            <v>CAJA DE VIVIENDA POPULAR</v>
          </cell>
          <cell r="M799">
            <v>1</v>
          </cell>
          <cell r="N799" t="str">
            <v>RELACION DE AUTORIZACION</v>
          </cell>
          <cell r="O799">
            <v>46</v>
          </cell>
          <cell r="P799">
            <v>43271</v>
          </cell>
          <cell r="Q799" t="str">
            <v>PAGO DE NÓMINA  A FUNCIONARIOS DE PLANTA TEMPORAL DE LA DIRECCIÓN DE MEJORAMIENTO DE VIVIENDA MES DE JUNIO DE 2018</v>
          </cell>
          <cell r="R799">
            <v>23746108</v>
          </cell>
          <cell r="S799">
            <v>0</v>
          </cell>
          <cell r="T799">
            <v>0</v>
          </cell>
          <cell r="U799">
            <v>23746108</v>
          </cell>
          <cell r="V799">
            <v>23746108</v>
          </cell>
        </row>
        <row r="800">
          <cell r="J800">
            <v>2494</v>
          </cell>
          <cell r="K800">
            <v>43298</v>
          </cell>
          <cell r="L800" t="str">
            <v>CAJA DE VIVIENDA POPULAR</v>
          </cell>
          <cell r="M800">
            <v>1</v>
          </cell>
          <cell r="N800" t="str">
            <v>RELACION DE AUTORIZACION</v>
          </cell>
          <cell r="O800">
            <v>49</v>
          </cell>
          <cell r="P800">
            <v>43298</v>
          </cell>
          <cell r="Q800" t="str">
            <v>PAGO DE MI PLANILLA SEGURIDAD SOCIAL Y PARAFISCALES DE LA PLANTA TEMPÓRAL DE LA ENTIDAD DEL MES DE JUNIO DE 2018 . PROYECTO 7328</v>
          </cell>
          <cell r="R800">
            <v>13243600</v>
          </cell>
          <cell r="S800">
            <v>0</v>
          </cell>
          <cell r="T800">
            <v>0</v>
          </cell>
          <cell r="U800">
            <v>13243600</v>
          </cell>
          <cell r="V800">
            <v>13243600</v>
          </cell>
        </row>
        <row r="801">
          <cell r="J801">
            <v>2528</v>
          </cell>
          <cell r="K801">
            <v>43305</v>
          </cell>
          <cell r="L801" t="str">
            <v>CAJA DE VIVIENDA POPULAR</v>
          </cell>
          <cell r="M801">
            <v>1</v>
          </cell>
          <cell r="N801" t="str">
            <v>RELACION DE AUTORIZACION</v>
          </cell>
          <cell r="O801">
            <v>52</v>
          </cell>
          <cell r="P801">
            <v>43305</v>
          </cell>
          <cell r="Q801" t="str">
            <v>PAGO DE NÓMINA A FUNCIONARIOS DE PLANTA TEMPORAL DE LA DIRECCIÓN DE MEJORAMIENTO DE VIVIENDA MES JULIO DE 2018</v>
          </cell>
          <cell r="R801">
            <v>33432692</v>
          </cell>
          <cell r="S801">
            <v>0</v>
          </cell>
          <cell r="T801">
            <v>0</v>
          </cell>
          <cell r="U801">
            <v>33432692</v>
          </cell>
          <cell r="V801">
            <v>33432692</v>
          </cell>
        </row>
        <row r="802">
          <cell r="J802">
            <v>757</v>
          </cell>
          <cell r="K802">
            <v>43137</v>
          </cell>
          <cell r="L802" t="str">
            <v>CAJA DE VIVIENDA POPULAR</v>
          </cell>
          <cell r="M802">
            <v>1</v>
          </cell>
          <cell r="N802" t="str">
            <v>RELACION DE AUTORIZACION</v>
          </cell>
          <cell r="O802">
            <v>10</v>
          </cell>
          <cell r="P802">
            <v>43137</v>
          </cell>
          <cell r="Q802" t="str">
            <v>PAGO DE LAS CESANTIAS DEL AÑO 2017 DE LA PLANTA TEMPORAL Y TRANSITORIA, PROYECTO 404.</v>
          </cell>
          <cell r="R802">
            <v>46765412</v>
          </cell>
          <cell r="S802">
            <v>0</v>
          </cell>
          <cell r="T802">
            <v>0</v>
          </cell>
          <cell r="U802">
            <v>46765412</v>
          </cell>
          <cell r="V802">
            <v>46765412</v>
          </cell>
        </row>
        <row r="803">
          <cell r="J803">
            <v>1014</v>
          </cell>
          <cell r="K803">
            <v>43140</v>
          </cell>
          <cell r="L803" t="str">
            <v>CAJA DE VIVIENDA POPULAR</v>
          </cell>
          <cell r="M803">
            <v>1</v>
          </cell>
          <cell r="N803" t="str">
            <v>RELACION DE AUTORIZACION</v>
          </cell>
          <cell r="O803">
            <v>13</v>
          </cell>
          <cell r="P803">
            <v>43140</v>
          </cell>
          <cell r="Q803" t="str">
            <v>PAGO DE MI PLANILLA SEGURIDAD SOCIAL Y PARAFISCALES DE LA PLANTA TEMPORAL DE LA ENTIDAD DEL MES DE ENERO DE 2018.  PROYECTO 404</v>
          </cell>
          <cell r="R803">
            <v>13527500</v>
          </cell>
          <cell r="S803">
            <v>0</v>
          </cell>
          <cell r="T803">
            <v>0</v>
          </cell>
          <cell r="U803">
            <v>13527500</v>
          </cell>
          <cell r="V803">
            <v>13527500</v>
          </cell>
        </row>
        <row r="804">
          <cell r="J804">
            <v>1388</v>
          </cell>
          <cell r="K804">
            <v>43151</v>
          </cell>
          <cell r="L804" t="str">
            <v>CAJA DE VIVIENDA POPULAR</v>
          </cell>
          <cell r="M804">
            <v>1</v>
          </cell>
          <cell r="N804" t="str">
            <v>RELACION DE AUTORIZACION</v>
          </cell>
          <cell r="O804">
            <v>17</v>
          </cell>
          <cell r="P804">
            <v>43151</v>
          </cell>
          <cell r="Q804" t="str">
            <v>PAGO DE NÓMINA DE FUNCIONARIOS DE PLANTA TEMPORAL PROYECTO 404 MES DE FEBRERO DE 2018</v>
          </cell>
          <cell r="R804">
            <v>37705914</v>
          </cell>
          <cell r="S804">
            <v>0</v>
          </cell>
          <cell r="T804">
            <v>0</v>
          </cell>
          <cell r="U804">
            <v>37705914</v>
          </cell>
          <cell r="V804">
            <v>37705914</v>
          </cell>
        </row>
        <row r="805">
          <cell r="J805">
            <v>1389</v>
          </cell>
          <cell r="K805">
            <v>43151</v>
          </cell>
          <cell r="L805" t="str">
            <v>CAJA DE VIVIENDA POPULAR</v>
          </cell>
          <cell r="M805">
            <v>1</v>
          </cell>
          <cell r="N805" t="str">
            <v>RELACION DE AUTORIZACION</v>
          </cell>
          <cell r="O805">
            <v>17</v>
          </cell>
          <cell r="P805">
            <v>43151</v>
          </cell>
          <cell r="Q805" t="str">
            <v>PAGO DE NÓMINA DE FUNCIONARIOS DE PLANTA TRANSITORIA PROYECTO 404 MES DE FEBRERO DE 2018.</v>
          </cell>
          <cell r="R805">
            <v>4317097</v>
          </cell>
          <cell r="S805">
            <v>0</v>
          </cell>
          <cell r="T805">
            <v>0</v>
          </cell>
          <cell r="U805">
            <v>4317097</v>
          </cell>
          <cell r="V805">
            <v>4317097</v>
          </cell>
        </row>
        <row r="806">
          <cell r="J806">
            <v>1532</v>
          </cell>
          <cell r="K806">
            <v>43165</v>
          </cell>
          <cell r="L806" t="str">
            <v>CAJA DE VIVIENDA POPULAR</v>
          </cell>
          <cell r="M806">
            <v>1</v>
          </cell>
          <cell r="N806" t="str">
            <v>RELACION DE AUTORIZACION</v>
          </cell>
          <cell r="O806">
            <v>21</v>
          </cell>
          <cell r="P806">
            <v>43165</v>
          </cell>
          <cell r="Q806" t="str">
            <v>PAGO DE SEGURIDAD SOCIAL Y PARAFISCALES DE FUNCIONARIOS DE PLANTA TRANSITORIA PROYECTO 404 MES DE FEBRERO /2018</v>
          </cell>
          <cell r="R806">
            <v>1296400</v>
          </cell>
          <cell r="S806">
            <v>0</v>
          </cell>
          <cell r="T806">
            <v>0</v>
          </cell>
          <cell r="U806">
            <v>1296400</v>
          </cell>
          <cell r="V806">
            <v>1296400</v>
          </cell>
        </row>
        <row r="807">
          <cell r="J807">
            <v>1536</v>
          </cell>
          <cell r="K807">
            <v>43165</v>
          </cell>
          <cell r="L807" t="str">
            <v>CAJA DE VIVIENDA POPULAR</v>
          </cell>
          <cell r="M807">
            <v>1</v>
          </cell>
          <cell r="N807" t="str">
            <v>RELACION DE AUTORIZACION</v>
          </cell>
          <cell r="O807">
            <v>22</v>
          </cell>
          <cell r="P807">
            <v>43165</v>
          </cell>
          <cell r="Q807" t="str">
            <v>PAGO DE SEGURIDAD SOCIAL Y PARAFISCALES DE FUNCIONARIOS DE PLANTA TEMPORAL PROYECTO 404 MES DE FEBRERO /2018</v>
          </cell>
          <cell r="R807">
            <v>11308500</v>
          </cell>
          <cell r="S807">
            <v>0</v>
          </cell>
          <cell r="T807">
            <v>0</v>
          </cell>
          <cell r="U807">
            <v>11308500</v>
          </cell>
          <cell r="V807">
            <v>11308500</v>
          </cell>
        </row>
        <row r="808">
          <cell r="J808">
            <v>1604</v>
          </cell>
          <cell r="K808">
            <v>43180</v>
          </cell>
          <cell r="L808" t="str">
            <v>CAJA DE VIVIENDA POPULAR</v>
          </cell>
          <cell r="M808">
            <v>1</v>
          </cell>
          <cell r="N808" t="str">
            <v>RELACION DE AUTORIZACION</v>
          </cell>
          <cell r="O808">
            <v>26</v>
          </cell>
          <cell r="P808">
            <v>43180</v>
          </cell>
          <cell r="Q808" t="str">
            <v>PAGO DE NÓMINA DEL MES DE MARZO DE 2018 DE LA PLANTA TRANSITORIA PROYECTO 404</v>
          </cell>
          <cell r="R808">
            <v>5015176</v>
          </cell>
          <cell r="S808">
            <v>0</v>
          </cell>
          <cell r="T808">
            <v>0</v>
          </cell>
          <cell r="U808">
            <v>5015176</v>
          </cell>
          <cell r="V808">
            <v>5015176</v>
          </cell>
        </row>
        <row r="809">
          <cell r="J809">
            <v>1609</v>
          </cell>
          <cell r="K809">
            <v>43180</v>
          </cell>
          <cell r="L809" t="str">
            <v>CAJA DE VIVIENDA POPULAR</v>
          </cell>
          <cell r="M809">
            <v>1</v>
          </cell>
          <cell r="N809" t="str">
            <v>RELACION DE AUTORIZACION</v>
          </cell>
          <cell r="O809">
            <v>25</v>
          </cell>
          <cell r="P809">
            <v>43180</v>
          </cell>
          <cell r="Q809" t="str">
            <v>PAGO DE NÓMINA A FUNCIONARIOS DE PLANTA TEMPORAL PROYECTO 404 MES DE MARZO DE 2018</v>
          </cell>
          <cell r="R809">
            <v>45154734</v>
          </cell>
          <cell r="S809">
            <v>0</v>
          </cell>
          <cell r="T809">
            <v>0</v>
          </cell>
          <cell r="U809">
            <v>45154734</v>
          </cell>
          <cell r="V809">
            <v>45154734</v>
          </cell>
        </row>
        <row r="810">
          <cell r="J810">
            <v>1796</v>
          </cell>
          <cell r="K810">
            <v>43203</v>
          </cell>
          <cell r="L810" t="str">
            <v>CAJA DE VIVIENDA POPULAR</v>
          </cell>
          <cell r="M810">
            <v>1</v>
          </cell>
          <cell r="N810" t="str">
            <v>RELACION DE AUTORIZACION</v>
          </cell>
          <cell r="O810">
            <v>28</v>
          </cell>
          <cell r="P810">
            <v>43203</v>
          </cell>
          <cell r="Q810" t="str">
            <v>PAGO DE MI PLANILLA SEGURIDAD SOCIAL Y PARAFISCALES DE LA PLANTA TEMPORAL DE LA ENTIDAD DEL MES DE MARZO DE 2018. PROYECTO 404.</v>
          </cell>
          <cell r="R810">
            <v>12179100</v>
          </cell>
          <cell r="S810">
            <v>0</v>
          </cell>
          <cell r="T810">
            <v>0</v>
          </cell>
          <cell r="U810">
            <v>12179100</v>
          </cell>
          <cell r="V810">
            <v>12179100</v>
          </cell>
        </row>
        <row r="811">
          <cell r="J811">
            <v>1799</v>
          </cell>
          <cell r="K811">
            <v>43203</v>
          </cell>
          <cell r="L811" t="str">
            <v>CAJA DE VIVIENDA POPULAR</v>
          </cell>
          <cell r="M811">
            <v>1</v>
          </cell>
          <cell r="N811" t="str">
            <v>RELACION DE AUTORIZACION</v>
          </cell>
          <cell r="O811">
            <v>29</v>
          </cell>
          <cell r="P811">
            <v>43203</v>
          </cell>
          <cell r="Q811" t="str">
            <v>PAGO DE MI PLANILLA SEGURIDAD SOCIAL Y PARAFISCALES DE LA PLANTA TRANSITORIA DE LA ENTIDAD DEL MES DE MARZO DE 2018. PROYECTO 404</v>
          </cell>
          <cell r="R811">
            <v>1366100</v>
          </cell>
          <cell r="S811">
            <v>0</v>
          </cell>
          <cell r="T811">
            <v>0</v>
          </cell>
          <cell r="U811">
            <v>1366100</v>
          </cell>
          <cell r="V811">
            <v>1366100</v>
          </cell>
        </row>
        <row r="812">
          <cell r="J812">
            <v>1834</v>
          </cell>
          <cell r="K812">
            <v>43213</v>
          </cell>
          <cell r="L812" t="str">
            <v>CAJA DE VIVIENDA POPULAR</v>
          </cell>
          <cell r="M812">
            <v>1</v>
          </cell>
          <cell r="N812" t="str">
            <v>RELACION DE AUTORIZACION</v>
          </cell>
          <cell r="O812">
            <v>31</v>
          </cell>
          <cell r="P812">
            <v>43213</v>
          </cell>
          <cell r="Q812" t="str">
            <v>PAGO DE NÓMINA A FUNCIONARIOS DE PLANTA TEMPORAL PROYECTO 404 MES DE ABRIL DE 2018</v>
          </cell>
          <cell r="R812">
            <v>39714400</v>
          </cell>
          <cell r="S812">
            <v>0</v>
          </cell>
          <cell r="T812">
            <v>0</v>
          </cell>
          <cell r="U812">
            <v>39714400</v>
          </cell>
          <cell r="V812">
            <v>39714400</v>
          </cell>
        </row>
        <row r="813">
          <cell r="J813">
            <v>1835</v>
          </cell>
          <cell r="K813">
            <v>43213</v>
          </cell>
          <cell r="L813" t="str">
            <v>CAJA DE VIVIENDA POPULAR</v>
          </cell>
          <cell r="M813">
            <v>1</v>
          </cell>
          <cell r="N813" t="str">
            <v>RELACION DE AUTORIZACION</v>
          </cell>
          <cell r="O813">
            <v>30</v>
          </cell>
          <cell r="P813">
            <v>43213</v>
          </cell>
          <cell r="Q813" t="str">
            <v>PAGO DE NÓMINA A FUNCIONARIOS DE PLANTA TRANSITORIA PROYECTO 404 MES DE ABRIL 2018</v>
          </cell>
          <cell r="R813">
            <v>4549790</v>
          </cell>
          <cell r="S813">
            <v>0</v>
          </cell>
          <cell r="T813">
            <v>0</v>
          </cell>
          <cell r="U813">
            <v>4549790</v>
          </cell>
          <cell r="V813">
            <v>4549790</v>
          </cell>
        </row>
        <row r="814">
          <cell r="J814">
            <v>1906</v>
          </cell>
          <cell r="K814">
            <v>43235</v>
          </cell>
          <cell r="L814" t="str">
            <v>CAJA DE VIVIENDA POPULAR</v>
          </cell>
          <cell r="M814">
            <v>1</v>
          </cell>
          <cell r="N814" t="str">
            <v>RELACION DE AUTORIZACION</v>
          </cell>
          <cell r="O814">
            <v>34</v>
          </cell>
          <cell r="P814">
            <v>43235</v>
          </cell>
          <cell r="Q814" t="str">
            <v>PAGO DE MI PLANILLA SEGURIDAD SOCIAL Y PARAFISCALES DE LA PLANTA TEMPORAL DE LA ENTIDAD DEL MES DE ABRIL DE 2018, PROYECTO 404</v>
          </cell>
          <cell r="R814">
            <v>11924700</v>
          </cell>
          <cell r="S814">
            <v>0</v>
          </cell>
          <cell r="T814">
            <v>0</v>
          </cell>
          <cell r="U814">
            <v>11924700</v>
          </cell>
          <cell r="V814">
            <v>11924700</v>
          </cell>
        </row>
        <row r="815">
          <cell r="J815">
            <v>1907</v>
          </cell>
          <cell r="K815">
            <v>43235</v>
          </cell>
          <cell r="L815" t="str">
            <v>CAJA DE VIVIENDA POPULAR</v>
          </cell>
          <cell r="M815">
            <v>1</v>
          </cell>
          <cell r="N815" t="str">
            <v>RELACION DE AUTORIZACION</v>
          </cell>
          <cell r="O815">
            <v>35</v>
          </cell>
          <cell r="P815">
            <v>43235</v>
          </cell>
          <cell r="Q815" t="str">
            <v>PAGO DE MI PLANILLA SEGURIDAD SOCIAL Y PARAFISCALES DE LA PLANTA TRANSITORIA DE LA ENTIDAD DEL MES DE ABRIL DE 2018, PROYECTO 404</v>
          </cell>
          <cell r="R815">
            <v>1366100</v>
          </cell>
          <cell r="S815">
            <v>0</v>
          </cell>
          <cell r="T815">
            <v>0</v>
          </cell>
          <cell r="U815">
            <v>1366100</v>
          </cell>
          <cell r="V815">
            <v>1366100</v>
          </cell>
        </row>
        <row r="816">
          <cell r="J816">
            <v>1950</v>
          </cell>
          <cell r="K816">
            <v>43243</v>
          </cell>
          <cell r="L816" t="str">
            <v>CAJA DE VIVIENDA POPULAR</v>
          </cell>
          <cell r="M816">
            <v>1</v>
          </cell>
          <cell r="N816" t="str">
            <v>RELACION DE AUTORIZACION</v>
          </cell>
          <cell r="O816">
            <v>37</v>
          </cell>
          <cell r="P816">
            <v>43243</v>
          </cell>
          <cell r="Q816" t="str">
            <v>PAGO DE NÓMINA PARA FUNCIONARIOS DE PLANTA TEMPORAL MES DE MAYO DE 2018</v>
          </cell>
          <cell r="R816">
            <v>45934307</v>
          </cell>
          <cell r="S816">
            <v>0</v>
          </cell>
          <cell r="T816">
            <v>0</v>
          </cell>
          <cell r="U816">
            <v>45934307</v>
          </cell>
          <cell r="V816">
            <v>45934307</v>
          </cell>
        </row>
        <row r="817">
          <cell r="J817">
            <v>1952</v>
          </cell>
          <cell r="K817">
            <v>43243</v>
          </cell>
          <cell r="L817" t="str">
            <v>CAJA DE VIVIENDA POPULAR</v>
          </cell>
          <cell r="M817">
            <v>1</v>
          </cell>
          <cell r="N817" t="str">
            <v>RELACION DE AUTORIZACION</v>
          </cell>
          <cell r="O817">
            <v>38</v>
          </cell>
          <cell r="P817">
            <v>43243</v>
          </cell>
          <cell r="Q817" t="str">
            <v>PAGO DE NÓMINA PARA FUNCIONARIOS DE PLANTA TRANSITORIA PROYECTO 404 MES DE MAYO DE 2018</v>
          </cell>
          <cell r="R817">
            <v>4549790</v>
          </cell>
          <cell r="S817">
            <v>0</v>
          </cell>
          <cell r="T817">
            <v>0</v>
          </cell>
          <cell r="U817">
            <v>4549790</v>
          </cell>
          <cell r="V817">
            <v>4549790</v>
          </cell>
        </row>
        <row r="818">
          <cell r="J818">
            <v>1981</v>
          </cell>
          <cell r="K818">
            <v>43252</v>
          </cell>
          <cell r="L818" t="str">
            <v>CAJA DE VIVIENDA POPULAR</v>
          </cell>
          <cell r="M818">
            <v>1</v>
          </cell>
          <cell r="N818" t="str">
            <v>RELACION DE AUTORIZACION</v>
          </cell>
          <cell r="O818">
            <v>40</v>
          </cell>
          <cell r="P818">
            <v>43252</v>
          </cell>
          <cell r="Q818" t="str">
            <v>PAGO DE LA PRIMA SE SERVICIOS 2018 FUNCIONARIOS DE PLANTA TEMPORAL PROYECTO 404</v>
          </cell>
          <cell r="R818">
            <v>50287294</v>
          </cell>
          <cell r="S818">
            <v>0</v>
          </cell>
          <cell r="T818">
            <v>0</v>
          </cell>
          <cell r="U818">
            <v>50287294</v>
          </cell>
          <cell r="V818">
            <v>50287294</v>
          </cell>
        </row>
        <row r="819">
          <cell r="J819">
            <v>1988</v>
          </cell>
          <cell r="K819">
            <v>43252</v>
          </cell>
          <cell r="L819" t="str">
            <v>CAJA DE VIVIENDA POPULAR</v>
          </cell>
          <cell r="M819">
            <v>1</v>
          </cell>
          <cell r="N819" t="str">
            <v>RELACION DE AUTORIZACION</v>
          </cell>
          <cell r="O819">
            <v>41</v>
          </cell>
          <cell r="P819">
            <v>43252</v>
          </cell>
          <cell r="Q819" t="str">
            <v>PAGO DE LA PRIMA SE SERVICIOS 2018  FUNCIONARIOS DE PLANTA TRANSITORIA PROYECTO 404</v>
          </cell>
          <cell r="R819">
            <v>5722333</v>
          </cell>
          <cell r="S819">
            <v>0</v>
          </cell>
          <cell r="T819">
            <v>0</v>
          </cell>
          <cell r="U819">
            <v>5722333</v>
          </cell>
          <cell r="V819">
            <v>5722333</v>
          </cell>
        </row>
        <row r="820">
          <cell r="J820">
            <v>2019</v>
          </cell>
          <cell r="K820">
            <v>43266</v>
          </cell>
          <cell r="L820" t="str">
            <v>CAJA DE VIVIENDA POPULAR</v>
          </cell>
          <cell r="M820">
            <v>1</v>
          </cell>
          <cell r="N820" t="str">
            <v>RELACION DE AUTORIZACION</v>
          </cell>
          <cell r="O820">
            <v>44</v>
          </cell>
          <cell r="P820">
            <v>43266</v>
          </cell>
          <cell r="Q820" t="str">
            <v>PAGO DE MI PLANILLA SEGURIDAD SOCIAL Y PARAFISCALES DE LA PLANTA TRANSITORIA DE LA ENTIDAD DEL MES DE MAYO DE 2018. PROYECTO 404</v>
          </cell>
          <cell r="R820">
            <v>1366100</v>
          </cell>
          <cell r="S820">
            <v>0</v>
          </cell>
          <cell r="T820">
            <v>0</v>
          </cell>
          <cell r="U820">
            <v>1366100</v>
          </cell>
          <cell r="V820">
            <v>1366100</v>
          </cell>
        </row>
        <row r="821">
          <cell r="J821">
            <v>2023</v>
          </cell>
          <cell r="K821">
            <v>43266</v>
          </cell>
          <cell r="L821" t="str">
            <v>CAJA DE VIVIENDA POPULAR</v>
          </cell>
          <cell r="M821">
            <v>1</v>
          </cell>
          <cell r="N821" t="str">
            <v>RELACION DE AUTORIZACION</v>
          </cell>
          <cell r="O821">
            <v>43</v>
          </cell>
          <cell r="P821">
            <v>43266</v>
          </cell>
          <cell r="Q821" t="str">
            <v>PAGO DE MI PLANILLA SEGURIDAD SOCIAL Y PARAFISCALES DEFUNCIONARIOS DE PLANTA TEMPORAL PRPOYECTO 404 MES MAYO DE 2018</v>
          </cell>
          <cell r="R821">
            <v>12172900</v>
          </cell>
          <cell r="S821">
            <v>0</v>
          </cell>
          <cell r="T821">
            <v>0</v>
          </cell>
          <cell r="U821">
            <v>12172900</v>
          </cell>
          <cell r="V821">
            <v>12172900</v>
          </cell>
        </row>
        <row r="822">
          <cell r="J822">
            <v>2052</v>
          </cell>
          <cell r="K822">
            <v>43271</v>
          </cell>
          <cell r="L822" t="str">
            <v>CAJA DE VIVIENDA POPULAR</v>
          </cell>
          <cell r="M822">
            <v>1</v>
          </cell>
          <cell r="N822" t="str">
            <v>RELACION DE AUTORIZACION</v>
          </cell>
          <cell r="O822">
            <v>46</v>
          </cell>
          <cell r="P822">
            <v>43271</v>
          </cell>
          <cell r="Q822" t="str">
            <v>PAGO DE NÓMINA A FUNCIONARIOS DE PLANTA TEMPORAL PROYECTO 404 MES JUNIO DE 2018</v>
          </cell>
          <cell r="R822">
            <v>68557451</v>
          </cell>
          <cell r="S822">
            <v>0</v>
          </cell>
          <cell r="T822">
            <v>0</v>
          </cell>
          <cell r="U822">
            <v>68557451</v>
          </cell>
          <cell r="V822">
            <v>68557451</v>
          </cell>
        </row>
        <row r="823">
          <cell r="J823">
            <v>2055</v>
          </cell>
          <cell r="K823">
            <v>43271</v>
          </cell>
          <cell r="L823" t="str">
            <v>CAJA DE VIVIENDA POPULAR</v>
          </cell>
          <cell r="M823">
            <v>1</v>
          </cell>
          <cell r="N823" t="str">
            <v>RELACION DE AUTORIZACION</v>
          </cell>
          <cell r="O823">
            <v>47</v>
          </cell>
          <cell r="P823">
            <v>43271</v>
          </cell>
          <cell r="Q823" t="str">
            <v>PAGO DE NÓMINA A FUNCIONARIOS DE PLANTA TRANSITORIA PROYECTO 404 MES JUNIO DE 2018</v>
          </cell>
          <cell r="R823">
            <v>10166950</v>
          </cell>
          <cell r="S823">
            <v>0</v>
          </cell>
          <cell r="T823">
            <v>0</v>
          </cell>
          <cell r="U823">
            <v>10166950</v>
          </cell>
          <cell r="V823">
            <v>10166950</v>
          </cell>
        </row>
        <row r="824">
          <cell r="J824">
            <v>2491</v>
          </cell>
          <cell r="K824">
            <v>43298</v>
          </cell>
          <cell r="L824" t="str">
            <v>CAJA DE VIVIENDA POPULAR</v>
          </cell>
          <cell r="M824">
            <v>1</v>
          </cell>
          <cell r="N824" t="str">
            <v>RELACION DE AUTORIZACION</v>
          </cell>
          <cell r="O824">
            <v>49</v>
          </cell>
          <cell r="P824">
            <v>43298</v>
          </cell>
          <cell r="Q824" t="str">
            <v>PAGO DE MI PLANILLA SEGURIDAD SOCIAL Y PARAFISCALES DE LA PLANTA TEMPORAL DE LA ENTIDAD DEL MES DE JUNIO DE 2018 PROYECTO 404</v>
          </cell>
          <cell r="R824">
            <v>17764900</v>
          </cell>
          <cell r="S824">
            <v>0</v>
          </cell>
          <cell r="T824">
            <v>0</v>
          </cell>
          <cell r="U824">
            <v>17764900</v>
          </cell>
          <cell r="V824">
            <v>17764900</v>
          </cell>
        </row>
        <row r="825">
          <cell r="J825">
            <v>2495</v>
          </cell>
          <cell r="K825">
            <v>43298</v>
          </cell>
          <cell r="L825" t="str">
            <v>CAJA DE VIVIENDA POPULAR</v>
          </cell>
          <cell r="M825">
            <v>1</v>
          </cell>
          <cell r="N825" t="str">
            <v>RELACION DE AUTORIZACION</v>
          </cell>
          <cell r="O825">
            <v>50</v>
          </cell>
          <cell r="P825">
            <v>43298</v>
          </cell>
          <cell r="Q825" t="str">
            <v>PAGO DE MI PLANILLA SEGURIDAD SOCIAL Y PARAFISCALES DE LA PLANTA TRANSITORIA DE LA ENTIDAD DEL MES DE JUNIO DE 2018 PROYECTO 404</v>
          </cell>
          <cell r="R825">
            <v>2114100</v>
          </cell>
          <cell r="S825">
            <v>0</v>
          </cell>
          <cell r="T825">
            <v>0</v>
          </cell>
          <cell r="U825">
            <v>2114100</v>
          </cell>
          <cell r="V825">
            <v>2114100</v>
          </cell>
        </row>
        <row r="826">
          <cell r="J826">
            <v>2522</v>
          </cell>
          <cell r="K826">
            <v>43305</v>
          </cell>
          <cell r="L826" t="str">
            <v>CAJA DE VIVIENDA POPULAR</v>
          </cell>
          <cell r="M826">
            <v>1</v>
          </cell>
          <cell r="N826" t="str">
            <v>RELACION DE AUTORIZACION</v>
          </cell>
          <cell r="O826">
            <v>53</v>
          </cell>
          <cell r="P826">
            <v>43305</v>
          </cell>
          <cell r="Q826" t="str">
            <v>PAGO DE NÓMINA DEL MES DE JULIO DE 2018 DE PLANTA TRANSITORIA PROYECTO 404</v>
          </cell>
          <cell r="R826">
            <v>2123236</v>
          </cell>
          <cell r="S826">
            <v>0</v>
          </cell>
          <cell r="T826">
            <v>0</v>
          </cell>
          <cell r="U826">
            <v>2123236</v>
          </cell>
          <cell r="V826">
            <v>2123236</v>
          </cell>
        </row>
        <row r="827">
          <cell r="J827">
            <v>2530</v>
          </cell>
          <cell r="K827">
            <v>43305</v>
          </cell>
          <cell r="L827" t="str">
            <v>CAJA DE VIVIENDA POPULAR</v>
          </cell>
          <cell r="M827">
            <v>1</v>
          </cell>
          <cell r="N827" t="str">
            <v>RELACION DE AUTORIZACION</v>
          </cell>
          <cell r="O827">
            <v>52</v>
          </cell>
          <cell r="P827">
            <v>43305</v>
          </cell>
          <cell r="Q827" t="str">
            <v>PAGO DE NÓMINA A FUNCIONARIOS DE PLANTA TEMPORAL PROYECTO 404 MES JULIO DE 2018</v>
          </cell>
          <cell r="R827">
            <v>28560572</v>
          </cell>
          <cell r="S827">
            <v>0</v>
          </cell>
          <cell r="T827">
            <v>0</v>
          </cell>
          <cell r="U827">
            <v>28560572</v>
          </cell>
          <cell r="V827">
            <v>28560572</v>
          </cell>
        </row>
        <row r="828">
          <cell r="J828">
            <v>307</v>
          </cell>
          <cell r="K828">
            <v>43122</v>
          </cell>
          <cell r="L828" t="str">
            <v>EMPRESA DE TELECOMUNICACIONES DE BOGOTA SA ESP</v>
          </cell>
          <cell r="M828">
            <v>28</v>
          </cell>
          <cell r="N828" t="str">
            <v>FACTURAS</v>
          </cell>
          <cell r="O828">
            <v>565515</v>
          </cell>
          <cell r="P828">
            <v>43122</v>
          </cell>
          <cell r="Q828" t="str">
            <v>PAGO DE INTERNET DE LA CAJA DE LA VIVIENDA POPULAR, PERIODO FACTURADO 01 DE DICIEMBRE DE 2017-31 DE DICIEMBRE DE 2017</v>
          </cell>
          <cell r="R828">
            <v>747183</v>
          </cell>
          <cell r="S828">
            <v>0</v>
          </cell>
          <cell r="T828">
            <v>0</v>
          </cell>
          <cell r="U828">
            <v>747183</v>
          </cell>
          <cell r="V828">
            <v>747183</v>
          </cell>
        </row>
        <row r="829">
          <cell r="J829">
            <v>319</v>
          </cell>
          <cell r="K829">
            <v>43122</v>
          </cell>
          <cell r="L829" t="str">
            <v>EMPRESA DE TELECOMUNICACIONES DE BOGOTA SA ESP</v>
          </cell>
          <cell r="M829">
            <v>28</v>
          </cell>
          <cell r="N829" t="str">
            <v>FACTURAS</v>
          </cell>
          <cell r="O829">
            <v>565515</v>
          </cell>
          <cell r="P829">
            <v>43122</v>
          </cell>
          <cell r="Q829" t="str">
            <v>PAGO DE INTERNET DE LA CAJA DE LA VIVIENDA POPULAR, FACTURA 247565515</v>
          </cell>
          <cell r="R829">
            <v>191533</v>
          </cell>
          <cell r="S829">
            <v>0</v>
          </cell>
          <cell r="T829">
            <v>0</v>
          </cell>
          <cell r="U829">
            <v>191533</v>
          </cell>
          <cell r="V829">
            <v>191533</v>
          </cell>
        </row>
        <row r="830">
          <cell r="J830">
            <v>488</v>
          </cell>
          <cell r="K830">
            <v>43126</v>
          </cell>
          <cell r="L830" t="str">
            <v>COLOMBIA TELECOMUNICACIONES S A E S P</v>
          </cell>
          <cell r="M830">
            <v>28</v>
          </cell>
          <cell r="N830" t="str">
            <v>FACTURAS</v>
          </cell>
          <cell r="O830">
            <v>43506</v>
          </cell>
          <cell r="P830">
            <v>43126</v>
          </cell>
          <cell r="Q830" t="str">
            <v>PAGO DE SERVICIO DE TELEFONÍA CELULAR DE LA CAJA DE CICIENDA POPULAR, PERIODO FACTURADO 17 DE ENERO DE 2018- 16 DE FEBRERO DE 2018</v>
          </cell>
          <cell r="R830">
            <v>654012</v>
          </cell>
          <cell r="S830">
            <v>0</v>
          </cell>
          <cell r="T830">
            <v>0</v>
          </cell>
          <cell r="U830">
            <v>654012</v>
          </cell>
          <cell r="V830">
            <v>654012</v>
          </cell>
        </row>
        <row r="831">
          <cell r="J831">
            <v>1457</v>
          </cell>
          <cell r="K831">
            <v>43153</v>
          </cell>
          <cell r="L831" t="str">
            <v>EMPRESA DE TELECOMUNICACIONES DE BOGOTA SA ESP</v>
          </cell>
          <cell r="M831">
            <v>28</v>
          </cell>
          <cell r="N831" t="str">
            <v>FACTURAS</v>
          </cell>
          <cell r="O831">
            <v>37984</v>
          </cell>
          <cell r="P831">
            <v>43153</v>
          </cell>
          <cell r="Q831" t="str">
            <v>PAGO DE SERVICIO DE INTERNET DE LA CAJA DE VIVIENDA POPULAR, PERIODO FACTURADO 01 DE ENERO DE 2018 - 31 DE ENERO DE 2018</v>
          </cell>
          <cell r="R831">
            <v>747185</v>
          </cell>
          <cell r="S831">
            <v>0</v>
          </cell>
          <cell r="T831">
            <v>0</v>
          </cell>
          <cell r="U831">
            <v>747185</v>
          </cell>
          <cell r="V831">
            <v>747185</v>
          </cell>
        </row>
        <row r="832">
          <cell r="J832">
            <v>1467</v>
          </cell>
          <cell r="K832">
            <v>43154</v>
          </cell>
          <cell r="L832" t="str">
            <v>COLOMBIA TELECOMUNICACIONES S A E S P</v>
          </cell>
          <cell r="M832">
            <v>28</v>
          </cell>
          <cell r="N832" t="str">
            <v>FACTURAS</v>
          </cell>
          <cell r="O832">
            <v>16154</v>
          </cell>
          <cell r="P832">
            <v>43154</v>
          </cell>
          <cell r="Q832" t="str">
            <v>PAGO DE SERVICIO DE TELEFONÍA CELULAR DE LA CAJA DE VIVIENDA POPULAR, PERÍODO FACTURADO 17 DE FEBRERO DE 2018 - 16 DE MARZO DE 2018</v>
          </cell>
          <cell r="R832">
            <v>655108</v>
          </cell>
          <cell r="S832">
            <v>0</v>
          </cell>
          <cell r="T832">
            <v>0</v>
          </cell>
          <cell r="U832">
            <v>655108</v>
          </cell>
          <cell r="V832">
            <v>655108</v>
          </cell>
        </row>
        <row r="833">
          <cell r="J833">
            <v>1620</v>
          </cell>
          <cell r="K833">
            <v>43181</v>
          </cell>
          <cell r="L833" t="str">
            <v>EMPRESA DE TELECOMUNICACIONES DE BOGOTA SA ESP</v>
          </cell>
          <cell r="M833">
            <v>28</v>
          </cell>
          <cell r="N833" t="str">
            <v>FACTURAS</v>
          </cell>
          <cell r="O833">
            <v>20173</v>
          </cell>
          <cell r="P833">
            <v>43181</v>
          </cell>
          <cell r="Q833" t="str">
            <v>PAGO DE INTERNET DE LA CAJA DE LA VIVIENDA POPULAR PERIODO FACTURADO FEBRERO 01 AL 28 DE 2018</v>
          </cell>
          <cell r="R833">
            <v>748900</v>
          </cell>
          <cell r="S833">
            <v>0</v>
          </cell>
          <cell r="T833">
            <v>0</v>
          </cell>
          <cell r="U833">
            <v>748900</v>
          </cell>
          <cell r="V833">
            <v>748900</v>
          </cell>
        </row>
        <row r="834">
          <cell r="J834">
            <v>1659</v>
          </cell>
          <cell r="K834">
            <v>43185</v>
          </cell>
          <cell r="L834" t="str">
            <v>COLOMBIA TELECOMUNICACIONES S A E S P</v>
          </cell>
          <cell r="M834">
            <v>28</v>
          </cell>
          <cell r="N834" t="str">
            <v>FACTURAS</v>
          </cell>
          <cell r="O834">
            <v>11910</v>
          </cell>
          <cell r="P834">
            <v>43185</v>
          </cell>
          <cell r="Q834" t="str">
            <v>PAGO DE SERVICIO DE TELEFONÍA CELULAR DE LA CAJA DE VIVIENDA POPULAR, PERÍODO FACTURADO 17 DE MARZO AL 16 DE ABRIL DE 2018</v>
          </cell>
          <cell r="R834">
            <v>654012</v>
          </cell>
          <cell r="S834">
            <v>0</v>
          </cell>
          <cell r="T834">
            <v>0</v>
          </cell>
          <cell r="U834">
            <v>654012</v>
          </cell>
          <cell r="V834">
            <v>654012</v>
          </cell>
        </row>
        <row r="835">
          <cell r="J835">
            <v>1813</v>
          </cell>
          <cell r="K835">
            <v>43209</v>
          </cell>
          <cell r="L835" t="str">
            <v>EMPRESA DE TELECOMUNICACIONES DE BOGOTA SA ESP</v>
          </cell>
          <cell r="M835">
            <v>28</v>
          </cell>
          <cell r="N835" t="str">
            <v>FACTURAS</v>
          </cell>
          <cell r="O835">
            <v>971377</v>
          </cell>
          <cell r="P835">
            <v>43209</v>
          </cell>
          <cell r="Q835" t="str">
            <v>PAGO DE INTERNET DE LA CAJA DE LA VIVIENDA POPULAR PERIODO FACTURADO : MARZO 1-31 DE 2018</v>
          </cell>
          <cell r="R835">
            <v>748901</v>
          </cell>
          <cell r="S835">
            <v>0</v>
          </cell>
          <cell r="T835">
            <v>0</v>
          </cell>
          <cell r="U835">
            <v>748901</v>
          </cell>
          <cell r="V835">
            <v>748901</v>
          </cell>
        </row>
        <row r="836">
          <cell r="J836">
            <v>1847</v>
          </cell>
          <cell r="K836">
            <v>43217</v>
          </cell>
          <cell r="L836" t="str">
            <v>COLOMBIA TELECOMUNICACIONES S A E S P</v>
          </cell>
          <cell r="M836">
            <v>28</v>
          </cell>
          <cell r="N836" t="str">
            <v>FACTURAS</v>
          </cell>
          <cell r="O836">
            <v>493615</v>
          </cell>
          <cell r="P836">
            <v>43217</v>
          </cell>
          <cell r="Q836" t="str">
            <v>PAGO SERVICIO DE TELEFONÍA CELULAR CVP PERIODO 17 ABRIL A 16 MAYO DE 2018</v>
          </cell>
          <cell r="R836">
            <v>654012</v>
          </cell>
          <cell r="S836">
            <v>0</v>
          </cell>
          <cell r="T836">
            <v>0</v>
          </cell>
          <cell r="U836">
            <v>654012</v>
          </cell>
          <cell r="V836">
            <v>654012</v>
          </cell>
        </row>
        <row r="837">
          <cell r="J837">
            <v>1923</v>
          </cell>
          <cell r="K837">
            <v>43241</v>
          </cell>
          <cell r="L837" t="str">
            <v>EMPRESA DE TELECOMUNICACIONES DE BOGOTA SA ESP</v>
          </cell>
          <cell r="M837">
            <v>28</v>
          </cell>
          <cell r="N837" t="str">
            <v>FACTURAS</v>
          </cell>
          <cell r="O837">
            <v>249536</v>
          </cell>
          <cell r="P837">
            <v>43241</v>
          </cell>
          <cell r="Q837" t="str">
            <v>PAGO DE INTERNET DE LA CAJA DE LA VIVIENDA POPULAR PERIODO FACTURADO : ABRIL 1 A MAYO 31 DE 2018</v>
          </cell>
          <cell r="R837">
            <v>517301</v>
          </cell>
          <cell r="S837">
            <v>517301</v>
          </cell>
          <cell r="T837">
            <v>0</v>
          </cell>
          <cell r="U837">
            <v>0</v>
          </cell>
          <cell r="V837">
            <v>0</v>
          </cell>
        </row>
        <row r="838">
          <cell r="J838">
            <v>1931</v>
          </cell>
          <cell r="K838">
            <v>43242</v>
          </cell>
          <cell r="L838" t="str">
            <v>EMPRESA DE TELECOMUNICACIONES DE BOGOTA SA ESP</v>
          </cell>
          <cell r="M838">
            <v>28</v>
          </cell>
          <cell r="N838" t="str">
            <v>FACTURAS</v>
          </cell>
          <cell r="O838">
            <v>249536</v>
          </cell>
          <cell r="P838">
            <v>43242</v>
          </cell>
          <cell r="Q838" t="str">
            <v>PAGO DE INTERNET DE LA CAJA DE LA VIVIENDA POPULAR. PERIODO FACTURADO : ABRIL 1-30 DE 2018</v>
          </cell>
          <cell r="R838">
            <v>517301</v>
          </cell>
          <cell r="S838">
            <v>0</v>
          </cell>
          <cell r="T838">
            <v>0</v>
          </cell>
          <cell r="U838">
            <v>517301</v>
          </cell>
          <cell r="V838">
            <v>517301</v>
          </cell>
        </row>
        <row r="839">
          <cell r="J839">
            <v>1958</v>
          </cell>
          <cell r="K839">
            <v>43249</v>
          </cell>
          <cell r="L839" t="str">
            <v>COLOMBIA TELECOMUNICACIONES S A E S P</v>
          </cell>
          <cell r="M839">
            <v>28</v>
          </cell>
          <cell r="N839" t="str">
            <v>FACTURAS</v>
          </cell>
          <cell r="O839">
            <v>287285</v>
          </cell>
          <cell r="P839">
            <v>43249</v>
          </cell>
          <cell r="Q839" t="str">
            <v>SERVICIO DE TELEFONÍA CELULAR DE LA CAJA DE LA VIVIENDA POPULAR, PERIODO FACTURADO: MAYO 17 A JUNIO 16 DE 2018</v>
          </cell>
          <cell r="R839">
            <v>654012</v>
          </cell>
          <cell r="S839">
            <v>0</v>
          </cell>
          <cell r="T839">
            <v>0</v>
          </cell>
          <cell r="U839">
            <v>654012</v>
          </cell>
          <cell r="V839">
            <v>654012</v>
          </cell>
        </row>
        <row r="840">
          <cell r="J840">
            <v>2038</v>
          </cell>
          <cell r="K840">
            <v>43271</v>
          </cell>
          <cell r="L840" t="str">
            <v>EMPRESA DE TELECOMUNICACIONES DE BOGOTA SA ESP</v>
          </cell>
          <cell r="M840">
            <v>28</v>
          </cell>
          <cell r="N840" t="str">
            <v>FACTURAS</v>
          </cell>
          <cell r="O840">
            <v>545414</v>
          </cell>
          <cell r="P840">
            <v>43271</v>
          </cell>
          <cell r="Q840" t="str">
            <v>PAGO DE INTERNET DE LA CAJA DE LA VIVIENDA POPULAR, PERIODO FACTURADO : MAYO 1-31 DE 2018</v>
          </cell>
          <cell r="R840">
            <v>517301</v>
          </cell>
          <cell r="S840">
            <v>0</v>
          </cell>
          <cell r="T840">
            <v>0</v>
          </cell>
          <cell r="U840">
            <v>517301</v>
          </cell>
          <cell r="V840">
            <v>517301</v>
          </cell>
        </row>
        <row r="841">
          <cell r="J841">
            <v>2146</v>
          </cell>
          <cell r="K841">
            <v>43277</v>
          </cell>
          <cell r="L841" t="str">
            <v>COLOMBIA TELECOMUNICACIONES S A E S P</v>
          </cell>
          <cell r="M841">
            <v>28</v>
          </cell>
          <cell r="N841" t="str">
            <v>FACTURAS</v>
          </cell>
          <cell r="O841">
            <v>8061701</v>
          </cell>
          <cell r="P841">
            <v>43277</v>
          </cell>
          <cell r="Q841" t="str">
            <v>SERVICIO DE TELEFONÍA CELULAR CVP PERIODO JUNIO 17 A JULIO 16 DE 2018 S/G FACTURA EC178061701</v>
          </cell>
          <cell r="R841">
            <v>654012</v>
          </cell>
          <cell r="S841">
            <v>0</v>
          </cell>
          <cell r="T841">
            <v>0</v>
          </cell>
          <cell r="U841">
            <v>654012</v>
          </cell>
          <cell r="V841">
            <v>654012</v>
          </cell>
        </row>
        <row r="842">
          <cell r="J842">
            <v>2504</v>
          </cell>
          <cell r="K842">
            <v>43299</v>
          </cell>
          <cell r="L842" t="str">
            <v>EMPRESA DE TELECOMUNICACIONES DE BOGOTA SA ESP</v>
          </cell>
          <cell r="M842">
            <v>28</v>
          </cell>
          <cell r="N842" t="str">
            <v>FACTURAS</v>
          </cell>
          <cell r="O842">
            <v>944029</v>
          </cell>
          <cell r="P842">
            <v>43299</v>
          </cell>
          <cell r="Q842" t="str">
            <v>PAGO DE INTERNET DE LA CAJA DE LA VIVIENDA POPULAR, PERIODO FACTURADO : JUNIO1-30 DE 2018</v>
          </cell>
          <cell r="R842">
            <v>694800</v>
          </cell>
          <cell r="S842">
            <v>0</v>
          </cell>
          <cell r="T842">
            <v>0</v>
          </cell>
          <cell r="U842">
            <v>694800</v>
          </cell>
          <cell r="V842">
            <v>694800</v>
          </cell>
        </row>
        <row r="843">
          <cell r="J843">
            <v>2532</v>
          </cell>
          <cell r="K843">
            <v>43305</v>
          </cell>
          <cell r="L843" t="str">
            <v>COLOMBIA TELECOMUNICACIONES S A E S P</v>
          </cell>
          <cell r="M843">
            <v>28</v>
          </cell>
          <cell r="N843" t="str">
            <v>FACTURAS</v>
          </cell>
          <cell r="O843">
            <v>841394</v>
          </cell>
          <cell r="P843">
            <v>43305</v>
          </cell>
          <cell r="Q843" t="str">
            <v>PAGO SERVICIO DE TELEFONÍA CELULAR, PERIODO FACTURADO: JULIO 17 A AGOSTO 16 DE 2018.</v>
          </cell>
          <cell r="R843">
            <v>692722</v>
          </cell>
          <cell r="S843">
            <v>0</v>
          </cell>
          <cell r="T843">
            <v>0</v>
          </cell>
          <cell r="U843">
            <v>692722</v>
          </cell>
          <cell r="V843">
            <v>692722</v>
          </cell>
        </row>
        <row r="844">
          <cell r="J844">
            <v>122</v>
          </cell>
          <cell r="K844">
            <v>43117</v>
          </cell>
          <cell r="L844" t="str">
            <v>CODENSA S. A. ESP</v>
          </cell>
          <cell r="M844">
            <v>28</v>
          </cell>
          <cell r="N844" t="str">
            <v>FACTURAS</v>
          </cell>
          <cell r="O844">
            <v>608365</v>
          </cell>
          <cell r="P844">
            <v>43117</v>
          </cell>
          <cell r="Q844" t="str">
            <v>PAGO DEL SERVICIOS DE ENERGIA DE LA CAJA DE LA VIVIENDA POPULAR PERIODO DEL12 DICIEMBRE AL 11 DE ENERO 2018</v>
          </cell>
          <cell r="R844">
            <v>11671210</v>
          </cell>
          <cell r="S844">
            <v>0</v>
          </cell>
          <cell r="T844">
            <v>0</v>
          </cell>
          <cell r="U844">
            <v>11671210</v>
          </cell>
          <cell r="V844">
            <v>11671210</v>
          </cell>
        </row>
        <row r="845">
          <cell r="J845">
            <v>1378</v>
          </cell>
          <cell r="K845">
            <v>43147</v>
          </cell>
          <cell r="L845" t="str">
            <v>CODENSA S. A. ESP</v>
          </cell>
          <cell r="M845">
            <v>28</v>
          </cell>
          <cell r="N845" t="str">
            <v>FACTURAS</v>
          </cell>
          <cell r="O845">
            <v>697031</v>
          </cell>
          <cell r="P845">
            <v>43147</v>
          </cell>
          <cell r="Q845" t="str">
            <v>PAGO DEL SERVICIOS DE ENERGIA DE LA CAJA DE LA VIVIENDA POPULAR, PERIODO FACTURADO AL 11 DE ENERO DE 2018 AL 09 DE FEBRERO DE 2018.</v>
          </cell>
          <cell r="R845">
            <v>12461870</v>
          </cell>
          <cell r="S845">
            <v>0</v>
          </cell>
          <cell r="T845">
            <v>0</v>
          </cell>
          <cell r="U845">
            <v>12461870</v>
          </cell>
          <cell r="V845">
            <v>12461870</v>
          </cell>
        </row>
        <row r="846">
          <cell r="J846">
            <v>1600</v>
          </cell>
          <cell r="K846">
            <v>43179</v>
          </cell>
          <cell r="L846" t="str">
            <v>CODENSA S. A. ESP</v>
          </cell>
          <cell r="M846">
            <v>28</v>
          </cell>
          <cell r="N846" t="str">
            <v>FACTURAS</v>
          </cell>
          <cell r="O846">
            <v>818060</v>
          </cell>
          <cell r="P846">
            <v>43179</v>
          </cell>
          <cell r="Q846" t="str">
            <v>PAGO DEL SERVICIOS DE ENERGIA DE LA CAJA DE LA VIVIENDA POPULAR, PERIODO FACTURADO AL 09 DE FEBRERO DE 2018 AL 09 DE MARZO DE 2018</v>
          </cell>
          <cell r="R846">
            <v>12139210</v>
          </cell>
          <cell r="S846">
            <v>0</v>
          </cell>
          <cell r="T846">
            <v>0</v>
          </cell>
          <cell r="U846">
            <v>12139210</v>
          </cell>
          <cell r="V846">
            <v>12139210</v>
          </cell>
        </row>
        <row r="847">
          <cell r="J847">
            <v>1805</v>
          </cell>
          <cell r="K847">
            <v>43207</v>
          </cell>
          <cell r="L847" t="str">
            <v>CODENSA S. A. ESP</v>
          </cell>
          <cell r="M847">
            <v>28</v>
          </cell>
          <cell r="N847" t="str">
            <v>FACTURAS</v>
          </cell>
          <cell r="O847">
            <v>886232</v>
          </cell>
          <cell r="P847">
            <v>43207</v>
          </cell>
          <cell r="Q847" t="str">
            <v>PAGO DEL SERVICIOS DE ENERGIA DE LA CAJA DE LA VIVIENDA POPULAR- CUENTA N°0429213-0, PERIODO FACTURADO: MARZO 9- ABRIL 11 DE 2018</v>
          </cell>
          <cell r="R847">
            <v>14173580</v>
          </cell>
          <cell r="S847">
            <v>0</v>
          </cell>
          <cell r="T847">
            <v>0</v>
          </cell>
          <cell r="U847">
            <v>14173580</v>
          </cell>
          <cell r="V847">
            <v>14173580</v>
          </cell>
        </row>
        <row r="848">
          <cell r="J848">
            <v>1917</v>
          </cell>
          <cell r="K848">
            <v>43241</v>
          </cell>
          <cell r="L848" t="str">
            <v>CODENSA S. A. ESP</v>
          </cell>
          <cell r="M848">
            <v>28</v>
          </cell>
          <cell r="N848" t="str">
            <v>FACTURAS</v>
          </cell>
          <cell r="O848">
            <v>138680</v>
          </cell>
          <cell r="P848">
            <v>43241</v>
          </cell>
          <cell r="Q848" t="str">
            <v>PAGO DEL SERVICIOS DE ENERGIA DE LA CAJA DE LA VIVIENDA POPULAR- CUENTA N0429213-0,PERIODO FCATURADO: ABRIL 11 A MAYO 10 DE 2018</v>
          </cell>
          <cell r="R848">
            <v>13018290</v>
          </cell>
          <cell r="S848">
            <v>0</v>
          </cell>
          <cell r="T848">
            <v>0</v>
          </cell>
          <cell r="U848">
            <v>13018290</v>
          </cell>
          <cell r="V848">
            <v>13018290</v>
          </cell>
        </row>
        <row r="849">
          <cell r="J849">
            <v>2037</v>
          </cell>
          <cell r="K849">
            <v>43271</v>
          </cell>
          <cell r="L849" t="str">
            <v>CODENSA S. A. ESP</v>
          </cell>
          <cell r="M849">
            <v>28</v>
          </cell>
          <cell r="N849" t="str">
            <v>FACTURAS</v>
          </cell>
          <cell r="O849">
            <v>3023709</v>
          </cell>
          <cell r="P849">
            <v>43271</v>
          </cell>
          <cell r="Q849" t="str">
            <v>PAGO DEL SERVICIOS DE ENERGIA DE LA CAJA DE LA VIVIENDA POPULAR S/G FACTURA 513023709 PERIODO MAYO 10 A JUNIO 12 DE 2018</v>
          </cell>
          <cell r="R849">
            <v>12747380</v>
          </cell>
          <cell r="S849">
            <v>0</v>
          </cell>
          <cell r="T849">
            <v>0</v>
          </cell>
          <cell r="U849">
            <v>12747380</v>
          </cell>
          <cell r="V849">
            <v>12747380</v>
          </cell>
        </row>
        <row r="850">
          <cell r="J850">
            <v>2502</v>
          </cell>
          <cell r="K850">
            <v>43299</v>
          </cell>
          <cell r="L850" t="str">
            <v>CODENSA S. A. ESP</v>
          </cell>
          <cell r="M850">
            <v>28</v>
          </cell>
          <cell r="N850" t="str">
            <v>FACTURAS</v>
          </cell>
          <cell r="O850">
            <v>384559</v>
          </cell>
          <cell r="P850">
            <v>43299</v>
          </cell>
          <cell r="Q850" t="str">
            <v>PAGO DEL SERVICIOS DE ENERGIA DE LA CAJA DE LA VIVIENDA POPULAR S/G FACTURA 516384559 PERIODO 12 JUNIO A 11 JULIO DE 2018</v>
          </cell>
          <cell r="R850">
            <v>12613650</v>
          </cell>
          <cell r="S850">
            <v>0</v>
          </cell>
          <cell r="T850">
            <v>0</v>
          </cell>
          <cell r="U850">
            <v>12613650</v>
          </cell>
          <cell r="V850">
            <v>12613650</v>
          </cell>
        </row>
        <row r="851">
          <cell r="J851">
            <v>1360</v>
          </cell>
          <cell r="K851">
            <v>43146</v>
          </cell>
          <cell r="L851" t="str">
            <v>EMPRESA DE ACUEDUCTO ALCANTARILLADO Y ASEO DE BOGOTA ESP</v>
          </cell>
          <cell r="M851">
            <v>115</v>
          </cell>
          <cell r="N851" t="str">
            <v>RECIBO</v>
          </cell>
          <cell r="O851">
            <v>416516</v>
          </cell>
          <cell r="P851">
            <v>43146</v>
          </cell>
          <cell r="Q851" t="str">
            <v>PAGO DEL SERVICIO DE ACUEDUCTO Y ALCANTARILLADO DE LA CAJA DE LA VIVIENDA POPULAR, PERIODO FACTURADO 16 DE NOVIEMBRE DE 2017-16 DE ENERO DE 2018</v>
          </cell>
          <cell r="R851">
            <v>3148870</v>
          </cell>
          <cell r="S851">
            <v>3148870</v>
          </cell>
          <cell r="T851">
            <v>0</v>
          </cell>
          <cell r="U851">
            <v>0</v>
          </cell>
          <cell r="V851">
            <v>0</v>
          </cell>
        </row>
        <row r="852">
          <cell r="J852">
            <v>1379</v>
          </cell>
          <cell r="K852">
            <v>43147</v>
          </cell>
          <cell r="L852" t="str">
            <v>EMPRESA DE ACUEDUCTO ALCANTARILLADO Y ASEO DE BOGOTA ESP</v>
          </cell>
          <cell r="M852">
            <v>28</v>
          </cell>
          <cell r="N852" t="str">
            <v>FACTURAS</v>
          </cell>
          <cell r="O852">
            <v>416516</v>
          </cell>
          <cell r="P852">
            <v>43147</v>
          </cell>
          <cell r="Q852" t="str">
            <v>PAGO DEL SERVICIO DE ACUEDUCTO Y ALCANTARILLADO DE LA CAJA DE LA VIVIENDA POPULAR, PERIODO FACTURADO 16 DE NOVIEMBRE DE 2017-16 DE ENERO DE 2018</v>
          </cell>
          <cell r="R852">
            <v>3148870</v>
          </cell>
          <cell r="S852">
            <v>0</v>
          </cell>
          <cell r="T852">
            <v>0</v>
          </cell>
          <cell r="U852">
            <v>3148870</v>
          </cell>
          <cell r="V852">
            <v>3148870</v>
          </cell>
        </row>
        <row r="853">
          <cell r="J853">
            <v>1804</v>
          </cell>
          <cell r="K853">
            <v>43206</v>
          </cell>
          <cell r="L853" t="str">
            <v>EMPRESA DE ACUEDUCTO ALCANTARILLADO Y ASEO DE BOGOTA ESP</v>
          </cell>
          <cell r="M853">
            <v>28</v>
          </cell>
          <cell r="N853" t="str">
            <v>FACTURAS</v>
          </cell>
          <cell r="O853">
            <v>864118</v>
          </cell>
          <cell r="P853">
            <v>43206</v>
          </cell>
          <cell r="Q853" t="str">
            <v>PAGO DEL SERVICIO DE ACUEDUCTO DE LA CAJA DE LA VIVIENDA POPULAR- PERIODO FACTURADO: ENERO 17 A MARZO 15 DE 2018</v>
          </cell>
          <cell r="R853">
            <v>4058310</v>
          </cell>
          <cell r="S853">
            <v>0</v>
          </cell>
          <cell r="T853">
            <v>0</v>
          </cell>
          <cell r="U853">
            <v>4058310</v>
          </cell>
          <cell r="V853">
            <v>4058310</v>
          </cell>
        </row>
        <row r="854">
          <cell r="J854">
            <v>2016</v>
          </cell>
          <cell r="K854">
            <v>43266</v>
          </cell>
          <cell r="L854" t="str">
            <v>EMPRESA DE ACUEDUCTO ALCANTARILLADO Y ASEO DE BOGOTA ESP</v>
          </cell>
          <cell r="M854">
            <v>28</v>
          </cell>
          <cell r="N854" t="str">
            <v>FACTURAS</v>
          </cell>
          <cell r="O854">
            <v>961012</v>
          </cell>
          <cell r="P854">
            <v>43266</v>
          </cell>
          <cell r="Q854" t="str">
            <v>PAGO DEL SERVICIO DE ACUEDUCTO Y ALCANTARILLADO DE LA CAJA DE LA VIVIENDA POPULAR PERIODO FACTURADO MARZO 16 A MAYO 16 DE 2018 S/G FACTURA 29420961012</v>
          </cell>
          <cell r="R854">
            <v>1901250</v>
          </cell>
          <cell r="S854">
            <v>0</v>
          </cell>
          <cell r="T854">
            <v>0</v>
          </cell>
          <cell r="U854">
            <v>1901250</v>
          </cell>
          <cell r="V854">
            <v>1901250</v>
          </cell>
        </row>
        <row r="855">
          <cell r="J855">
            <v>1380</v>
          </cell>
          <cell r="K855">
            <v>43147</v>
          </cell>
          <cell r="L855" t="str">
            <v>EMPRESA DE ACUEDUCTO ALCANTARILLADO Y ASEO DE BOGOTA ESP</v>
          </cell>
          <cell r="M855">
            <v>28</v>
          </cell>
          <cell r="N855" t="str">
            <v>FACTURAS</v>
          </cell>
          <cell r="O855">
            <v>807319</v>
          </cell>
          <cell r="P855">
            <v>43147</v>
          </cell>
          <cell r="Q855" t="str">
            <v>PAGO DEL SERVICIO DE ASEO DE LA CAJA DE LA VIVIENDA POPULAR, PERIODO FACTURADO 18 DE OCTUBRE DE 2017- 16 DE DICIEMBRE DE 2017</v>
          </cell>
          <cell r="R855">
            <v>1730670</v>
          </cell>
          <cell r="S855">
            <v>0</v>
          </cell>
          <cell r="T855">
            <v>0</v>
          </cell>
          <cell r="U855">
            <v>1730670</v>
          </cell>
          <cell r="V855">
            <v>1730670</v>
          </cell>
        </row>
        <row r="856">
          <cell r="J856">
            <v>1803</v>
          </cell>
          <cell r="K856">
            <v>43206</v>
          </cell>
          <cell r="L856" t="str">
            <v>EMPRESA DE ACUEDUCTO ALCANTARILLADO Y ASEO DE BOGOTA ESP</v>
          </cell>
          <cell r="M856">
            <v>28</v>
          </cell>
          <cell r="N856" t="str">
            <v>FACTURAS</v>
          </cell>
          <cell r="O856">
            <v>272015</v>
          </cell>
          <cell r="P856">
            <v>43206</v>
          </cell>
          <cell r="Q856" t="str">
            <v>PAGO DEL SERVICIO DE ASEO DE LA CAJA DE LA VIVIENDA POPULAR- PERIODO FACTURADO : DICIEMBRE 17 DE 2017 A FEBRERO 14 DE 2018</v>
          </cell>
          <cell r="R856">
            <v>1863913</v>
          </cell>
          <cell r="S856">
            <v>0</v>
          </cell>
          <cell r="T856">
            <v>0</v>
          </cell>
          <cell r="U856">
            <v>1863913</v>
          </cell>
          <cell r="V856">
            <v>1863913</v>
          </cell>
        </row>
        <row r="857">
          <cell r="J857">
            <v>313</v>
          </cell>
          <cell r="K857">
            <v>43122</v>
          </cell>
          <cell r="L857" t="str">
            <v>EMPRESA DE TELECOMUNICACIONES DE BOGOTA SA ESP</v>
          </cell>
          <cell r="M857">
            <v>28</v>
          </cell>
          <cell r="N857" t="str">
            <v>FACTURAS</v>
          </cell>
          <cell r="O857">
            <v>564832</v>
          </cell>
          <cell r="P857">
            <v>43122</v>
          </cell>
          <cell r="Q857" t="str">
            <v>PAGO DEL SERVICIO DE TELEFONO DE LA CAJA DE LA VIVIENDA POPULAR PERIODO FACTURADO DEL 01 DE DICIEMBRE AL 31 DICIEMBRE DE 2017</v>
          </cell>
          <cell r="R857">
            <v>5467334</v>
          </cell>
          <cell r="S857">
            <v>0</v>
          </cell>
          <cell r="T857">
            <v>0</v>
          </cell>
          <cell r="U857">
            <v>5467334</v>
          </cell>
          <cell r="V857">
            <v>5467334</v>
          </cell>
        </row>
        <row r="858">
          <cell r="J858">
            <v>1456</v>
          </cell>
          <cell r="K858">
            <v>43153</v>
          </cell>
          <cell r="L858" t="str">
            <v>EMPRESA DE TELECOMUNICACIONES DE BOGOTA SA ESP</v>
          </cell>
          <cell r="M858">
            <v>28</v>
          </cell>
          <cell r="N858" t="str">
            <v>FACTURAS</v>
          </cell>
          <cell r="O858">
            <v>37319</v>
          </cell>
          <cell r="P858">
            <v>43153</v>
          </cell>
          <cell r="Q858" t="str">
            <v>PAGO DE SERVICIO DE TELEFONO DE LA CAJA DE VIVIENDA POPULAR, PERIODO FACTURADO 01 DE ENERO DE 2018 - 31 DE ENERO DE 2018</v>
          </cell>
          <cell r="R858">
            <v>5852635</v>
          </cell>
          <cell r="S858">
            <v>0</v>
          </cell>
          <cell r="T858">
            <v>0</v>
          </cell>
          <cell r="U858">
            <v>5852635</v>
          </cell>
          <cell r="V858">
            <v>5852635</v>
          </cell>
        </row>
        <row r="859">
          <cell r="J859">
            <v>1619</v>
          </cell>
          <cell r="K859">
            <v>43181</v>
          </cell>
          <cell r="L859" t="str">
            <v>EMPRESA DE TELECOMUNICACIONES DE BOGOTA SA ESP</v>
          </cell>
          <cell r="M859">
            <v>28</v>
          </cell>
          <cell r="N859" t="str">
            <v>FACTURAS</v>
          </cell>
          <cell r="O859">
            <v>19533</v>
          </cell>
          <cell r="P859">
            <v>43181</v>
          </cell>
          <cell r="Q859" t="str">
            <v>PAGO DEL SERVICIO DE TELEFO DE LA CAJA DE LA VIVIENDA POPULAR PERIODO FACTURADO FEBRERO 01 AL 28 DE 2018</v>
          </cell>
          <cell r="R859">
            <v>5483480</v>
          </cell>
          <cell r="S859">
            <v>0</v>
          </cell>
          <cell r="T859">
            <v>0</v>
          </cell>
          <cell r="U859">
            <v>5483480</v>
          </cell>
          <cell r="V859">
            <v>5483480</v>
          </cell>
        </row>
        <row r="860">
          <cell r="J860">
            <v>1812</v>
          </cell>
          <cell r="K860">
            <v>43209</v>
          </cell>
          <cell r="L860" t="str">
            <v>EMPRESA DE TELECOMUNICACIONES DE BOGOTA SA ESP</v>
          </cell>
          <cell r="M860">
            <v>28</v>
          </cell>
          <cell r="N860" t="str">
            <v>FACTURAS</v>
          </cell>
          <cell r="O860">
            <v>970711</v>
          </cell>
          <cell r="P860">
            <v>43209</v>
          </cell>
          <cell r="Q860" t="str">
            <v>PAGO DEL SERVICIO DE TELEFO DE LA CAJA DE LA VIVIENDA POPULAR PERIODO FACTURADO: MARZO 1-31 DE 2018</v>
          </cell>
          <cell r="R860">
            <v>5483369</v>
          </cell>
          <cell r="S860">
            <v>0</v>
          </cell>
          <cell r="T860">
            <v>0</v>
          </cell>
          <cell r="U860">
            <v>5483369</v>
          </cell>
          <cell r="V860">
            <v>5483369</v>
          </cell>
        </row>
        <row r="861">
          <cell r="J861">
            <v>1922</v>
          </cell>
          <cell r="K861">
            <v>43241</v>
          </cell>
          <cell r="L861" t="str">
            <v>EMPRESA DE TELECOMUNICACIONES DE BOGOTA SA ESP</v>
          </cell>
          <cell r="M861">
            <v>28</v>
          </cell>
          <cell r="N861" t="str">
            <v>FACTURAS</v>
          </cell>
          <cell r="O861">
            <v>249536</v>
          </cell>
          <cell r="P861">
            <v>43241</v>
          </cell>
          <cell r="Q861" t="str">
            <v>PAGO DEL SERVICIO DE TELEFO DE LA CAJA DE LA VIVIENDA POPULAR PERIODO FACTURADO: MARZO1-31 DE 2018</v>
          </cell>
          <cell r="R861">
            <v>6302510</v>
          </cell>
          <cell r="S861">
            <v>6302510</v>
          </cell>
          <cell r="T861">
            <v>0</v>
          </cell>
          <cell r="U861">
            <v>0</v>
          </cell>
          <cell r="V861">
            <v>0</v>
          </cell>
        </row>
        <row r="862">
          <cell r="J862">
            <v>1930</v>
          </cell>
          <cell r="K862">
            <v>43242</v>
          </cell>
          <cell r="L862" t="str">
            <v>EMPRESA DE TELECOMUNICACIONES DE BOGOTA SA ESP</v>
          </cell>
          <cell r="M862">
            <v>28</v>
          </cell>
          <cell r="N862" t="str">
            <v>FACTURAS</v>
          </cell>
          <cell r="O862">
            <v>249536</v>
          </cell>
          <cell r="P862">
            <v>43242</v>
          </cell>
          <cell r="Q862" t="str">
            <v>PAGO DEL SERVICIO DE TELEFO DE LA CAJA DE LA VIVIENDA POPULAR. PERIODO FACTURADO : ABRIL 1-30 DE 2018</v>
          </cell>
          <cell r="R862">
            <v>6302510</v>
          </cell>
          <cell r="S862">
            <v>0</v>
          </cell>
          <cell r="T862">
            <v>0</v>
          </cell>
          <cell r="U862">
            <v>6302510</v>
          </cell>
          <cell r="V862">
            <v>6302510</v>
          </cell>
        </row>
        <row r="863">
          <cell r="J863">
            <v>2039</v>
          </cell>
          <cell r="K863">
            <v>43271</v>
          </cell>
          <cell r="L863" t="str">
            <v>EMPRESA DE TELECOMUNICACIONES DE BOGOTA SA ESP</v>
          </cell>
          <cell r="M863">
            <v>28</v>
          </cell>
          <cell r="N863" t="str">
            <v>FACTURAS</v>
          </cell>
          <cell r="O863">
            <v>545414</v>
          </cell>
          <cell r="P863">
            <v>43271</v>
          </cell>
          <cell r="Q863" t="str">
            <v>PAGO DEL SERVICIO DE TELEFONO DE LA CAJA DE LA VIVIENDA POPULAR, PERIODO FACTURADO : MAYO 1-31 DE 2018</v>
          </cell>
          <cell r="R863">
            <v>5786059</v>
          </cell>
          <cell r="S863">
            <v>0</v>
          </cell>
          <cell r="T863">
            <v>0</v>
          </cell>
          <cell r="U863">
            <v>5786059</v>
          </cell>
          <cell r="V863">
            <v>5786059</v>
          </cell>
        </row>
        <row r="864">
          <cell r="J864">
            <v>2503</v>
          </cell>
          <cell r="K864">
            <v>43299</v>
          </cell>
          <cell r="L864" t="str">
            <v>EMPRESA DE TELECOMUNICACIONES DE BOGOTA SA ESP</v>
          </cell>
          <cell r="M864">
            <v>28</v>
          </cell>
          <cell r="N864" t="str">
            <v>FACTURAS</v>
          </cell>
          <cell r="O864">
            <v>943433</v>
          </cell>
          <cell r="P864">
            <v>43299</v>
          </cell>
          <cell r="Q864" t="str">
            <v>PAGO DEL SERVICIO DE TELEFONO DE LA CAJA DE LA VIVIENDA POPULAR, PERIODO FACTURADO : JUNIO1-30 DE 2018</v>
          </cell>
          <cell r="R864">
            <v>5786759</v>
          </cell>
          <cell r="S864">
            <v>0</v>
          </cell>
          <cell r="T864">
            <v>0</v>
          </cell>
          <cell r="U864">
            <v>5786759</v>
          </cell>
          <cell r="V864">
            <v>5786759</v>
          </cell>
        </row>
        <row r="865">
          <cell r="J865">
            <v>220</v>
          </cell>
          <cell r="K865">
            <v>43118</v>
          </cell>
          <cell r="L865" t="str">
            <v>CODENSA S. A. ESP</v>
          </cell>
          <cell r="M865">
            <v>28</v>
          </cell>
          <cell r="N865" t="str">
            <v>FACTURAS</v>
          </cell>
          <cell r="O865">
            <v>608364</v>
          </cell>
          <cell r="P865">
            <v>43118</v>
          </cell>
          <cell r="Q865" t="str">
            <v>PAGO DE SERVICIOS PUBLICOS CAJA DE LA VIVIENDA POPULAR LOCAL CARRERA 13 54-21  PERIODO DICIEMBRE 12 AL 11 ENERO DE 2018</v>
          </cell>
          <cell r="R865">
            <v>255180</v>
          </cell>
          <cell r="S865">
            <v>0</v>
          </cell>
          <cell r="T865">
            <v>0</v>
          </cell>
          <cell r="U865">
            <v>255180</v>
          </cell>
          <cell r="V865">
            <v>255180</v>
          </cell>
        </row>
        <row r="866">
          <cell r="J866">
            <v>316</v>
          </cell>
          <cell r="K866">
            <v>43122</v>
          </cell>
          <cell r="L866" t="str">
            <v>EMPRESA DE ACUEDUCTO ALCANTARILLADO Y ASEO DE BOGOTA ESP</v>
          </cell>
          <cell r="M866">
            <v>28</v>
          </cell>
          <cell r="N866" t="str">
            <v>FACTURAS</v>
          </cell>
          <cell r="O866">
            <v>303816</v>
          </cell>
          <cell r="P866">
            <v>43122</v>
          </cell>
          <cell r="Q866" t="str">
            <v>PAGO DE SERVICIOS PUBLICOS CAJA DE LA VIVIENDA POPULAR LOCAL CARRERA 13 N. 54 13 PERIODO 19 OCTUBRE A DICIEMBRE 16 DE 2017</v>
          </cell>
          <cell r="R866">
            <v>253880</v>
          </cell>
          <cell r="S866">
            <v>0</v>
          </cell>
          <cell r="T866">
            <v>0</v>
          </cell>
          <cell r="U866">
            <v>253880</v>
          </cell>
          <cell r="V866">
            <v>253880</v>
          </cell>
        </row>
        <row r="867">
          <cell r="J867">
            <v>446</v>
          </cell>
          <cell r="K867">
            <v>43125</v>
          </cell>
          <cell r="L867" t="str">
            <v>CODENSA S. A. ESP</v>
          </cell>
          <cell r="M867">
            <v>28</v>
          </cell>
          <cell r="N867" t="str">
            <v>FACTURAS</v>
          </cell>
          <cell r="O867">
            <v>56370</v>
          </cell>
          <cell r="P867">
            <v>43125</v>
          </cell>
          <cell r="Q867" t="str">
            <v>PAGO DE SERVICIOS PUBLICOS CAJA DE LA VIVIENDA POPULAR CIUDAD BOLIVAR KR 73 57 R SUR- 12 LC 120   S/G FACTURA 496356370-0 PERIODO FACTURADO DICIEMBRE 16 DE 2017 A ENERO 17 DE 2018.</v>
          </cell>
          <cell r="R867">
            <v>28780</v>
          </cell>
          <cell r="S867">
            <v>0</v>
          </cell>
          <cell r="T867">
            <v>0</v>
          </cell>
          <cell r="U867">
            <v>28780</v>
          </cell>
          <cell r="V867">
            <v>28780</v>
          </cell>
        </row>
        <row r="868">
          <cell r="J868">
            <v>447</v>
          </cell>
          <cell r="K868">
            <v>43125</v>
          </cell>
          <cell r="L868" t="str">
            <v>EMPRESA DE ACUEDUCTO ALCANTARILLADO Y ASEO DE BOGOTA ESP</v>
          </cell>
          <cell r="M868">
            <v>28</v>
          </cell>
          <cell r="N868" t="str">
            <v>FACTURAS</v>
          </cell>
          <cell r="O868">
            <v>25015</v>
          </cell>
          <cell r="P868">
            <v>43125</v>
          </cell>
          <cell r="Q868" t="str">
            <v>PAGO DE SERVICIOS PUBLICOS CAJA DE LA VIVIENDA POPULAR BODEGA CL 70 NO. 23 46   S/G FACTURA 38909125015PERIODO FACTURADO OCTUBRE 24 DE 2017 A DICIEMBRE 21 DE 2017.</v>
          </cell>
          <cell r="R868">
            <v>148030</v>
          </cell>
          <cell r="S868">
            <v>0</v>
          </cell>
          <cell r="T868">
            <v>0</v>
          </cell>
          <cell r="U868">
            <v>148030</v>
          </cell>
          <cell r="V868">
            <v>148030</v>
          </cell>
        </row>
        <row r="869">
          <cell r="J869">
            <v>448</v>
          </cell>
          <cell r="K869">
            <v>43125</v>
          </cell>
          <cell r="L869" t="str">
            <v>EMPRESA DE ACUEDUCTO ALCANTARILLADO Y ASEO DE BOGOTA ESP</v>
          </cell>
          <cell r="M869">
            <v>28</v>
          </cell>
          <cell r="N869" t="str">
            <v>FACTURAS</v>
          </cell>
          <cell r="O869">
            <v>30012</v>
          </cell>
          <cell r="P869">
            <v>43125</v>
          </cell>
          <cell r="Q869" t="str">
            <v>PAGO DE SERVICIOS PUBLICOS CAJA DE LA VIVIENDA POPULAR CIUDAD BOLIVAR KR 73 59 SUR LC 120   S/G FACTURA 10783730012PERIODO FACTURADO OCTUBRE 24 DE 2017 A DICIEMBRE 21 DE 2017.</v>
          </cell>
          <cell r="R869">
            <v>63330</v>
          </cell>
          <cell r="S869">
            <v>0</v>
          </cell>
          <cell r="T869">
            <v>0</v>
          </cell>
          <cell r="U869">
            <v>63330</v>
          </cell>
          <cell r="V869">
            <v>63330</v>
          </cell>
        </row>
        <row r="870">
          <cell r="J870">
            <v>487</v>
          </cell>
          <cell r="K870">
            <v>43126</v>
          </cell>
          <cell r="L870" t="str">
            <v>COLOMBIA TELECOMUNICACIONES S A E S P</v>
          </cell>
          <cell r="M870">
            <v>28</v>
          </cell>
          <cell r="N870" t="str">
            <v>FACTURAS</v>
          </cell>
          <cell r="O870">
            <v>43506</v>
          </cell>
          <cell r="P870">
            <v>43126</v>
          </cell>
          <cell r="Q870" t="str">
            <v>PAGO DE SERVICIO DE TELEFONÍA CELULAR DE LA CAJA DE LA VIVIENDA POPULAR, PERIODO FACTURADO 17 DE ENERO DE 2018- 116 DE FEBRERO DE 2018</v>
          </cell>
          <cell r="R870">
            <v>534012</v>
          </cell>
          <cell r="S870">
            <v>0</v>
          </cell>
          <cell r="T870">
            <v>0</v>
          </cell>
          <cell r="U870">
            <v>534012</v>
          </cell>
          <cell r="V870">
            <v>534012</v>
          </cell>
        </row>
        <row r="871">
          <cell r="J871">
            <v>514</v>
          </cell>
          <cell r="K871">
            <v>43130</v>
          </cell>
          <cell r="L871" t="str">
            <v>CODENSA S. A. ESP</v>
          </cell>
          <cell r="M871">
            <v>28</v>
          </cell>
          <cell r="N871" t="str">
            <v>FACTURAS</v>
          </cell>
          <cell r="O871">
            <v>149404</v>
          </cell>
          <cell r="P871">
            <v>43130</v>
          </cell>
          <cell r="Q871" t="str">
            <v>PAGO DE SERVICIOS PUBLICOS CAJA DE LA VIVIENDA POPULAR, BODEGA CL 70 N° 23-46, FACTURA 1507149404.</v>
          </cell>
          <cell r="R871">
            <v>115640</v>
          </cell>
          <cell r="S871">
            <v>0</v>
          </cell>
          <cell r="T871">
            <v>0</v>
          </cell>
          <cell r="U871">
            <v>115640</v>
          </cell>
          <cell r="V871">
            <v>115640</v>
          </cell>
        </row>
        <row r="872">
          <cell r="J872">
            <v>753</v>
          </cell>
          <cell r="K872">
            <v>43137</v>
          </cell>
          <cell r="L872" t="str">
            <v>EMPRESA DE ACUEDUCTO ALCANTARILLADO Y ASEO DE BOGOTA ESP</v>
          </cell>
          <cell r="M872">
            <v>28</v>
          </cell>
          <cell r="N872" t="str">
            <v>FACTURAS</v>
          </cell>
          <cell r="O872">
            <v>58315</v>
          </cell>
          <cell r="P872">
            <v>43137</v>
          </cell>
          <cell r="Q872" t="str">
            <v>PAGO DE SERVICIOS PUBLICOS CAJA DE LA VIVIENDA POPULAR -OTROS PREDIOS. S/G FACTURA NO. 32760558315 PERIODO FACTURADO AGOSTO 19 DE 2017 A OCTUBRE 17 DE 2017.</v>
          </cell>
          <cell r="R872">
            <v>12390</v>
          </cell>
          <cell r="S872">
            <v>0</v>
          </cell>
          <cell r="T872">
            <v>0</v>
          </cell>
          <cell r="U872">
            <v>12390</v>
          </cell>
          <cell r="V872">
            <v>12390</v>
          </cell>
        </row>
        <row r="873">
          <cell r="J873">
            <v>754</v>
          </cell>
          <cell r="K873">
            <v>43137</v>
          </cell>
          <cell r="L873" t="str">
            <v>EMPRESA DE ACUEDUCTO ALCANTARILLADO Y ASEO DE BOGOTA ESP</v>
          </cell>
          <cell r="M873">
            <v>28</v>
          </cell>
          <cell r="N873" t="str">
            <v>FACTURAS</v>
          </cell>
          <cell r="O873">
            <v>1315</v>
          </cell>
          <cell r="P873">
            <v>43137</v>
          </cell>
          <cell r="Q873" t="str">
            <v>PAGO DE SERVICIOS PUBLICOS CAJA DE LA VIVIENDA POPULAR -OTROS PREDIOS. S/G FACTURA NO. 31385401315 PERIODO FACTURADO AGOSTO 19 DE 2017 A OCTUBRE 17 DE 2017.</v>
          </cell>
          <cell r="R873">
            <v>6200</v>
          </cell>
          <cell r="S873">
            <v>0</v>
          </cell>
          <cell r="T873">
            <v>0</v>
          </cell>
          <cell r="U873">
            <v>6200</v>
          </cell>
          <cell r="V873">
            <v>6200</v>
          </cell>
        </row>
        <row r="874">
          <cell r="J874">
            <v>1362</v>
          </cell>
          <cell r="K874">
            <v>43147</v>
          </cell>
          <cell r="L874" t="str">
            <v>CODENSA S. A. ESP</v>
          </cell>
          <cell r="M874">
            <v>28</v>
          </cell>
          <cell r="N874" t="str">
            <v>FACTURAS</v>
          </cell>
          <cell r="O874">
            <v>969702</v>
          </cell>
          <cell r="P874">
            <v>43147</v>
          </cell>
          <cell r="Q874" t="str">
            <v>PAGO DE SERVICIOS PUBLICOS CARRERA 13 # 54-21 S/G FACTURA 498969702 PERIODO FACTURO ENERO 11 DE 2018 A FEBRERO 09 DE 2018</v>
          </cell>
          <cell r="R874">
            <v>300200</v>
          </cell>
          <cell r="S874">
            <v>0</v>
          </cell>
          <cell r="T874">
            <v>0</v>
          </cell>
          <cell r="U874">
            <v>300200</v>
          </cell>
          <cell r="V874">
            <v>300200</v>
          </cell>
        </row>
        <row r="875">
          <cell r="J875">
            <v>1459</v>
          </cell>
          <cell r="K875">
            <v>43154</v>
          </cell>
          <cell r="L875" t="str">
            <v>CODENSA S. A. ESP</v>
          </cell>
          <cell r="M875">
            <v>28</v>
          </cell>
          <cell r="N875" t="str">
            <v>FACTURAS</v>
          </cell>
          <cell r="O875">
            <v>911907</v>
          </cell>
          <cell r="P875">
            <v>43154</v>
          </cell>
          <cell r="Q875" t="str">
            <v>PAGO DE SERVICIOS PUBLICOS CAJA DE LA VIVIENDA POPULAR CIUDAD BODEGA CL 70 N°23-46 S/G FACTURA N°499791190-7 PERIODO FACTURADO ENERO 18 DE 2018 A FEBRERO 16 DE 2018</v>
          </cell>
          <cell r="R875">
            <v>123440</v>
          </cell>
          <cell r="S875">
            <v>0</v>
          </cell>
          <cell r="T875">
            <v>0</v>
          </cell>
          <cell r="U875">
            <v>123440</v>
          </cell>
          <cell r="V875">
            <v>123440</v>
          </cell>
        </row>
        <row r="876">
          <cell r="J876">
            <v>1460</v>
          </cell>
          <cell r="K876">
            <v>43154</v>
          </cell>
          <cell r="L876" t="str">
            <v>CODENSA S. A. ESP</v>
          </cell>
          <cell r="M876">
            <v>28</v>
          </cell>
          <cell r="N876" t="str">
            <v>FACTURAS</v>
          </cell>
          <cell r="O876">
            <v>164835</v>
          </cell>
          <cell r="P876">
            <v>43154</v>
          </cell>
          <cell r="Q876" t="str">
            <v>PAGO DE SERVICIOS PUBLICOS CAJA DE LA VIVIENDA POPULAR CIUDAD BOLIVAR KR 73 57 R SUR- 12 LC 120 S/G FACTURA N°499716483-5 PERIODO FACTURADO ENERO 17 DE 2018 A FEBRERO 15 DE 2018</v>
          </cell>
          <cell r="R876">
            <v>22540</v>
          </cell>
          <cell r="S876">
            <v>0</v>
          </cell>
          <cell r="T876">
            <v>0</v>
          </cell>
          <cell r="U876">
            <v>22540</v>
          </cell>
          <cell r="V876">
            <v>22540</v>
          </cell>
        </row>
        <row r="877">
          <cell r="J877">
            <v>1466</v>
          </cell>
          <cell r="K877">
            <v>43154</v>
          </cell>
          <cell r="L877" t="str">
            <v>COLOMBIA TELECOMUNICACIONES S A E S P</v>
          </cell>
          <cell r="M877">
            <v>28</v>
          </cell>
          <cell r="N877" t="str">
            <v>FACTURAS</v>
          </cell>
          <cell r="O877">
            <v>16154</v>
          </cell>
          <cell r="P877">
            <v>43154</v>
          </cell>
          <cell r="Q877" t="str">
            <v>PAGO DE SERVICIO DE TELEFONÍA CELULAR DE LA CAJA DE VIVIENDA POPULAR, PERÍODO FACTURADO 17 DE FEBRERO DE 2018 - 16 DE MARZO DE 2018</v>
          </cell>
          <cell r="R877">
            <v>533942</v>
          </cell>
          <cell r="S877">
            <v>0</v>
          </cell>
          <cell r="T877">
            <v>0</v>
          </cell>
          <cell r="U877">
            <v>533942</v>
          </cell>
          <cell r="V877">
            <v>533942</v>
          </cell>
        </row>
        <row r="878">
          <cell r="J878">
            <v>1588</v>
          </cell>
          <cell r="K878">
            <v>43174</v>
          </cell>
          <cell r="L878" t="str">
            <v>EMPRESA DE ACUEDUCTO ALCANTARILLADO Y ASEO DE BOGOTA ESP</v>
          </cell>
          <cell r="M878">
            <v>28</v>
          </cell>
          <cell r="N878" t="str">
            <v>FACTURAS</v>
          </cell>
          <cell r="O878">
            <v>49013</v>
          </cell>
          <cell r="P878">
            <v>43174</v>
          </cell>
          <cell r="Q878" t="str">
            <v>PAGO DE SERVICIOS PUBLICOS CAJA DE LA VIVIENDA POPULAR CARRERA 13 N. 54-21 FACTURA 30074049013 PERIODO FACTURADO DICIEMBRE 17 DEL 2017 AL 14 DE FEBRERO 2018</v>
          </cell>
          <cell r="R878">
            <v>217148</v>
          </cell>
          <cell r="S878">
            <v>0</v>
          </cell>
          <cell r="T878">
            <v>0</v>
          </cell>
          <cell r="U878">
            <v>217148</v>
          </cell>
          <cell r="V878">
            <v>217148</v>
          </cell>
        </row>
        <row r="879">
          <cell r="J879">
            <v>1590</v>
          </cell>
          <cell r="K879">
            <v>43175</v>
          </cell>
          <cell r="L879" t="str">
            <v>CODENSA S. A. ESP</v>
          </cell>
          <cell r="M879">
            <v>28</v>
          </cell>
          <cell r="N879" t="str">
            <v>FACTURAS</v>
          </cell>
          <cell r="O879">
            <v>681805</v>
          </cell>
          <cell r="P879">
            <v>43175</v>
          </cell>
          <cell r="Q879" t="str">
            <v>PAGO DE SERVICIOS PUBLICOS CAJA DE LA VIVIENDA POPULAR CARRERA 13 # 54-21 S/G FACTURA 502681802 PERIODO FEBRERO 09 DE 2018 A MARZO 09 DE 2018</v>
          </cell>
          <cell r="R879">
            <v>317770</v>
          </cell>
          <cell r="S879">
            <v>0</v>
          </cell>
          <cell r="T879">
            <v>0</v>
          </cell>
          <cell r="U879">
            <v>317770</v>
          </cell>
          <cell r="V879">
            <v>317770</v>
          </cell>
        </row>
        <row r="880">
          <cell r="J880">
            <v>1614</v>
          </cell>
          <cell r="K880">
            <v>43181</v>
          </cell>
          <cell r="L880" t="str">
            <v>CODENSA S. A. ESP</v>
          </cell>
          <cell r="M880">
            <v>28</v>
          </cell>
          <cell r="N880" t="str">
            <v>FACTURAS</v>
          </cell>
          <cell r="O880">
            <v>595915</v>
          </cell>
          <cell r="P880">
            <v>43181</v>
          </cell>
          <cell r="Q880" t="str">
            <v>PAGO DE SERVICIOS PUBLICOS CAJA DE LA VIVIENDA POPULAR CIUDADA BOLIVAR KR 73 # 57 R SUR -12 LC 120 PERIODO 15 FEBRERO A 15 MARZO 2018</v>
          </cell>
          <cell r="R880">
            <v>24570</v>
          </cell>
          <cell r="S880">
            <v>0</v>
          </cell>
          <cell r="T880">
            <v>0</v>
          </cell>
          <cell r="U880">
            <v>24570</v>
          </cell>
          <cell r="V880">
            <v>24570</v>
          </cell>
        </row>
        <row r="881">
          <cell r="J881">
            <v>1616</v>
          </cell>
          <cell r="K881">
            <v>43181</v>
          </cell>
          <cell r="L881" t="str">
            <v>EMPRESA DE ACUEDUCTO ALCANTARILLADO Y ASEO DE BOGOTA ESP</v>
          </cell>
          <cell r="M881">
            <v>28</v>
          </cell>
          <cell r="N881" t="str">
            <v>FACTURAS</v>
          </cell>
          <cell r="O881">
            <v>444713</v>
          </cell>
          <cell r="P881">
            <v>43181</v>
          </cell>
          <cell r="Q881" t="str">
            <v>PAGO DE SERVICIOS PUBLICOS CAJA DE LA VIVIENDA POPULAR CIUDAD BOLIVAR KR 73 59 SUR LC 120 FACTURA 28033444713 PERIODO DICIEMBRE 22 DE 2017 A FEBRERO 20 DE 2018</v>
          </cell>
          <cell r="R881">
            <v>61453</v>
          </cell>
          <cell r="S881">
            <v>0</v>
          </cell>
          <cell r="T881">
            <v>0</v>
          </cell>
          <cell r="U881">
            <v>61453</v>
          </cell>
          <cell r="V881">
            <v>61453</v>
          </cell>
        </row>
        <row r="882">
          <cell r="J882">
            <v>1617</v>
          </cell>
          <cell r="K882">
            <v>43181</v>
          </cell>
          <cell r="L882" t="str">
            <v>CODENSA S. A. ESP</v>
          </cell>
          <cell r="M882">
            <v>28</v>
          </cell>
          <cell r="N882" t="str">
            <v>FACTURAS</v>
          </cell>
          <cell r="O882">
            <v>713430</v>
          </cell>
          <cell r="P882">
            <v>43181</v>
          </cell>
          <cell r="Q882" t="str">
            <v>PAGO DE SERVICIOS PUBLICOS CAJA DE LA VIVIENDA POPULAR BODEGA CL 70 # 23 46 S/G FACTURA 503713430 PERIODO FEBRERO 16 DE 2018 A MARZO 16 DE 2018</v>
          </cell>
          <cell r="R882">
            <v>140590</v>
          </cell>
          <cell r="S882">
            <v>0</v>
          </cell>
          <cell r="T882">
            <v>0</v>
          </cell>
          <cell r="U882">
            <v>140590</v>
          </cell>
          <cell r="V882">
            <v>140590</v>
          </cell>
        </row>
        <row r="883">
          <cell r="J883">
            <v>1618</v>
          </cell>
          <cell r="K883">
            <v>43181</v>
          </cell>
          <cell r="L883" t="str">
            <v>EMPRESA DE ACUEDUCTO ALCANTARILLADO Y ASEO DE BOGOTA ESP</v>
          </cell>
          <cell r="M883">
            <v>28</v>
          </cell>
          <cell r="N883" t="str">
            <v>FACTURAS</v>
          </cell>
          <cell r="O883">
            <v>5319811</v>
          </cell>
          <cell r="P883">
            <v>43181</v>
          </cell>
          <cell r="Q883" t="str">
            <v>PAGO DE SERVICIOS PUBLICOS CAJA DE LA VIVIENDA POPULAR BODEGA CL 70 A BIS 23-26 S/G FACTURA 30075319811 PERIODO DICIEMBRE 22 DE 2017 A FEBRERO 20 DE 2018</v>
          </cell>
          <cell r="R883">
            <v>133258</v>
          </cell>
          <cell r="S883">
            <v>0</v>
          </cell>
          <cell r="T883">
            <v>0</v>
          </cell>
          <cell r="U883">
            <v>133258</v>
          </cell>
          <cell r="V883">
            <v>133258</v>
          </cell>
        </row>
        <row r="884">
          <cell r="J884">
            <v>1660</v>
          </cell>
          <cell r="K884">
            <v>43185</v>
          </cell>
          <cell r="L884" t="str">
            <v>COLOMBIA TELECOMUNICACIONES S A E S P</v>
          </cell>
          <cell r="M884">
            <v>28</v>
          </cell>
          <cell r="N884" t="str">
            <v>FACTURAS</v>
          </cell>
          <cell r="O884">
            <v>11910</v>
          </cell>
          <cell r="P884">
            <v>43185</v>
          </cell>
          <cell r="Q884" t="str">
            <v>PAGO DE SERVICIO DE TELEFONÍA CELULAR DE LA CAJA DE VIVIENDA POPULAR, PERÍODO FACTURADO 17 DE MARZO AL 16 DE ABRIL DE 2018</v>
          </cell>
          <cell r="R884">
            <v>534012</v>
          </cell>
          <cell r="S884">
            <v>0</v>
          </cell>
          <cell r="T884">
            <v>0</v>
          </cell>
          <cell r="U884">
            <v>534012</v>
          </cell>
          <cell r="V884">
            <v>534012</v>
          </cell>
        </row>
        <row r="885">
          <cell r="J885">
            <v>1811</v>
          </cell>
          <cell r="K885">
            <v>43209</v>
          </cell>
          <cell r="L885" t="str">
            <v>CODENSA S. A. ESP</v>
          </cell>
          <cell r="M885">
            <v>28</v>
          </cell>
          <cell r="N885" t="str">
            <v>FACTURAS</v>
          </cell>
          <cell r="O885">
            <v>45478</v>
          </cell>
          <cell r="P885">
            <v>43209</v>
          </cell>
          <cell r="Q885" t="str">
            <v>PAGO DE SERVICIOS PUBLICOS CAJA DE LA VIVIENDA POPULAR CARRERA 13 N°54-21 S/G COMPROBANTE DE PAGO N°163004547-8 PERIODO FACTURADO MARZO09 DE 2018 A 11 DE ABRIL DE 2018</v>
          </cell>
          <cell r="R885">
            <v>340895</v>
          </cell>
          <cell r="S885">
            <v>0</v>
          </cell>
          <cell r="T885">
            <v>0</v>
          </cell>
          <cell r="U885">
            <v>340895</v>
          </cell>
          <cell r="V885">
            <v>340895</v>
          </cell>
        </row>
        <row r="886">
          <cell r="J886">
            <v>1839</v>
          </cell>
          <cell r="K886">
            <v>43214</v>
          </cell>
          <cell r="L886" t="str">
            <v>CODENSA S. A. ESP</v>
          </cell>
          <cell r="M886">
            <v>28</v>
          </cell>
          <cell r="N886" t="str">
            <v>FACTURAS</v>
          </cell>
          <cell r="O886">
            <v>391458</v>
          </cell>
          <cell r="P886">
            <v>43214</v>
          </cell>
          <cell r="Q886" t="str">
            <v>PAGO DE SERVICIOS PUBLICOS CAJA DE LA VIVIENDA POPULAR CIUDAD BOLIVAR KR 73 57 R SUR-12 LC 120 S/G FACTURA 507139145-8 PERIODO FACTURADO MARZO 15 DE 2018 A 17 ABRIL DE 2018</v>
          </cell>
          <cell r="R886">
            <v>27270</v>
          </cell>
          <cell r="S886">
            <v>0</v>
          </cell>
          <cell r="T886">
            <v>0</v>
          </cell>
          <cell r="U886">
            <v>27270</v>
          </cell>
          <cell r="V886">
            <v>27270</v>
          </cell>
        </row>
        <row r="887">
          <cell r="J887">
            <v>1841</v>
          </cell>
          <cell r="K887">
            <v>43214</v>
          </cell>
          <cell r="L887" t="str">
            <v>CODENSA S. A. ESP</v>
          </cell>
          <cell r="M887">
            <v>28</v>
          </cell>
          <cell r="N887" t="str">
            <v>FACTURAS</v>
          </cell>
          <cell r="O887">
            <v>106676</v>
          </cell>
          <cell r="P887">
            <v>43214</v>
          </cell>
          <cell r="Q887" t="str">
            <v>PAGO DE SERVICIOS PUBLICOS CAJA DE LA VIVIENDA POPULAR BODEGA CL 70A BIS N°23-46 S/G FACTURA 507210667-6 PERIODO FACTURADO MARZO16 DE 2018 A 17 ABRIL DE 2018</v>
          </cell>
          <cell r="R887">
            <v>149870</v>
          </cell>
          <cell r="S887">
            <v>0</v>
          </cell>
          <cell r="T887">
            <v>0</v>
          </cell>
          <cell r="U887">
            <v>149870</v>
          </cell>
          <cell r="V887">
            <v>149870</v>
          </cell>
        </row>
        <row r="888">
          <cell r="J888">
            <v>1848</v>
          </cell>
          <cell r="K888">
            <v>43217</v>
          </cell>
          <cell r="L888" t="str">
            <v>COLOMBIA TELECOMUNICACIONES S A E S P</v>
          </cell>
          <cell r="M888">
            <v>28</v>
          </cell>
          <cell r="N888" t="str">
            <v>FACTURAS</v>
          </cell>
          <cell r="O888">
            <v>493615</v>
          </cell>
          <cell r="P888">
            <v>43217</v>
          </cell>
          <cell r="Q888" t="str">
            <v>PAGO SERVICIO DE TELEFONÍA CELULAR CVP PERIODO 17 ABRIL A 16 MAYO DE 2018</v>
          </cell>
          <cell r="R888">
            <v>534012</v>
          </cell>
          <cell r="S888">
            <v>0</v>
          </cell>
          <cell r="T888">
            <v>0</v>
          </cell>
          <cell r="U888">
            <v>534012</v>
          </cell>
          <cell r="V888">
            <v>534012</v>
          </cell>
        </row>
        <row r="889">
          <cell r="J889">
            <v>1849</v>
          </cell>
          <cell r="K889">
            <v>43220</v>
          </cell>
          <cell r="L889" t="str">
            <v>EMPRESA DE ACUEDUCTO ALCANTARILLADO Y ASEO DE BOGOTA ESP</v>
          </cell>
          <cell r="M889">
            <v>28</v>
          </cell>
          <cell r="N889" t="str">
            <v>FACTURAS</v>
          </cell>
          <cell r="O889">
            <v>446714</v>
          </cell>
          <cell r="P889">
            <v>43220</v>
          </cell>
          <cell r="Q889" t="str">
            <v>PAGO DE SERVICIOS PUBLICOS PREDIOS - DE LA ENTIDAD S/G FACTURA 3278144614 PERIODO FACTURADO DICIEMBRE 21 A 14 DE FEBRERO DE 2018</v>
          </cell>
          <cell r="R889">
            <v>511229</v>
          </cell>
          <cell r="S889">
            <v>0</v>
          </cell>
          <cell r="T889">
            <v>0</v>
          </cell>
          <cell r="U889">
            <v>511229</v>
          </cell>
          <cell r="V889">
            <v>511229</v>
          </cell>
        </row>
        <row r="890">
          <cell r="J890">
            <v>1919</v>
          </cell>
          <cell r="K890">
            <v>43241</v>
          </cell>
          <cell r="L890" t="str">
            <v>EMPRESA DE ACUEDUCTO ALCANTARILLADO Y ASEO DE BOGOTA ESP</v>
          </cell>
          <cell r="M890">
            <v>28</v>
          </cell>
          <cell r="N890" t="str">
            <v>FACTURAS</v>
          </cell>
          <cell r="O890">
            <v>572214</v>
          </cell>
          <cell r="P890">
            <v>43241</v>
          </cell>
          <cell r="Q890" t="str">
            <v>PAGO DE SERVICIOS PUBLICOS CAJA DE LA VIVIENDA POPULAR CRA 13 54-13 S/G FACTURA 31419572214 PERIODO FEBRERO 15 AL 16 ABRIL 2018</v>
          </cell>
          <cell r="R890">
            <v>302740</v>
          </cell>
          <cell r="S890">
            <v>0</v>
          </cell>
          <cell r="T890">
            <v>0</v>
          </cell>
          <cell r="U890">
            <v>302740</v>
          </cell>
          <cell r="V890">
            <v>302740</v>
          </cell>
        </row>
        <row r="891">
          <cell r="J891">
            <v>1921</v>
          </cell>
          <cell r="K891">
            <v>43241</v>
          </cell>
          <cell r="L891" t="str">
            <v>CODENSA S. A. ESP</v>
          </cell>
          <cell r="M891">
            <v>28</v>
          </cell>
          <cell r="N891" t="str">
            <v>FACTURAS</v>
          </cell>
          <cell r="O891">
            <v>138673</v>
          </cell>
          <cell r="P891">
            <v>43241</v>
          </cell>
          <cell r="Q891" t="str">
            <v>PAGO DE SERVICIOS PUBLICOS CAJA DE LA VIVIENDA POPULAR LOCAL CARRERA 13 N°54-21 S/G FACTURA N°509713867-3 PERIODO FACTURADO ABRIL 11 DE 2018 A 10 DE MAYO DE 2018</v>
          </cell>
          <cell r="R891">
            <v>332760</v>
          </cell>
          <cell r="S891">
            <v>0</v>
          </cell>
          <cell r="T891">
            <v>0</v>
          </cell>
          <cell r="U891">
            <v>332760</v>
          </cell>
          <cell r="V891">
            <v>332760</v>
          </cell>
        </row>
        <row r="892">
          <cell r="J892">
            <v>1943</v>
          </cell>
          <cell r="K892">
            <v>43243</v>
          </cell>
          <cell r="L892" t="str">
            <v>EMPRESA DE ACUEDUCTO ALCANTARILLADO Y ASEO DE BOGOTA ESP</v>
          </cell>
          <cell r="M892">
            <v>28</v>
          </cell>
          <cell r="N892" t="str">
            <v>FACTURAS</v>
          </cell>
          <cell r="O892">
            <v>730313</v>
          </cell>
          <cell r="P892">
            <v>43243</v>
          </cell>
          <cell r="Q892" t="str">
            <v>PAGO DE SERVICIOS PUBLICOS CAJA DE LA VIVIENDA POPULAR BODEGA CL 70 BIS A BIS N.23 - 46 S/G FACTURA 28054730313 PERIODO FACTURADO 21 FEBRERO AL 21 ABRIL DE 2018</v>
          </cell>
          <cell r="R892">
            <v>150690</v>
          </cell>
          <cell r="S892">
            <v>0</v>
          </cell>
          <cell r="T892">
            <v>0</v>
          </cell>
          <cell r="U892">
            <v>150690</v>
          </cell>
          <cell r="V892">
            <v>150690</v>
          </cell>
        </row>
        <row r="893">
          <cell r="J893">
            <v>1944</v>
          </cell>
          <cell r="K893">
            <v>43243</v>
          </cell>
          <cell r="L893" t="str">
            <v>EMPRESA DE ACUEDUCTO ALCANTARILLADO Y ASEO DE BOGOTA ESP</v>
          </cell>
          <cell r="M893">
            <v>115</v>
          </cell>
          <cell r="N893" t="str">
            <v>RECIBO</v>
          </cell>
          <cell r="O893">
            <v>337012</v>
          </cell>
          <cell r="P893">
            <v>43243</v>
          </cell>
          <cell r="Q893" t="str">
            <v>PAGO DE SERVICIOS PUBLICOS CAJA DE LA VIVIENDA POPULAR, CIUDAD BOLIVAR KR 73 59 SUR 12 LC 120 FACTURA 25363337012</v>
          </cell>
          <cell r="R893">
            <v>65780</v>
          </cell>
          <cell r="S893">
            <v>0</v>
          </cell>
          <cell r="T893">
            <v>0</v>
          </cell>
          <cell r="U893">
            <v>65780</v>
          </cell>
          <cell r="V893">
            <v>65780</v>
          </cell>
        </row>
        <row r="894">
          <cell r="J894">
            <v>1953</v>
          </cell>
          <cell r="K894">
            <v>43244</v>
          </cell>
          <cell r="L894" t="str">
            <v>CODENSA S. A. ESP</v>
          </cell>
          <cell r="M894">
            <v>28</v>
          </cell>
          <cell r="N894" t="str">
            <v>FACTURAS</v>
          </cell>
          <cell r="O894">
            <v>469599</v>
          </cell>
          <cell r="P894">
            <v>43244</v>
          </cell>
          <cell r="Q894" t="str">
            <v>PAGO DE SERVICIOS PUBLICOS CAJA DE LA VIVIENDA POPULAR CIUDAD BOLIVAR KR 73 57 SUR CL 120 S/G FACTURA 510469599 PERIODO 17 ABRIL A MAYO 17 DE 2018</v>
          </cell>
          <cell r="R894">
            <v>24300</v>
          </cell>
          <cell r="S894">
            <v>0</v>
          </cell>
          <cell r="T894">
            <v>0</v>
          </cell>
          <cell r="U894">
            <v>24300</v>
          </cell>
          <cell r="V894">
            <v>24300</v>
          </cell>
        </row>
        <row r="895">
          <cell r="J895">
            <v>1954</v>
          </cell>
          <cell r="K895">
            <v>43244</v>
          </cell>
          <cell r="L895" t="str">
            <v>CODENSA S. A. ESP</v>
          </cell>
          <cell r="M895">
            <v>28</v>
          </cell>
          <cell r="N895" t="str">
            <v>FACTURAS</v>
          </cell>
          <cell r="O895">
            <v>545051</v>
          </cell>
          <cell r="P895">
            <v>43244</v>
          </cell>
          <cell r="Q895" t="str">
            <v>PAGO DE SERVICIOS PUBLICOS CAJA DE LA VIVIENDA POPULAR BODEGA CL 70 A BIS 23-46 S/G FACTURA 510545051 PERIODO ABRIL 18 A MAYO 18 DE 2018</v>
          </cell>
          <cell r="R895">
            <v>149380</v>
          </cell>
          <cell r="S895">
            <v>0</v>
          </cell>
          <cell r="T895">
            <v>0</v>
          </cell>
          <cell r="U895">
            <v>149380</v>
          </cell>
          <cell r="V895">
            <v>149380</v>
          </cell>
        </row>
        <row r="896">
          <cell r="J896">
            <v>1955</v>
          </cell>
          <cell r="K896">
            <v>43244</v>
          </cell>
          <cell r="L896" t="str">
            <v>EMPRESA DE ACUEDUCTO ALCANTARILLADO Y ASEO DE BOGOTA ESP</v>
          </cell>
          <cell r="M896">
            <v>28</v>
          </cell>
          <cell r="N896" t="str">
            <v>FACTURAS</v>
          </cell>
          <cell r="O896">
            <v>362114</v>
          </cell>
          <cell r="P896">
            <v>43244</v>
          </cell>
          <cell r="Q896" t="str">
            <v>PAGO DE SERVICIOS PUBLICOS CAJA DE LA VIVIENDA POPULAR OTROS PREDIOS DG 9B SUR ESTE 41 S/G FACTURA 27364362114</v>
          </cell>
          <cell r="R896">
            <v>310064</v>
          </cell>
          <cell r="S896">
            <v>0</v>
          </cell>
          <cell r="T896">
            <v>0</v>
          </cell>
          <cell r="U896">
            <v>310064</v>
          </cell>
          <cell r="V896">
            <v>310064</v>
          </cell>
        </row>
        <row r="897">
          <cell r="J897">
            <v>1959</v>
          </cell>
          <cell r="K897">
            <v>43249</v>
          </cell>
          <cell r="L897" t="str">
            <v>COLOMBIA TELECOMUNICACIONES S A E S P</v>
          </cell>
          <cell r="M897">
            <v>28</v>
          </cell>
          <cell r="N897" t="str">
            <v>FACTURAS</v>
          </cell>
          <cell r="O897">
            <v>287285</v>
          </cell>
          <cell r="P897">
            <v>43249</v>
          </cell>
          <cell r="Q897" t="str">
            <v>SERVICIO DE TELEFONÍA CELULAR DE LA CAJA DE LA VIVIENDA POPULAR, PERIODO FACTURADO: MAYO 17 A JUNIO 16 DE 2018</v>
          </cell>
          <cell r="R897">
            <v>534012</v>
          </cell>
          <cell r="S897">
            <v>0</v>
          </cell>
          <cell r="T897">
            <v>0</v>
          </cell>
          <cell r="U897">
            <v>534012</v>
          </cell>
          <cell r="V897">
            <v>534012</v>
          </cell>
        </row>
        <row r="898">
          <cell r="J898">
            <v>2031</v>
          </cell>
          <cell r="K898">
            <v>43269</v>
          </cell>
          <cell r="L898" t="str">
            <v>CODENSA S. A. ESP</v>
          </cell>
          <cell r="M898">
            <v>28</v>
          </cell>
          <cell r="N898" t="str">
            <v>FACTURAS</v>
          </cell>
          <cell r="O898">
            <v>3023708</v>
          </cell>
          <cell r="P898">
            <v>43269</v>
          </cell>
          <cell r="Q898" t="str">
            <v>PAGO DE SERVICIOS PUBLICOS CAJA DE LA VIVIENDA POPULAR LOCAL CARRERA 13 N. 54-21 S/G FACTURA 513023708 PERIODO FACTURADO MAYO 10 A 12 JUNIO DE2018</v>
          </cell>
          <cell r="R898">
            <v>259090</v>
          </cell>
          <cell r="S898">
            <v>0</v>
          </cell>
          <cell r="T898">
            <v>0</v>
          </cell>
          <cell r="U898">
            <v>259090</v>
          </cell>
          <cell r="V898">
            <v>259090</v>
          </cell>
        </row>
        <row r="899">
          <cell r="J899">
            <v>2145</v>
          </cell>
          <cell r="K899">
            <v>43276</v>
          </cell>
          <cell r="L899" t="str">
            <v>CODENSA S. A. ESP</v>
          </cell>
          <cell r="M899">
            <v>28</v>
          </cell>
          <cell r="N899" t="str">
            <v>FACTURAS</v>
          </cell>
          <cell r="O899">
            <v>874119</v>
          </cell>
          <cell r="P899">
            <v>43276</v>
          </cell>
          <cell r="Q899" t="str">
            <v>PAGO DE SERVICIOS PUBLICOS CAJA DE LA VIVIENDA POPULAR BODEGA CL 70 A BIS 23-46 S/G FACTURA 513874119 PERIODO MAYO 18 A 19 DE JUNIO DE 2018</v>
          </cell>
          <cell r="R899">
            <v>146070</v>
          </cell>
          <cell r="S899">
            <v>0</v>
          </cell>
          <cell r="T899">
            <v>0</v>
          </cell>
          <cell r="U899">
            <v>146070</v>
          </cell>
          <cell r="V899">
            <v>146070</v>
          </cell>
        </row>
        <row r="900">
          <cell r="J900">
            <v>2147</v>
          </cell>
          <cell r="K900">
            <v>43277</v>
          </cell>
          <cell r="L900" t="str">
            <v>COLOMBIA TELECOMUNICACIONES S A E S P</v>
          </cell>
          <cell r="M900">
            <v>28</v>
          </cell>
          <cell r="N900" t="str">
            <v>FACTURAS</v>
          </cell>
          <cell r="O900">
            <v>8061701</v>
          </cell>
          <cell r="P900">
            <v>43277</v>
          </cell>
          <cell r="Q900" t="str">
            <v>SERVICIO DE TELEFONÍA CELULAR CVP PERIODO JUNIO 17 A JULIO 16 DE 2018 S/G FACTURA EC178061701</v>
          </cell>
          <cell r="R900">
            <v>534012</v>
          </cell>
          <cell r="S900">
            <v>0</v>
          </cell>
          <cell r="T900">
            <v>0</v>
          </cell>
          <cell r="U900">
            <v>534012</v>
          </cell>
          <cell r="V900">
            <v>534012</v>
          </cell>
        </row>
        <row r="901">
          <cell r="J901">
            <v>2508</v>
          </cell>
          <cell r="K901">
            <v>43299</v>
          </cell>
          <cell r="L901" t="str">
            <v>EMPRESA DE ACUEDUCTO ALCANTARILLADO Y ASEO DE BOGOTA ESP</v>
          </cell>
          <cell r="M901">
            <v>28</v>
          </cell>
          <cell r="N901" t="str">
            <v>FACTURAS</v>
          </cell>
          <cell r="O901">
            <v>941717</v>
          </cell>
          <cell r="P901">
            <v>43299</v>
          </cell>
          <cell r="Q901" t="str">
            <v>PAGO DE SERVICIOS PUBLICOS CAJA DE LA VIVIENDA POPULAR LOCAL CARRERA 13 N. 54 21 PERIODO 17 ABRIL A JUNIO 15 DE 2018</v>
          </cell>
          <cell r="R901">
            <v>366980</v>
          </cell>
          <cell r="S901">
            <v>0</v>
          </cell>
          <cell r="T901">
            <v>0</v>
          </cell>
          <cell r="U901">
            <v>366980</v>
          </cell>
          <cell r="V901">
            <v>366980</v>
          </cell>
        </row>
        <row r="902">
          <cell r="J902">
            <v>2509</v>
          </cell>
          <cell r="K902">
            <v>43299</v>
          </cell>
          <cell r="L902" t="str">
            <v>CODENSA S. A. ESP</v>
          </cell>
          <cell r="M902">
            <v>28</v>
          </cell>
          <cell r="N902" t="str">
            <v>FACTURAS</v>
          </cell>
          <cell r="O902">
            <v>384923</v>
          </cell>
          <cell r="P902">
            <v>43299</v>
          </cell>
          <cell r="Q902" t="str">
            <v>PAGO DE SERVICIOS PUBLICOS CAJA DE LA VIVIENDA POPULAR CARRERA 13 54-21 PERIODO JUNIO 12 A JULIO 11 DE 2018</v>
          </cell>
          <cell r="R902">
            <v>269200</v>
          </cell>
          <cell r="S902">
            <v>0</v>
          </cell>
          <cell r="T902">
            <v>0</v>
          </cell>
          <cell r="U902">
            <v>269200</v>
          </cell>
          <cell r="V902">
            <v>269200</v>
          </cell>
        </row>
        <row r="903">
          <cell r="J903">
            <v>2510</v>
          </cell>
          <cell r="K903">
            <v>43299</v>
          </cell>
          <cell r="L903" t="str">
            <v>EMPRESA DE ACUEDUCTO ALCANTARILLADO Y ASEO DE BOGOTA ESP</v>
          </cell>
          <cell r="M903">
            <v>28</v>
          </cell>
          <cell r="N903" t="str">
            <v>FACTURAS</v>
          </cell>
          <cell r="O903">
            <v>4817318</v>
          </cell>
          <cell r="P903">
            <v>43299</v>
          </cell>
          <cell r="Q903" t="str">
            <v>PAGO DE SERVICIOS PUBLICOS CAJA DE LA VIVIENDA POPULAR BODEGA CL 70 BIS N. 23-46 PERIODO 22 ABRIL A 20 JUNIO DE 2018</v>
          </cell>
          <cell r="R903">
            <v>139090</v>
          </cell>
          <cell r="S903">
            <v>0</v>
          </cell>
          <cell r="T903">
            <v>0</v>
          </cell>
          <cell r="U903">
            <v>139090</v>
          </cell>
          <cell r="V903">
            <v>139090</v>
          </cell>
        </row>
        <row r="904">
          <cell r="J904">
            <v>2531</v>
          </cell>
          <cell r="K904">
            <v>43305</v>
          </cell>
          <cell r="L904" t="str">
            <v>COLOMBIA TELECOMUNICACIONES S A E S P</v>
          </cell>
          <cell r="M904">
            <v>28</v>
          </cell>
          <cell r="N904" t="str">
            <v>FACTURAS</v>
          </cell>
          <cell r="O904">
            <v>841394</v>
          </cell>
          <cell r="P904">
            <v>43305</v>
          </cell>
          <cell r="Q904" t="str">
            <v>SERVICIO DE TELEFONÍA CELULAR, PERIODO FACTURADO: JULIO 17 A AGOSTO 16 DE 2018.</v>
          </cell>
          <cell r="R904">
            <v>565357</v>
          </cell>
          <cell r="S904">
            <v>0</v>
          </cell>
          <cell r="T904">
            <v>0</v>
          </cell>
          <cell r="U904">
            <v>565357</v>
          </cell>
          <cell r="V904">
            <v>565357</v>
          </cell>
        </row>
        <row r="905">
          <cell r="J905">
            <v>2543</v>
          </cell>
          <cell r="K905">
            <v>43306</v>
          </cell>
          <cell r="L905" t="str">
            <v>CODENSA S. A. ESP</v>
          </cell>
          <cell r="M905">
            <v>28</v>
          </cell>
          <cell r="N905" t="str">
            <v>FACTURAS</v>
          </cell>
          <cell r="O905">
            <v>542832</v>
          </cell>
          <cell r="P905">
            <v>43306</v>
          </cell>
          <cell r="Q905" t="str">
            <v>PAGO DE SERVICIOS PUBLICOS CAJA DE LA VIVIENDA POPULAR - BODEGA CL 70 A BIS N. 23-46 PERIODO JUNIO 19 A JULIO 18 DE 2018</v>
          </cell>
          <cell r="R905">
            <v>153000</v>
          </cell>
          <cell r="S905">
            <v>0</v>
          </cell>
          <cell r="T905">
            <v>0</v>
          </cell>
          <cell r="U905">
            <v>153000</v>
          </cell>
          <cell r="V905">
            <v>153000</v>
          </cell>
        </row>
        <row r="906">
          <cell r="J906">
            <v>1585</v>
          </cell>
          <cell r="K906">
            <v>43174</v>
          </cell>
          <cell r="L906" t="str">
            <v>CAJA DE VIVIENDA POPULAR</v>
          </cell>
          <cell r="M906">
            <v>27</v>
          </cell>
          <cell r="N906" t="str">
            <v>CAJA MENOR</v>
          </cell>
          <cell r="O906">
            <v>2</v>
          </cell>
          <cell r="P906">
            <v>43174</v>
          </cell>
          <cell r="Q906" t="str">
            <v>REEMBOLSO DE CAJA MENOR DEL MES DE FEBRERO DE 2018</v>
          </cell>
          <cell r="R906">
            <v>114900</v>
          </cell>
          <cell r="S906">
            <v>0</v>
          </cell>
          <cell r="T906">
            <v>0</v>
          </cell>
          <cell r="U906">
            <v>114900</v>
          </cell>
          <cell r="V906">
            <v>114900</v>
          </cell>
        </row>
        <row r="907">
          <cell r="J907">
            <v>1820</v>
          </cell>
          <cell r="K907">
            <v>43209</v>
          </cell>
          <cell r="L907" t="str">
            <v>CAJA DE VIVIENDA POPULAR</v>
          </cell>
          <cell r="M907">
            <v>27</v>
          </cell>
          <cell r="N907" t="str">
            <v>CAJA MENOR</v>
          </cell>
          <cell r="O907">
            <v>3</v>
          </cell>
          <cell r="P907">
            <v>43209</v>
          </cell>
          <cell r="Q907" t="str">
            <v>REEMBOLSO CAJA MENOR DEL MES DE MARZO DE 2018.</v>
          </cell>
          <cell r="R907">
            <v>106000</v>
          </cell>
          <cell r="S907">
            <v>0</v>
          </cell>
          <cell r="T907">
            <v>0</v>
          </cell>
          <cell r="U907">
            <v>106000</v>
          </cell>
          <cell r="V907">
            <v>106000</v>
          </cell>
        </row>
        <row r="908">
          <cell r="J908">
            <v>1897</v>
          </cell>
          <cell r="K908">
            <v>43231</v>
          </cell>
          <cell r="L908" t="str">
            <v>CAJA DE VIVIENDA POPULAR</v>
          </cell>
          <cell r="M908">
            <v>27</v>
          </cell>
          <cell r="N908" t="str">
            <v>CAJA MENOR</v>
          </cell>
          <cell r="O908">
            <v>4</v>
          </cell>
          <cell r="P908">
            <v>43231</v>
          </cell>
          <cell r="Q908" t="str">
            <v>REEMBOLSO DE CAJA MENOR MES ABRIL DEL 2018</v>
          </cell>
          <cell r="R908">
            <v>13200</v>
          </cell>
          <cell r="S908">
            <v>0</v>
          </cell>
          <cell r="T908">
            <v>0</v>
          </cell>
          <cell r="U908">
            <v>13200</v>
          </cell>
          <cell r="V908">
            <v>13200</v>
          </cell>
        </row>
        <row r="909">
          <cell r="J909">
            <v>2042</v>
          </cell>
          <cell r="K909">
            <v>43271</v>
          </cell>
          <cell r="L909" t="str">
            <v>CAJA DE VIVIENDA POPULAR</v>
          </cell>
          <cell r="M909">
            <v>27</v>
          </cell>
          <cell r="N909" t="str">
            <v>CAJA MENOR</v>
          </cell>
          <cell r="O909">
            <v>5</v>
          </cell>
          <cell r="P909">
            <v>43271</v>
          </cell>
          <cell r="Q909" t="str">
            <v>REEMBOLSO DE CAJA MENOR MES DE MAYO DE 2018</v>
          </cell>
          <cell r="R909">
            <v>60000</v>
          </cell>
          <cell r="S909">
            <v>0</v>
          </cell>
          <cell r="T909">
            <v>0</v>
          </cell>
          <cell r="U909">
            <v>60000</v>
          </cell>
          <cell r="V909">
            <v>60000</v>
          </cell>
        </row>
        <row r="910">
          <cell r="J910">
            <v>2513</v>
          </cell>
          <cell r="K910">
            <v>43300</v>
          </cell>
          <cell r="L910" t="str">
            <v>CAJA DE VIVIENDA POPULAR</v>
          </cell>
          <cell r="M910">
            <v>27</v>
          </cell>
          <cell r="N910" t="str">
            <v>CAJA MENOR</v>
          </cell>
          <cell r="O910">
            <v>6</v>
          </cell>
          <cell r="P910">
            <v>43300</v>
          </cell>
          <cell r="Q910" t="str">
            <v>REEMBOLSO DE CAJA MENOR MES DE JUNIO DE 2018</v>
          </cell>
          <cell r="R910">
            <v>22000</v>
          </cell>
          <cell r="S910">
            <v>0</v>
          </cell>
          <cell r="T910">
            <v>0</v>
          </cell>
          <cell r="U910">
            <v>22000</v>
          </cell>
          <cell r="V910">
            <v>22000</v>
          </cell>
        </row>
        <row r="911">
          <cell r="J911">
            <v>1359</v>
          </cell>
          <cell r="K911">
            <v>43146</v>
          </cell>
          <cell r="L911" t="str">
            <v>CAJA DE VIVIENDA POPULAR</v>
          </cell>
          <cell r="M911">
            <v>27</v>
          </cell>
          <cell r="N911" t="str">
            <v>CAJA MENOR</v>
          </cell>
          <cell r="O911">
            <v>1</v>
          </cell>
          <cell r="P911">
            <v>43146</v>
          </cell>
          <cell r="Q911" t="str">
            <v>REEMBOLSO DE CAJA MENOR DEL MES DE ENERO DE 2018</v>
          </cell>
          <cell r="R911">
            <v>45200</v>
          </cell>
          <cell r="S911">
            <v>0</v>
          </cell>
          <cell r="T911">
            <v>0</v>
          </cell>
          <cell r="U911">
            <v>45200</v>
          </cell>
          <cell r="V911">
            <v>45200</v>
          </cell>
        </row>
        <row r="912">
          <cell r="J912">
            <v>1601</v>
          </cell>
          <cell r="K912">
            <v>43179</v>
          </cell>
          <cell r="L912" t="str">
            <v>CAJA DE VIVIENDA POPULAR</v>
          </cell>
          <cell r="M912">
            <v>27</v>
          </cell>
          <cell r="N912" t="str">
            <v>CAJA MENOR</v>
          </cell>
          <cell r="O912">
            <v>2</v>
          </cell>
          <cell r="P912">
            <v>43179</v>
          </cell>
          <cell r="Q912" t="str">
            <v>REEMBOLSO DE CAJA MENOR DEL MES DE FEBRERO DE 2018</v>
          </cell>
          <cell r="R912">
            <v>135800</v>
          </cell>
          <cell r="S912">
            <v>0</v>
          </cell>
          <cell r="T912">
            <v>0</v>
          </cell>
          <cell r="U912">
            <v>135800</v>
          </cell>
          <cell r="V912">
            <v>135800</v>
          </cell>
        </row>
        <row r="913">
          <cell r="J913">
            <v>1821</v>
          </cell>
          <cell r="K913">
            <v>43209</v>
          </cell>
          <cell r="L913" t="str">
            <v>CAJA DE VIVIENDA POPULAR</v>
          </cell>
          <cell r="M913">
            <v>27</v>
          </cell>
          <cell r="N913" t="str">
            <v>CAJA MENOR</v>
          </cell>
          <cell r="O913">
            <v>3</v>
          </cell>
          <cell r="P913">
            <v>43209</v>
          </cell>
          <cell r="Q913" t="str">
            <v>REEMBOLSO DE CAJA MENOR DEL MES DE MARZO DE 2018</v>
          </cell>
          <cell r="R913">
            <v>124700</v>
          </cell>
          <cell r="S913">
            <v>0</v>
          </cell>
          <cell r="T913">
            <v>0</v>
          </cell>
          <cell r="U913">
            <v>124700</v>
          </cell>
          <cell r="V913">
            <v>124700</v>
          </cell>
        </row>
        <row r="914">
          <cell r="J914">
            <v>1898</v>
          </cell>
          <cell r="K914">
            <v>43231</v>
          </cell>
          <cell r="L914" t="str">
            <v>CAJA DE VIVIENDA POPULAR</v>
          </cell>
          <cell r="M914">
            <v>27</v>
          </cell>
          <cell r="N914" t="str">
            <v>CAJA MENOR</v>
          </cell>
          <cell r="O914">
            <v>4</v>
          </cell>
          <cell r="P914">
            <v>43231</v>
          </cell>
          <cell r="Q914" t="str">
            <v>REEMBOLSO DE CAJA MENOR MES ABRIL DEL 2018</v>
          </cell>
          <cell r="R914">
            <v>153200</v>
          </cell>
          <cell r="S914">
            <v>0</v>
          </cell>
          <cell r="T914">
            <v>0</v>
          </cell>
          <cell r="U914">
            <v>153200</v>
          </cell>
          <cell r="V914">
            <v>153200</v>
          </cell>
        </row>
        <row r="915">
          <cell r="J915">
            <v>2043</v>
          </cell>
          <cell r="K915">
            <v>43271</v>
          </cell>
          <cell r="L915" t="str">
            <v>CAJA DE VIVIENDA POPULAR</v>
          </cell>
          <cell r="M915">
            <v>27</v>
          </cell>
          <cell r="N915" t="str">
            <v>CAJA MENOR</v>
          </cell>
          <cell r="O915">
            <v>5</v>
          </cell>
          <cell r="P915">
            <v>43271</v>
          </cell>
          <cell r="Q915" t="str">
            <v>REEMBOLSO DE CAJA MENOR MES DE MAYO DE 2018</v>
          </cell>
          <cell r="R915">
            <v>338815</v>
          </cell>
          <cell r="S915">
            <v>0</v>
          </cell>
          <cell r="T915">
            <v>0</v>
          </cell>
          <cell r="U915">
            <v>338815</v>
          </cell>
          <cell r="V915">
            <v>338815</v>
          </cell>
        </row>
        <row r="916">
          <cell r="J916">
            <v>2514</v>
          </cell>
          <cell r="K916">
            <v>43300</v>
          </cell>
          <cell r="L916" t="str">
            <v>CAJA DE VIVIENDA POPULAR</v>
          </cell>
          <cell r="M916">
            <v>27</v>
          </cell>
          <cell r="N916" t="str">
            <v>CAJA MENOR</v>
          </cell>
          <cell r="O916">
            <v>6</v>
          </cell>
          <cell r="P916">
            <v>43300</v>
          </cell>
          <cell r="Q916" t="str">
            <v>REEMBOLSO DE CAJA MENOR MES DE JUNIO DE 2018</v>
          </cell>
          <cell r="R916">
            <v>263500</v>
          </cell>
          <cell r="S916">
            <v>0</v>
          </cell>
          <cell r="T916">
            <v>0</v>
          </cell>
          <cell r="U916">
            <v>263500</v>
          </cell>
          <cell r="V916">
            <v>263500</v>
          </cell>
        </row>
        <row r="917">
          <cell r="J917">
            <v>1586</v>
          </cell>
          <cell r="K917">
            <v>43174</v>
          </cell>
          <cell r="L917" t="str">
            <v>CAJA DE VIVIENDA POPULAR</v>
          </cell>
          <cell r="M917">
            <v>27</v>
          </cell>
          <cell r="N917" t="str">
            <v>CAJA MENOR</v>
          </cell>
          <cell r="O917">
            <v>2</v>
          </cell>
          <cell r="P917">
            <v>43174</v>
          </cell>
          <cell r="Q917" t="str">
            <v>REEMBOLSO DE CAJA MENOR DEL MES DE FEBRERO DE 2018</v>
          </cell>
          <cell r="R917">
            <v>120000</v>
          </cell>
          <cell r="S917">
            <v>0</v>
          </cell>
          <cell r="T917">
            <v>0</v>
          </cell>
          <cell r="U917">
            <v>120000</v>
          </cell>
          <cell r="V917">
            <v>120000</v>
          </cell>
        </row>
        <row r="918">
          <cell r="J918">
            <v>1899</v>
          </cell>
          <cell r="K918">
            <v>43231</v>
          </cell>
          <cell r="L918" t="str">
            <v>CAJA DE VIVIENDA POPULAR</v>
          </cell>
          <cell r="M918">
            <v>27</v>
          </cell>
          <cell r="N918" t="str">
            <v>CAJA MENOR</v>
          </cell>
          <cell r="O918">
            <v>4</v>
          </cell>
          <cell r="P918">
            <v>43231</v>
          </cell>
          <cell r="Q918" t="str">
            <v>REEMBOLSO DE CAJA MENOR MES ABRIL DEL 2018</v>
          </cell>
          <cell r="R918">
            <v>38556</v>
          </cell>
          <cell r="S918">
            <v>0</v>
          </cell>
          <cell r="T918">
            <v>0</v>
          </cell>
          <cell r="U918">
            <v>38556</v>
          </cell>
          <cell r="V918">
            <v>38556</v>
          </cell>
        </row>
        <row r="919">
          <cell r="J919">
            <v>2044</v>
          </cell>
          <cell r="K919">
            <v>43271</v>
          </cell>
          <cell r="L919" t="str">
            <v>CAJA DE VIVIENDA POPULAR</v>
          </cell>
          <cell r="M919">
            <v>27</v>
          </cell>
          <cell r="N919" t="str">
            <v>CAJA MENOR</v>
          </cell>
          <cell r="O919">
            <v>5</v>
          </cell>
          <cell r="P919">
            <v>43271</v>
          </cell>
          <cell r="Q919" t="str">
            <v>REEMBOLSO DE CAJA MENOR MES DE MAYO DE 2018</v>
          </cell>
          <cell r="R919">
            <v>33900</v>
          </cell>
          <cell r="S919">
            <v>0</v>
          </cell>
          <cell r="T919">
            <v>0</v>
          </cell>
          <cell r="U919">
            <v>33900</v>
          </cell>
          <cell r="V919">
            <v>33900</v>
          </cell>
        </row>
        <row r="920">
          <cell r="J920">
            <v>2515</v>
          </cell>
          <cell r="K920">
            <v>43300</v>
          </cell>
          <cell r="L920" t="str">
            <v>CAJA DE VIVIENDA POPULAR</v>
          </cell>
          <cell r="M920">
            <v>27</v>
          </cell>
          <cell r="N920" t="str">
            <v>CAJA MENOR</v>
          </cell>
          <cell r="O920">
            <v>6</v>
          </cell>
          <cell r="P920">
            <v>43300</v>
          </cell>
          <cell r="Q920" t="str">
            <v>REEMBOLSO DE CAJA MENOR MES DE JUNIO DE 2018</v>
          </cell>
          <cell r="R920">
            <v>56700</v>
          </cell>
          <cell r="S920">
            <v>0</v>
          </cell>
          <cell r="T920">
            <v>0</v>
          </cell>
          <cell r="U920">
            <v>56700</v>
          </cell>
          <cell r="V920">
            <v>56700</v>
          </cell>
        </row>
        <row r="921">
          <cell r="J921">
            <v>1822</v>
          </cell>
          <cell r="K921">
            <v>43209</v>
          </cell>
          <cell r="L921" t="str">
            <v>CAJA DE VIVIENDA POPULAR</v>
          </cell>
          <cell r="M921">
            <v>27</v>
          </cell>
          <cell r="N921" t="str">
            <v>CAJA MENOR</v>
          </cell>
          <cell r="O921">
            <v>3</v>
          </cell>
          <cell r="P921">
            <v>43209</v>
          </cell>
          <cell r="Q921" t="str">
            <v>REEMBOLSO DE CAJA MENOR DEL MES DE MARZO DE 2018</v>
          </cell>
          <cell r="R921">
            <v>128300</v>
          </cell>
          <cell r="S921">
            <v>0</v>
          </cell>
          <cell r="T921">
            <v>0</v>
          </cell>
          <cell r="U921">
            <v>128300</v>
          </cell>
          <cell r="V921">
            <v>128300</v>
          </cell>
        </row>
        <row r="922">
          <cell r="J922">
            <v>2045</v>
          </cell>
          <cell r="K922">
            <v>43271</v>
          </cell>
          <cell r="L922" t="str">
            <v>CAJA DE VIVIENDA POPULAR</v>
          </cell>
          <cell r="M922">
            <v>27</v>
          </cell>
          <cell r="N922" t="str">
            <v>CAJA MENOR</v>
          </cell>
          <cell r="O922">
            <v>5</v>
          </cell>
          <cell r="P922">
            <v>43271</v>
          </cell>
          <cell r="Q922" t="str">
            <v>REEMBOLSO DE CAJA MENOR MES DE MAYO DE 2018</v>
          </cell>
          <cell r="R922">
            <v>100000</v>
          </cell>
          <cell r="S922">
            <v>0</v>
          </cell>
          <cell r="T922">
            <v>0</v>
          </cell>
          <cell r="U922">
            <v>100000</v>
          </cell>
          <cell r="V922">
            <v>100000</v>
          </cell>
        </row>
        <row r="923">
          <cell r="J923">
            <v>2516</v>
          </cell>
          <cell r="K923">
            <v>43300</v>
          </cell>
          <cell r="L923" t="str">
            <v>CAJA DE VIVIENDA POPULAR</v>
          </cell>
          <cell r="M923">
            <v>27</v>
          </cell>
          <cell r="N923" t="str">
            <v>CAJA MENOR</v>
          </cell>
          <cell r="O923">
            <v>6</v>
          </cell>
          <cell r="P923">
            <v>43300</v>
          </cell>
          <cell r="Q923" t="str">
            <v>REEMBOLSO DE CAJA MENOR MES DE JUNIO DE 2018</v>
          </cell>
          <cell r="R923">
            <v>121900</v>
          </cell>
          <cell r="S923">
            <v>0</v>
          </cell>
          <cell r="T923">
            <v>0</v>
          </cell>
          <cell r="U923">
            <v>121900</v>
          </cell>
          <cell r="V923">
            <v>121900</v>
          </cell>
        </row>
        <row r="924">
          <cell r="J924">
            <v>1587</v>
          </cell>
          <cell r="K924">
            <v>43174</v>
          </cell>
          <cell r="L924" t="str">
            <v>CAJA DE VIVIENDA POPULAR</v>
          </cell>
          <cell r="M924">
            <v>27</v>
          </cell>
          <cell r="N924" t="str">
            <v>CAJA MENOR</v>
          </cell>
          <cell r="O924">
            <v>2</v>
          </cell>
          <cell r="P924">
            <v>43174</v>
          </cell>
          <cell r="Q924" t="str">
            <v>REEMBOLSO DE CAJA MENOR DEL MES DE FEBRERO DE 2018</v>
          </cell>
          <cell r="R924">
            <v>124288</v>
          </cell>
          <cell r="S924">
            <v>0</v>
          </cell>
          <cell r="T924">
            <v>0</v>
          </cell>
          <cell r="U924">
            <v>124288</v>
          </cell>
          <cell r="V924">
            <v>124288</v>
          </cell>
        </row>
        <row r="925">
          <cell r="J925">
            <v>1823</v>
          </cell>
          <cell r="K925">
            <v>43209</v>
          </cell>
          <cell r="L925" t="str">
            <v>CAJA DE VIVIENDA POPULAR</v>
          </cell>
          <cell r="M925">
            <v>27</v>
          </cell>
          <cell r="N925" t="str">
            <v>CAJA MENOR</v>
          </cell>
          <cell r="O925">
            <v>3</v>
          </cell>
          <cell r="P925">
            <v>43209</v>
          </cell>
          <cell r="Q925" t="str">
            <v>REEMBOLSO DE CAJA MENOR DEL MES DE MARZO DE 2018</v>
          </cell>
          <cell r="R925">
            <v>45972</v>
          </cell>
          <cell r="S925">
            <v>0</v>
          </cell>
          <cell r="T925">
            <v>0</v>
          </cell>
          <cell r="U925">
            <v>45972</v>
          </cell>
          <cell r="V925">
            <v>45972</v>
          </cell>
        </row>
        <row r="926">
          <cell r="J926">
            <v>1900</v>
          </cell>
          <cell r="K926">
            <v>43231</v>
          </cell>
          <cell r="L926" t="str">
            <v>CAJA DE VIVIENDA POPULAR</v>
          </cell>
          <cell r="M926">
            <v>27</v>
          </cell>
          <cell r="N926" t="str">
            <v>CAJA MENOR</v>
          </cell>
          <cell r="O926">
            <v>4</v>
          </cell>
          <cell r="P926">
            <v>43231</v>
          </cell>
          <cell r="Q926" t="str">
            <v>REEMBOLSO DE CAJA MENOR MES ABRIL DEL 2018</v>
          </cell>
          <cell r="R926">
            <v>42545</v>
          </cell>
          <cell r="S926">
            <v>0</v>
          </cell>
          <cell r="T926">
            <v>0</v>
          </cell>
          <cell r="U926">
            <v>42545</v>
          </cell>
          <cell r="V926">
            <v>42545</v>
          </cell>
        </row>
        <row r="927">
          <cell r="J927">
            <v>2046</v>
          </cell>
          <cell r="K927">
            <v>43271</v>
          </cell>
          <cell r="L927" t="str">
            <v>CAJA DE VIVIENDA POPULAR</v>
          </cell>
          <cell r="M927">
            <v>27</v>
          </cell>
          <cell r="N927" t="str">
            <v>CAJA MENOR</v>
          </cell>
          <cell r="O927">
            <v>5</v>
          </cell>
          <cell r="P927">
            <v>43271</v>
          </cell>
          <cell r="Q927" t="str">
            <v>REEMBOLSO DE CAJA MENOR MES DE MAYO DE 2018</v>
          </cell>
          <cell r="R927">
            <v>122094</v>
          </cell>
          <cell r="S927">
            <v>0</v>
          </cell>
          <cell r="T927">
            <v>0</v>
          </cell>
          <cell r="U927">
            <v>122094</v>
          </cell>
          <cell r="V927">
            <v>122094</v>
          </cell>
        </row>
        <row r="928">
          <cell r="J928">
            <v>2517</v>
          </cell>
          <cell r="K928">
            <v>43300</v>
          </cell>
          <cell r="L928" t="str">
            <v>CAJA DE VIVIENDA POPULAR</v>
          </cell>
          <cell r="M928">
            <v>27</v>
          </cell>
          <cell r="N928" t="str">
            <v>CAJA MENOR</v>
          </cell>
          <cell r="O928">
            <v>6</v>
          </cell>
          <cell r="P928">
            <v>43300</v>
          </cell>
          <cell r="Q928" t="str">
            <v>REEMBOLSO DE CAJA MENOR MES DE JUNIO DE 2018</v>
          </cell>
          <cell r="R928">
            <v>126187</v>
          </cell>
          <cell r="S928">
            <v>0</v>
          </cell>
          <cell r="T928">
            <v>0</v>
          </cell>
          <cell r="U928">
            <v>126187</v>
          </cell>
          <cell r="V928">
            <v>126187</v>
          </cell>
        </row>
        <row r="929">
          <cell r="J929">
            <v>457</v>
          </cell>
          <cell r="K929">
            <v>43126</v>
          </cell>
          <cell r="L929" t="str">
            <v>GERMAN ALBERTO BAHAMON JARAMILLO</v>
          </cell>
          <cell r="M929">
            <v>31</v>
          </cell>
          <cell r="N929" t="str">
            <v>RESOLUCION</v>
          </cell>
          <cell r="O929">
            <v>198</v>
          </cell>
          <cell r="P929">
            <v>43126</v>
          </cell>
          <cell r="Q929" t="str">
            <v>PAGO DE PRESTACIONES SOCIALES DEFINITIVAS DE UN EXFUNCIONARIO DE LA ENTIDAD</v>
          </cell>
          <cell r="R929">
            <v>1910032</v>
          </cell>
          <cell r="S929">
            <v>1910032</v>
          </cell>
          <cell r="T929">
            <v>0</v>
          </cell>
          <cell r="U929">
            <v>0</v>
          </cell>
          <cell r="V929">
            <v>0</v>
          </cell>
        </row>
        <row r="930">
          <cell r="J930">
            <v>471</v>
          </cell>
          <cell r="K930">
            <v>43126</v>
          </cell>
          <cell r="L930" t="str">
            <v>GERMAN ALBERTO BAHAMON JARAMILLO</v>
          </cell>
          <cell r="M930">
            <v>31</v>
          </cell>
          <cell r="N930" t="str">
            <v>RESOLUCION</v>
          </cell>
          <cell r="O930">
            <v>198</v>
          </cell>
          <cell r="P930">
            <v>43126</v>
          </cell>
          <cell r="Q930" t="str">
            <v>PAGO DE PRESTACIONES SOCIALES DEFINITIVAS DE UN EXFUNCIONARIO DE LA ENTIDAD</v>
          </cell>
          <cell r="R930">
            <v>1910302</v>
          </cell>
          <cell r="S930">
            <v>0</v>
          </cell>
          <cell r="T930">
            <v>0</v>
          </cell>
          <cell r="U930">
            <v>1910302</v>
          </cell>
          <cell r="V930">
            <v>1910302</v>
          </cell>
        </row>
        <row r="931">
          <cell r="J931">
            <v>1939</v>
          </cell>
          <cell r="K931">
            <v>43242</v>
          </cell>
          <cell r="L931" t="str">
            <v>GERMAN ALBERTO BAHAMON JARAMILLO</v>
          </cell>
          <cell r="M931">
            <v>31</v>
          </cell>
          <cell r="N931" t="str">
            <v>RESOLUCION</v>
          </cell>
          <cell r="O931">
            <v>2068</v>
          </cell>
          <cell r="P931">
            <v>43242</v>
          </cell>
          <cell r="Q931" t="str">
            <v>PAGO DE REAJUSTE DE PRESTACIONES SOCIALES DEFINITIVAS DE UN EXFUNCIONARIO DE LA ENTIDAD</v>
          </cell>
          <cell r="R931">
            <v>41186</v>
          </cell>
          <cell r="S931">
            <v>0</v>
          </cell>
          <cell r="T931">
            <v>0</v>
          </cell>
          <cell r="U931">
            <v>41186</v>
          </cell>
          <cell r="V931">
            <v>41186</v>
          </cell>
        </row>
        <row r="932">
          <cell r="J932">
            <v>1939</v>
          </cell>
          <cell r="K932">
            <v>43242</v>
          </cell>
          <cell r="L932" t="str">
            <v>GERMAN ALBERTO BAHAMON JARAMILLO</v>
          </cell>
          <cell r="M932">
            <v>31</v>
          </cell>
          <cell r="N932" t="str">
            <v>RESOLUCION</v>
          </cell>
          <cell r="O932">
            <v>2068</v>
          </cell>
          <cell r="P932">
            <v>43242</v>
          </cell>
          <cell r="Q932" t="str">
            <v>PAGO DE REAJUSTE DE PRESTACIONES SOCIALES DEFINITIVAS DE UN EXFUNCIONARIO DE LA ENTIDAD</v>
          </cell>
          <cell r="R932">
            <v>41186</v>
          </cell>
          <cell r="S932">
            <v>0</v>
          </cell>
          <cell r="T932">
            <v>0</v>
          </cell>
          <cell r="U932">
            <v>41186</v>
          </cell>
          <cell r="V932">
            <v>41186</v>
          </cell>
        </row>
        <row r="933">
          <cell r="J933">
            <v>456</v>
          </cell>
          <cell r="K933">
            <v>43126</v>
          </cell>
          <cell r="L933" t="str">
            <v>GERMAN ALBERTO BAHAMON JARAMILLO</v>
          </cell>
          <cell r="M933">
            <v>31</v>
          </cell>
          <cell r="N933" t="str">
            <v>RESOLUCION</v>
          </cell>
          <cell r="O933">
            <v>198</v>
          </cell>
          <cell r="P933">
            <v>43126</v>
          </cell>
          <cell r="Q933" t="str">
            <v>PAGO DE PRESTACIONES SOCIALES DEFINITIVAS DE UN EXFUNCIONARIO DE LA ENTIDAD</v>
          </cell>
          <cell r="R933">
            <v>2103607</v>
          </cell>
          <cell r="S933">
            <v>0</v>
          </cell>
          <cell r="T933">
            <v>0</v>
          </cell>
          <cell r="U933">
            <v>2103607</v>
          </cell>
          <cell r="V933">
            <v>2103607</v>
          </cell>
        </row>
        <row r="934">
          <cell r="J934">
            <v>479</v>
          </cell>
          <cell r="K934">
            <v>43126</v>
          </cell>
          <cell r="L934" t="str">
            <v>MARCELA  SIERRA CUELLO</v>
          </cell>
          <cell r="M934">
            <v>31</v>
          </cell>
          <cell r="N934" t="str">
            <v>RESOLUCION</v>
          </cell>
          <cell r="O934">
            <v>199</v>
          </cell>
          <cell r="P934">
            <v>43126</v>
          </cell>
          <cell r="Q934" t="str">
            <v>CUBRIR EL PAGO DE PRIMA DE NAVIDAD DE TRES EX FUNCIONARIOS DE LA ENTIDAD.</v>
          </cell>
          <cell r="R934">
            <v>869758</v>
          </cell>
          <cell r="S934">
            <v>0</v>
          </cell>
          <cell r="T934">
            <v>0</v>
          </cell>
          <cell r="U934">
            <v>869758</v>
          </cell>
          <cell r="V934">
            <v>869758</v>
          </cell>
        </row>
        <row r="935">
          <cell r="J935">
            <v>551</v>
          </cell>
          <cell r="K935">
            <v>43133</v>
          </cell>
          <cell r="L935" t="str">
            <v>JUAN MANUEL RODRIGUEZ PARRA</v>
          </cell>
          <cell r="M935">
            <v>31</v>
          </cell>
          <cell r="N935" t="str">
            <v>RESOLUCION</v>
          </cell>
          <cell r="O935">
            <v>200</v>
          </cell>
          <cell r="P935">
            <v>43102</v>
          </cell>
          <cell r="Q935" t="str">
            <v>PAGO DE PRTESTACIONES SOCIALES DEFINITIVAS A EXFUNCIONARIO DE LA ENTIDAD.</v>
          </cell>
          <cell r="R935">
            <v>812003</v>
          </cell>
          <cell r="S935">
            <v>0</v>
          </cell>
          <cell r="T935">
            <v>0</v>
          </cell>
          <cell r="U935">
            <v>812003</v>
          </cell>
          <cell r="V935">
            <v>812003</v>
          </cell>
        </row>
        <row r="936">
          <cell r="J936">
            <v>1941</v>
          </cell>
          <cell r="K936">
            <v>43242</v>
          </cell>
          <cell r="L936" t="str">
            <v>GERMAN ALBERTO BAHAMON JARAMILLO</v>
          </cell>
          <cell r="M936">
            <v>31</v>
          </cell>
          <cell r="N936" t="str">
            <v>RESOLUCION</v>
          </cell>
          <cell r="O936">
            <v>2068</v>
          </cell>
          <cell r="P936">
            <v>43242</v>
          </cell>
          <cell r="Q936" t="str">
            <v>PAGO DE REAJUSTE DE PRESTACIONES SOCIALES DEFINITIVAS DE UN EXFUNCIONARIO DE LA ENTIDAD</v>
          </cell>
          <cell r="R936">
            <v>112850</v>
          </cell>
          <cell r="S936">
            <v>0</v>
          </cell>
          <cell r="T936">
            <v>0</v>
          </cell>
          <cell r="U936">
            <v>112850</v>
          </cell>
          <cell r="V936">
            <v>112850</v>
          </cell>
        </row>
        <row r="937">
          <cell r="J937">
            <v>2496</v>
          </cell>
          <cell r="K937">
            <v>43298</v>
          </cell>
          <cell r="L937" t="str">
            <v>CAROLINA  FERNANDEZ BOLAÑOS</v>
          </cell>
          <cell r="M937">
            <v>31</v>
          </cell>
          <cell r="N937" t="str">
            <v>RESOLUCION</v>
          </cell>
          <cell r="O937">
            <v>2067</v>
          </cell>
          <cell r="P937">
            <v>43298</v>
          </cell>
          <cell r="Q937" t="str">
            <v>PAGO DE PRESTACIONES SOCIALES DEFINITIVAS DE UN EXFUNCIONARIO DE LA ENTIDAD</v>
          </cell>
          <cell r="R937">
            <v>710864</v>
          </cell>
          <cell r="S937">
            <v>0</v>
          </cell>
          <cell r="T937">
            <v>0</v>
          </cell>
          <cell r="U937">
            <v>710864</v>
          </cell>
          <cell r="V937">
            <v>0</v>
          </cell>
        </row>
        <row r="938">
          <cell r="J938">
            <v>457</v>
          </cell>
          <cell r="K938">
            <v>43126</v>
          </cell>
          <cell r="L938" t="str">
            <v>GERMAN ALBERTO BAHAMON JARAMILLO</v>
          </cell>
          <cell r="M938">
            <v>31</v>
          </cell>
          <cell r="N938" t="str">
            <v>RESOLUCION</v>
          </cell>
          <cell r="O938">
            <v>198</v>
          </cell>
          <cell r="P938">
            <v>43126</v>
          </cell>
          <cell r="Q938" t="str">
            <v>PAGO DE PRESTACIONES SOCIALES DEFINITIVAS DE UN EXFUNCIONARIO DE LA ENTIDAD</v>
          </cell>
          <cell r="R938">
            <v>9910663</v>
          </cell>
          <cell r="S938">
            <v>9910663</v>
          </cell>
          <cell r="T938">
            <v>0</v>
          </cell>
          <cell r="U938">
            <v>0</v>
          </cell>
          <cell r="V938">
            <v>0</v>
          </cell>
        </row>
        <row r="939">
          <cell r="J939">
            <v>471</v>
          </cell>
          <cell r="K939">
            <v>43126</v>
          </cell>
          <cell r="L939" t="str">
            <v>GERMAN ALBERTO BAHAMON JARAMILLO</v>
          </cell>
          <cell r="M939">
            <v>31</v>
          </cell>
          <cell r="N939" t="str">
            <v>RESOLUCION</v>
          </cell>
          <cell r="O939">
            <v>198</v>
          </cell>
          <cell r="P939">
            <v>43126</v>
          </cell>
          <cell r="Q939" t="str">
            <v>PAGO DE PRESTACIONES SOCIALES DEFINITIVAS DE UN EXFUNCIONARIO DE LA ENTIDAD</v>
          </cell>
          <cell r="R939">
            <v>9910663</v>
          </cell>
          <cell r="S939">
            <v>0</v>
          </cell>
          <cell r="T939">
            <v>0</v>
          </cell>
          <cell r="U939">
            <v>9910663</v>
          </cell>
          <cell r="V939">
            <v>9910663</v>
          </cell>
        </row>
        <row r="940">
          <cell r="J940">
            <v>476</v>
          </cell>
          <cell r="K940">
            <v>43126</v>
          </cell>
          <cell r="L940" t="str">
            <v>MARCELA  SIERRA CUELLO</v>
          </cell>
          <cell r="M940">
            <v>31</v>
          </cell>
          <cell r="N940" t="str">
            <v>RESOLUCION</v>
          </cell>
          <cell r="O940">
            <v>199</v>
          </cell>
          <cell r="P940">
            <v>43126</v>
          </cell>
          <cell r="Q940" t="str">
            <v>PAGO DE PRESTACIONES SOCIALES DEFINITIVAS DE UNA EXFUNCIANROA DE LA ENTIDAD</v>
          </cell>
          <cell r="R940">
            <v>15454632</v>
          </cell>
          <cell r="S940">
            <v>0</v>
          </cell>
          <cell r="T940">
            <v>0</v>
          </cell>
          <cell r="U940">
            <v>15454632</v>
          </cell>
          <cell r="V940">
            <v>15454632</v>
          </cell>
        </row>
        <row r="941">
          <cell r="J941">
            <v>542</v>
          </cell>
          <cell r="K941">
            <v>43133</v>
          </cell>
          <cell r="L941" t="str">
            <v>JUAN MANUEL RODRIGUEZ PARRA</v>
          </cell>
          <cell r="M941">
            <v>31</v>
          </cell>
          <cell r="N941" t="str">
            <v>RESOLUCION</v>
          </cell>
          <cell r="O941">
            <v>200</v>
          </cell>
          <cell r="P941">
            <v>43102</v>
          </cell>
          <cell r="Q941" t="str">
            <v>PAGO DE PRTESTACIONES SOCIALES DEFINITIVAS A EXFUNCIONARIO DE LA ENTIDAD</v>
          </cell>
          <cell r="R941">
            <v>9402892</v>
          </cell>
          <cell r="S941">
            <v>0</v>
          </cell>
          <cell r="T941">
            <v>0</v>
          </cell>
          <cell r="U941">
            <v>9402892</v>
          </cell>
          <cell r="V941">
            <v>9402892</v>
          </cell>
        </row>
        <row r="942">
          <cell r="J942">
            <v>1939</v>
          </cell>
          <cell r="K942">
            <v>43242</v>
          </cell>
          <cell r="L942" t="str">
            <v>GERMAN ALBERTO BAHAMON JARAMILLO</v>
          </cell>
          <cell r="M942">
            <v>31</v>
          </cell>
          <cell r="N942" t="str">
            <v>RESOLUCION</v>
          </cell>
          <cell r="O942">
            <v>2068</v>
          </cell>
          <cell r="P942">
            <v>43242</v>
          </cell>
          <cell r="Q942" t="str">
            <v>PAGO DE REAJUSTE DE PRESTACIONES SOCIALES DEFINITIVAS DE UN EXFUNCIONARIO DE LA ENTIDAD</v>
          </cell>
          <cell r="R942">
            <v>473355</v>
          </cell>
          <cell r="S942">
            <v>0</v>
          </cell>
          <cell r="T942">
            <v>0</v>
          </cell>
          <cell r="U942">
            <v>473355</v>
          </cell>
          <cell r="V942">
            <v>473355</v>
          </cell>
        </row>
        <row r="943">
          <cell r="J943">
            <v>2498</v>
          </cell>
          <cell r="K943">
            <v>43298</v>
          </cell>
          <cell r="L943" t="str">
            <v>CAROLINA  FERNANDEZ BOLAÑOS</v>
          </cell>
          <cell r="M943">
            <v>31</v>
          </cell>
          <cell r="N943" t="str">
            <v>RESOLUCION</v>
          </cell>
          <cell r="O943">
            <v>2067</v>
          </cell>
          <cell r="P943">
            <v>43298</v>
          </cell>
          <cell r="Q943" t="str">
            <v>PAGO DE PRESTACIONES SOCIALES DEFINITIVAS DE UN EXFUNCIONARIO DE LA ENTIDAD</v>
          </cell>
          <cell r="R943">
            <v>1237653</v>
          </cell>
          <cell r="S943">
            <v>0</v>
          </cell>
          <cell r="T943">
            <v>0</v>
          </cell>
          <cell r="U943">
            <v>1237653</v>
          </cell>
          <cell r="V943">
            <v>0</v>
          </cell>
        </row>
        <row r="944">
          <cell r="J944">
            <v>1939</v>
          </cell>
          <cell r="K944">
            <v>43242</v>
          </cell>
          <cell r="L944" t="str">
            <v>GERMAN ALBERTO BAHAMON JARAMILLO</v>
          </cell>
          <cell r="M944">
            <v>31</v>
          </cell>
          <cell r="N944" t="str">
            <v>RESOLUCION</v>
          </cell>
          <cell r="O944">
            <v>2068</v>
          </cell>
          <cell r="P944">
            <v>43242</v>
          </cell>
          <cell r="Q944" t="str">
            <v>PAGO DE REAJUSTE DE PRESTACIONES SOCIALES DEFINITIVAS DE UN EXFUNCIONARIO DE LA ENTIDAD</v>
          </cell>
          <cell r="R944">
            <v>20593</v>
          </cell>
          <cell r="S944">
            <v>0</v>
          </cell>
          <cell r="T944">
            <v>0</v>
          </cell>
          <cell r="U944">
            <v>20593</v>
          </cell>
          <cell r="V944">
            <v>20593</v>
          </cell>
        </row>
        <row r="945">
          <cell r="J945">
            <v>459</v>
          </cell>
          <cell r="K945">
            <v>43126</v>
          </cell>
          <cell r="L945" t="str">
            <v>GERMAN ALBERTO BAHAMON JARAMILLO</v>
          </cell>
          <cell r="M945">
            <v>31</v>
          </cell>
          <cell r="N945" t="str">
            <v>RESOLUCION</v>
          </cell>
          <cell r="O945">
            <v>198</v>
          </cell>
          <cell r="P945">
            <v>43126</v>
          </cell>
          <cell r="Q945" t="str">
            <v>PAGO DE PRESTACIONES SOCIALES DEFINITIVAS DE UN EXFUNCIONARIO DE LE ENTIDAD</v>
          </cell>
          <cell r="R945">
            <v>13874928</v>
          </cell>
          <cell r="S945">
            <v>0</v>
          </cell>
          <cell r="T945">
            <v>0</v>
          </cell>
          <cell r="U945">
            <v>13874928</v>
          </cell>
          <cell r="V945">
            <v>13874928</v>
          </cell>
        </row>
        <row r="946">
          <cell r="J946">
            <v>478</v>
          </cell>
          <cell r="K946">
            <v>43126</v>
          </cell>
          <cell r="L946" t="str">
            <v>MARCELA  SIERRA CUELLO</v>
          </cell>
          <cell r="M946">
            <v>31</v>
          </cell>
          <cell r="N946" t="str">
            <v>RESOLUCION</v>
          </cell>
          <cell r="O946">
            <v>199</v>
          </cell>
          <cell r="P946">
            <v>43126</v>
          </cell>
          <cell r="Q946" t="str">
            <v>Cubrir el pago de vacaciones en dinero de tres exfuncionarios de la entidad.</v>
          </cell>
          <cell r="R946">
            <v>21994247</v>
          </cell>
          <cell r="S946">
            <v>0</v>
          </cell>
          <cell r="T946">
            <v>0</v>
          </cell>
          <cell r="U946">
            <v>21994247</v>
          </cell>
          <cell r="V946">
            <v>21994247</v>
          </cell>
        </row>
        <row r="947">
          <cell r="J947">
            <v>550</v>
          </cell>
          <cell r="K947">
            <v>43133</v>
          </cell>
          <cell r="L947" t="str">
            <v>JUAN MANUEL RODRIGUEZ PARRA</v>
          </cell>
          <cell r="M947">
            <v>31</v>
          </cell>
          <cell r="N947" t="str">
            <v>RESOLUCION</v>
          </cell>
          <cell r="O947">
            <v>200</v>
          </cell>
          <cell r="P947">
            <v>43102</v>
          </cell>
          <cell r="Q947" t="str">
            <v>PAGO DE PRTESTACIONES SOCIALES DEFINITIVAS A EXFUNCIONARIO DE LA ENTIDAD</v>
          </cell>
          <cell r="R947">
            <v>13500366</v>
          </cell>
          <cell r="S947">
            <v>0</v>
          </cell>
          <cell r="T947">
            <v>0</v>
          </cell>
          <cell r="U947">
            <v>13500366</v>
          </cell>
          <cell r="V947">
            <v>13500366</v>
          </cell>
        </row>
        <row r="948">
          <cell r="J948">
            <v>1940</v>
          </cell>
          <cell r="K948">
            <v>43242</v>
          </cell>
          <cell r="L948" t="str">
            <v>GERMAN ALBERTO BAHAMON JARAMILLO</v>
          </cell>
          <cell r="M948">
            <v>31</v>
          </cell>
          <cell r="N948" t="str">
            <v>RESOLUCION</v>
          </cell>
          <cell r="O948">
            <v>2068</v>
          </cell>
          <cell r="P948">
            <v>43242</v>
          </cell>
          <cell r="Q948" t="str">
            <v>PAGO DE VACACIONES EN DINERO DE UN EXFUNCIONARIO DE LA ENTIDAD.</v>
          </cell>
          <cell r="R948">
            <v>662697</v>
          </cell>
          <cell r="S948">
            <v>0</v>
          </cell>
          <cell r="T948">
            <v>0</v>
          </cell>
          <cell r="U948">
            <v>662697</v>
          </cell>
          <cell r="V948">
            <v>662697</v>
          </cell>
        </row>
        <row r="949">
          <cell r="J949">
            <v>2497</v>
          </cell>
          <cell r="K949">
            <v>43298</v>
          </cell>
          <cell r="L949" t="str">
            <v>CAROLINA  FERNANDEZ BOLAÑOS</v>
          </cell>
          <cell r="M949">
            <v>31</v>
          </cell>
          <cell r="N949" t="str">
            <v>RESOLUCION</v>
          </cell>
          <cell r="O949">
            <v>2067</v>
          </cell>
          <cell r="P949">
            <v>43298</v>
          </cell>
          <cell r="Q949" t="str">
            <v>PAGO DE PRESTACIONES SOCIALES DEFINITIVAS DE UN EXFUNCIONARIO DE LA ENTIDAD</v>
          </cell>
          <cell r="R949">
            <v>1650204</v>
          </cell>
          <cell r="S949">
            <v>0</v>
          </cell>
          <cell r="T949">
            <v>0</v>
          </cell>
          <cell r="U949">
            <v>1650204</v>
          </cell>
          <cell r="V949">
            <v>0</v>
          </cell>
        </row>
        <row r="950">
          <cell r="J950">
            <v>457</v>
          </cell>
          <cell r="K950">
            <v>43126</v>
          </cell>
          <cell r="L950" t="str">
            <v>GERMAN ALBERTO BAHAMON JARAMILLO</v>
          </cell>
          <cell r="M950">
            <v>31</v>
          </cell>
          <cell r="N950" t="str">
            <v>RESOLUCION</v>
          </cell>
          <cell r="O950">
            <v>198</v>
          </cell>
          <cell r="P950">
            <v>43126</v>
          </cell>
          <cell r="Q950" t="str">
            <v>PAGO DE PRESTACIONES SOCIALES DEFINITIVAS DE UN EXFUNCIONARIO DE LA ENTIDAD</v>
          </cell>
          <cell r="R950">
            <v>468378</v>
          </cell>
          <cell r="S950">
            <v>468378</v>
          </cell>
          <cell r="T950">
            <v>0</v>
          </cell>
          <cell r="U950">
            <v>0</v>
          </cell>
          <cell r="V950">
            <v>0</v>
          </cell>
        </row>
        <row r="951">
          <cell r="J951">
            <v>471</v>
          </cell>
          <cell r="K951">
            <v>43126</v>
          </cell>
          <cell r="L951" t="str">
            <v>GERMAN ALBERTO BAHAMON JARAMILLO</v>
          </cell>
          <cell r="M951">
            <v>31</v>
          </cell>
          <cell r="N951" t="str">
            <v>RESOLUCION</v>
          </cell>
          <cell r="O951">
            <v>198</v>
          </cell>
          <cell r="P951">
            <v>43126</v>
          </cell>
          <cell r="Q951" t="str">
            <v>PAGO DE PRESTACIONES SOCIALES DEFINITIVAS DE UN EXFUNCIONARIO DE LA ENTIDAD</v>
          </cell>
          <cell r="R951">
            <v>468378</v>
          </cell>
          <cell r="S951">
            <v>0</v>
          </cell>
          <cell r="T951">
            <v>0</v>
          </cell>
          <cell r="U951">
            <v>468378</v>
          </cell>
          <cell r="V951">
            <v>468378</v>
          </cell>
        </row>
        <row r="952">
          <cell r="J952">
            <v>476</v>
          </cell>
          <cell r="K952">
            <v>43126</v>
          </cell>
          <cell r="L952" t="str">
            <v>MARCELA  SIERRA CUELLO</v>
          </cell>
          <cell r="M952">
            <v>31</v>
          </cell>
          <cell r="N952" t="str">
            <v>RESOLUCION</v>
          </cell>
          <cell r="O952">
            <v>199</v>
          </cell>
          <cell r="P952">
            <v>43126</v>
          </cell>
          <cell r="Q952" t="str">
            <v>PAGO DE PRESTACIONES SOCIALES DEFINITIVAS DE UNA EXFUNCIANROA DE LA ENTIDAD</v>
          </cell>
          <cell r="R952">
            <v>1016810</v>
          </cell>
          <cell r="S952">
            <v>0</v>
          </cell>
          <cell r="T952">
            <v>0</v>
          </cell>
          <cell r="U952">
            <v>1016810</v>
          </cell>
          <cell r="V952">
            <v>1016810</v>
          </cell>
        </row>
        <row r="953">
          <cell r="J953">
            <v>542</v>
          </cell>
          <cell r="K953">
            <v>43133</v>
          </cell>
          <cell r="L953" t="str">
            <v>JUAN MANUEL RODRIGUEZ PARRA</v>
          </cell>
          <cell r="M953">
            <v>31</v>
          </cell>
          <cell r="N953" t="str">
            <v>RESOLUCION</v>
          </cell>
          <cell r="O953">
            <v>200</v>
          </cell>
          <cell r="P953">
            <v>43102</v>
          </cell>
          <cell r="Q953" t="str">
            <v>PAGO DE PRTESTACIONES SOCIALES DEFINITIVAS A EXFUNCIONARIO DE LA ENTIDAD</v>
          </cell>
          <cell r="R953">
            <v>618567</v>
          </cell>
          <cell r="S953">
            <v>0</v>
          </cell>
          <cell r="T953">
            <v>0</v>
          </cell>
          <cell r="U953">
            <v>618567</v>
          </cell>
          <cell r="V953">
            <v>618567</v>
          </cell>
        </row>
        <row r="954">
          <cell r="J954">
            <v>1939</v>
          </cell>
          <cell r="K954">
            <v>43242</v>
          </cell>
          <cell r="L954" t="str">
            <v>GERMAN ALBERTO BAHAMON JARAMILLO</v>
          </cell>
          <cell r="M954">
            <v>31</v>
          </cell>
          <cell r="N954" t="str">
            <v>RESOLUCION</v>
          </cell>
          <cell r="O954">
            <v>2068</v>
          </cell>
          <cell r="P954">
            <v>43242</v>
          </cell>
          <cell r="Q954" t="str">
            <v>PAGO DE REAJUSTE DE PRESTACIONES SOCIALES DEFINITIVAS DE UN EXFUNCIONARIO DE LA ENTIDAD</v>
          </cell>
          <cell r="R954">
            <v>25246</v>
          </cell>
          <cell r="S954">
            <v>0</v>
          </cell>
          <cell r="T954">
            <v>0</v>
          </cell>
          <cell r="U954">
            <v>25246</v>
          </cell>
          <cell r="V954">
            <v>25246</v>
          </cell>
        </row>
        <row r="955">
          <cell r="J955">
            <v>2498</v>
          </cell>
          <cell r="K955">
            <v>43298</v>
          </cell>
          <cell r="L955" t="str">
            <v>CAROLINA  FERNANDEZ BOLAÑOS</v>
          </cell>
          <cell r="M955">
            <v>31</v>
          </cell>
          <cell r="N955" t="str">
            <v>RESOLUCION</v>
          </cell>
          <cell r="O955">
            <v>2067</v>
          </cell>
          <cell r="P955">
            <v>43298</v>
          </cell>
          <cell r="Q955" t="str">
            <v>PAGO DE PRESTACIONES SOCIALES DEFINITIVAS DE UN EXFUNCIONARIO DE LA ENTIDAD</v>
          </cell>
          <cell r="R955">
            <v>105319</v>
          </cell>
          <cell r="S955">
            <v>0</v>
          </cell>
          <cell r="T955">
            <v>0</v>
          </cell>
          <cell r="U955">
            <v>105319</v>
          </cell>
          <cell r="V955">
            <v>0</v>
          </cell>
        </row>
        <row r="956">
          <cell r="J956">
            <v>542</v>
          </cell>
          <cell r="K956">
            <v>43133</v>
          </cell>
          <cell r="L956" t="str">
            <v>JUAN MANUEL RODRIGUEZ PARRA</v>
          </cell>
          <cell r="M956">
            <v>31</v>
          </cell>
          <cell r="N956" t="str">
            <v>RESOLUCION</v>
          </cell>
          <cell r="O956">
            <v>200</v>
          </cell>
          <cell r="P956">
            <v>43102</v>
          </cell>
          <cell r="Q956" t="str">
            <v>PAGO DE PRTESTACIONES SOCIALES DEFINITIVAS A EXFUNCIONARIO DE LA ENTIDAD</v>
          </cell>
          <cell r="R956">
            <v>7542576</v>
          </cell>
          <cell r="S956">
            <v>0</v>
          </cell>
          <cell r="T956">
            <v>0</v>
          </cell>
          <cell r="U956">
            <v>7542576</v>
          </cell>
          <cell r="V956">
            <v>7542576</v>
          </cell>
        </row>
        <row r="957">
          <cell r="J957">
            <v>1936</v>
          </cell>
          <cell r="K957">
            <v>43242</v>
          </cell>
          <cell r="L957" t="str">
            <v>GERMAN ALBERTO BAHAMON JARAMILLO</v>
          </cell>
          <cell r="M957">
            <v>31</v>
          </cell>
          <cell r="N957" t="str">
            <v>RESOLUCION</v>
          </cell>
          <cell r="O957">
            <v>2068</v>
          </cell>
          <cell r="P957">
            <v>43242</v>
          </cell>
          <cell r="Q957" t="str">
            <v>PAGO DE REAJUSTE DE PRESTACIONES SOCIALES DEFINITIVAS DE UN FUNCIONARIO DE LA ENTIDAD</v>
          </cell>
          <cell r="R957">
            <v>58128</v>
          </cell>
          <cell r="S957">
            <v>0</v>
          </cell>
          <cell r="T957">
            <v>0</v>
          </cell>
          <cell r="U957">
            <v>58128</v>
          </cell>
          <cell r="V957">
            <v>58128</v>
          </cell>
        </row>
        <row r="958">
          <cell r="J958">
            <v>2499</v>
          </cell>
          <cell r="K958">
            <v>43298</v>
          </cell>
          <cell r="L958" t="str">
            <v>CAROLINA  FERNANDEZ BOLAÑOS</v>
          </cell>
          <cell r="M958">
            <v>31</v>
          </cell>
          <cell r="N958" t="str">
            <v>RESOLUCION</v>
          </cell>
          <cell r="O958">
            <v>2067</v>
          </cell>
          <cell r="P958">
            <v>43298</v>
          </cell>
          <cell r="Q958" t="str">
            <v>PAGO DE PRESTACIONES SOCIALES DEFINITIVAS DE UN EXFUNCIONARIO DE LA ENTIDAD</v>
          </cell>
          <cell r="R958">
            <v>329961</v>
          </cell>
          <cell r="S958">
            <v>0</v>
          </cell>
          <cell r="T958">
            <v>0</v>
          </cell>
          <cell r="U958">
            <v>329961</v>
          </cell>
          <cell r="V958">
            <v>0</v>
          </cell>
        </row>
        <row r="959">
          <cell r="J959">
            <v>2499</v>
          </cell>
          <cell r="K959">
            <v>43298</v>
          </cell>
          <cell r="L959" t="str">
            <v>CAROLINA  FERNANDEZ BOLAÑOS</v>
          </cell>
          <cell r="M959">
            <v>31</v>
          </cell>
          <cell r="N959" t="str">
            <v>RESOLUCION</v>
          </cell>
          <cell r="O959">
            <v>2067</v>
          </cell>
          <cell r="P959">
            <v>43298</v>
          </cell>
          <cell r="Q959" t="str">
            <v>PAGO DE PRESTACIONES SOCIALES DEFINITIVAS DE UN EXFUNCIONARIO DE LA ENTIDAD</v>
          </cell>
          <cell r="R959">
            <v>30332</v>
          </cell>
          <cell r="S959">
            <v>0</v>
          </cell>
          <cell r="T959">
            <v>0</v>
          </cell>
          <cell r="U959">
            <v>30332</v>
          </cell>
          <cell r="V959">
            <v>0</v>
          </cell>
        </row>
        <row r="960">
          <cell r="J960">
            <v>2499</v>
          </cell>
          <cell r="K960">
            <v>43298</v>
          </cell>
          <cell r="L960" t="str">
            <v>CAROLINA  FERNANDEZ BOLAÑOS</v>
          </cell>
          <cell r="M960">
            <v>31</v>
          </cell>
          <cell r="N960" t="str">
            <v>RESOLUCION</v>
          </cell>
          <cell r="O960">
            <v>2067</v>
          </cell>
          <cell r="P960">
            <v>43298</v>
          </cell>
          <cell r="Q960" t="str">
            <v>PAGO DE PRESTACIONES SOCIALES DEFINITIVAS DE UN EXFUNCIONARIO DE LA ENTIDAD</v>
          </cell>
          <cell r="R960">
            <v>30332</v>
          </cell>
          <cell r="S960">
            <v>0</v>
          </cell>
          <cell r="T960">
            <v>0</v>
          </cell>
          <cell r="U960">
            <v>30332</v>
          </cell>
          <cell r="V960">
            <v>0</v>
          </cell>
        </row>
        <row r="961">
          <cell r="J961">
            <v>458</v>
          </cell>
          <cell r="K961">
            <v>43126</v>
          </cell>
          <cell r="L961" t="str">
            <v>GERMAN ALBERTO BAHAMON JARAMILLO</v>
          </cell>
          <cell r="M961">
            <v>31</v>
          </cell>
          <cell r="N961" t="str">
            <v>RESOLUCION</v>
          </cell>
          <cell r="O961">
            <v>198</v>
          </cell>
          <cell r="P961">
            <v>43126</v>
          </cell>
          <cell r="Q961" t="str">
            <v>PAGO DE PRESTACIONES SOCIALES DEFINITIVAS DE UN EXFUNCIONARIO DE LA ENTIDAD</v>
          </cell>
          <cell r="R961">
            <v>1035560</v>
          </cell>
          <cell r="S961">
            <v>0</v>
          </cell>
          <cell r="T961">
            <v>0</v>
          </cell>
          <cell r="U961">
            <v>1035560</v>
          </cell>
          <cell r="V961">
            <v>0</v>
          </cell>
        </row>
        <row r="962">
          <cell r="J962">
            <v>477</v>
          </cell>
          <cell r="K962">
            <v>43126</v>
          </cell>
          <cell r="L962" t="str">
            <v>MARCELA  SIERRA CUELLO</v>
          </cell>
          <cell r="M962">
            <v>31</v>
          </cell>
          <cell r="N962" t="str">
            <v>RESOLUCION</v>
          </cell>
          <cell r="O962">
            <v>199</v>
          </cell>
          <cell r="P962">
            <v>43126</v>
          </cell>
          <cell r="Q962" t="str">
            <v>PAGO DE PRESTACIONES SOCIALES DEFINITIVAS DE UNA EXFUNCIONARIA DE LA ENTIDAD</v>
          </cell>
          <cell r="R962">
            <v>1532760</v>
          </cell>
          <cell r="S962">
            <v>0</v>
          </cell>
          <cell r="T962">
            <v>0</v>
          </cell>
          <cell r="U962">
            <v>1532760</v>
          </cell>
          <cell r="V962">
            <v>0</v>
          </cell>
        </row>
        <row r="963">
          <cell r="J963">
            <v>546</v>
          </cell>
          <cell r="K963">
            <v>43133</v>
          </cell>
          <cell r="L963" t="str">
            <v>JUAN MANUEL RODRIGUEZ PARRA</v>
          </cell>
          <cell r="M963">
            <v>31</v>
          </cell>
          <cell r="N963" t="str">
            <v>RESOLUCION</v>
          </cell>
          <cell r="O963">
            <v>200</v>
          </cell>
          <cell r="P963">
            <v>43102</v>
          </cell>
          <cell r="Q963" t="str">
            <v>PAGO DE PRTESTACIONES SOCIALES DEFINITIVAS A EXFUNCIONARIO DE LA ENTIDAD</v>
          </cell>
          <cell r="R963">
            <v>948600</v>
          </cell>
          <cell r="S963">
            <v>0</v>
          </cell>
          <cell r="T963">
            <v>0</v>
          </cell>
          <cell r="U963">
            <v>948600</v>
          </cell>
          <cell r="V963">
            <v>0</v>
          </cell>
        </row>
        <row r="964">
          <cell r="J964">
            <v>1936</v>
          </cell>
          <cell r="K964">
            <v>43242</v>
          </cell>
          <cell r="L964" t="str">
            <v>GERMAN ALBERTO BAHAMON JARAMILLO</v>
          </cell>
          <cell r="M964">
            <v>31</v>
          </cell>
          <cell r="N964" t="str">
            <v>RESOLUCION</v>
          </cell>
          <cell r="O964">
            <v>2068</v>
          </cell>
          <cell r="P964">
            <v>43242</v>
          </cell>
          <cell r="Q964" t="str">
            <v>PAGO DE REAJUSTE DE PRESTACIONES SOCIALES DEFINITIVAS DE UN FUNCIONARIO DE LA ENTIDAD</v>
          </cell>
          <cell r="R964">
            <v>49960</v>
          </cell>
          <cell r="S964">
            <v>0</v>
          </cell>
          <cell r="T964">
            <v>0</v>
          </cell>
          <cell r="U964">
            <v>49960</v>
          </cell>
          <cell r="V964">
            <v>0</v>
          </cell>
        </row>
        <row r="965">
          <cell r="J965">
            <v>2499</v>
          </cell>
          <cell r="K965">
            <v>43298</v>
          </cell>
          <cell r="L965" t="str">
            <v>CAROLINA  FERNANDEZ BOLAÑOS</v>
          </cell>
          <cell r="M965">
            <v>31</v>
          </cell>
          <cell r="N965" t="str">
            <v>RESOLUCION</v>
          </cell>
          <cell r="O965">
            <v>2067</v>
          </cell>
          <cell r="P965">
            <v>43298</v>
          </cell>
          <cell r="Q965" t="str">
            <v>PAGO DE PRESTACIONES SOCIALES DEFINITIVAS DE UN EXFUNCIONARIO DE LA ENTIDAD</v>
          </cell>
          <cell r="R965">
            <v>144000</v>
          </cell>
          <cell r="S965">
            <v>0</v>
          </cell>
          <cell r="T965">
            <v>0</v>
          </cell>
          <cell r="U965">
            <v>144000</v>
          </cell>
          <cell r="V965">
            <v>0</v>
          </cell>
        </row>
        <row r="966">
          <cell r="J966">
            <v>413</v>
          </cell>
          <cell r="K966">
            <v>43124</v>
          </cell>
          <cell r="L966" t="str">
            <v>ARMANDO  VALENCIA PEÑUELA</v>
          </cell>
          <cell r="M966">
            <v>31</v>
          </cell>
          <cell r="N966" t="str">
            <v>RESOLUCION</v>
          </cell>
          <cell r="O966">
            <v>99</v>
          </cell>
          <cell r="P966">
            <v>43124</v>
          </cell>
          <cell r="Q966" t="str">
            <v>PAGO CESANTIAS FONDOS PUBLICOS DE UN FUNCIONARIO DE LA ENTIDAD.</v>
          </cell>
          <cell r="R966">
            <v>52483043</v>
          </cell>
          <cell r="S966">
            <v>0</v>
          </cell>
          <cell r="T966">
            <v>0</v>
          </cell>
          <cell r="U966">
            <v>52483043</v>
          </cell>
          <cell r="V966">
            <v>52483043</v>
          </cell>
        </row>
        <row r="967">
          <cell r="J967">
            <v>458</v>
          </cell>
          <cell r="K967">
            <v>43126</v>
          </cell>
          <cell r="L967" t="str">
            <v>GERMAN ALBERTO BAHAMON JARAMILLO</v>
          </cell>
          <cell r="M967">
            <v>31</v>
          </cell>
          <cell r="N967" t="str">
            <v>RESOLUCION</v>
          </cell>
          <cell r="O967">
            <v>198</v>
          </cell>
          <cell r="P967">
            <v>43126</v>
          </cell>
          <cell r="Q967" t="str">
            <v>PAGO DE PRESTACIONES SOCIALES DEFINITIVAS DE UN EXFUNCIONARIO DE LA ENTIDAD</v>
          </cell>
          <cell r="R967">
            <v>413900</v>
          </cell>
          <cell r="S967">
            <v>0</v>
          </cell>
          <cell r="T967">
            <v>0</v>
          </cell>
          <cell r="U967">
            <v>413900</v>
          </cell>
          <cell r="V967">
            <v>413900</v>
          </cell>
        </row>
        <row r="968">
          <cell r="J968">
            <v>477</v>
          </cell>
          <cell r="K968">
            <v>43126</v>
          </cell>
          <cell r="L968" t="str">
            <v>MARCELA  SIERRA CUELLO</v>
          </cell>
          <cell r="M968">
            <v>31</v>
          </cell>
          <cell r="N968" t="str">
            <v>RESOLUCION</v>
          </cell>
          <cell r="O968">
            <v>199</v>
          </cell>
          <cell r="P968">
            <v>43126</v>
          </cell>
          <cell r="Q968" t="str">
            <v>PAGO DE PRESTACIONES SOCIALES DEFINITIVAS DE UNA EXFUNCIONARIA DE LA ENTIDAD</v>
          </cell>
          <cell r="R968">
            <v>13681664</v>
          </cell>
          <cell r="S968">
            <v>0</v>
          </cell>
          <cell r="T968">
            <v>0</v>
          </cell>
          <cell r="U968">
            <v>13681664</v>
          </cell>
          <cell r="V968">
            <v>13681664</v>
          </cell>
        </row>
        <row r="969">
          <cell r="J969">
            <v>546</v>
          </cell>
          <cell r="K969">
            <v>43133</v>
          </cell>
          <cell r="L969" t="str">
            <v>JUAN MANUEL RODRIGUEZ PARRA</v>
          </cell>
          <cell r="M969">
            <v>31</v>
          </cell>
          <cell r="N969" t="str">
            <v>RESOLUCION</v>
          </cell>
          <cell r="O969">
            <v>200</v>
          </cell>
          <cell r="P969">
            <v>43102</v>
          </cell>
          <cell r="Q969" t="str">
            <v>PAGO DE PRTESTACIONES SOCIALES DEFINITIVAS A EXFUNCIONARIO DE LA ENTIDAD</v>
          </cell>
          <cell r="R969">
            <v>13195366</v>
          </cell>
          <cell r="S969">
            <v>0</v>
          </cell>
          <cell r="T969">
            <v>0</v>
          </cell>
          <cell r="U969">
            <v>13195366</v>
          </cell>
          <cell r="V969">
            <v>13195366</v>
          </cell>
        </row>
        <row r="970">
          <cell r="J970">
            <v>1709</v>
          </cell>
          <cell r="K970">
            <v>43195</v>
          </cell>
          <cell r="L970" t="str">
            <v>JOSE HEYLMEYER MARTINEZ SORIANO</v>
          </cell>
          <cell r="M970">
            <v>31</v>
          </cell>
          <cell r="N970" t="str">
            <v>RESOLUCION</v>
          </cell>
          <cell r="O970">
            <v>1379</v>
          </cell>
          <cell r="P970">
            <v>43195</v>
          </cell>
          <cell r="Q970" t="str">
            <v>PAGO DE CESANTIAS FONDOS PÚBLICOS A FUNCIONARIO DE LA ENTIDAD.</v>
          </cell>
          <cell r="R970">
            <v>47144288</v>
          </cell>
          <cell r="S970">
            <v>0</v>
          </cell>
          <cell r="T970">
            <v>0</v>
          </cell>
          <cell r="U970">
            <v>47144288</v>
          </cell>
          <cell r="V970">
            <v>47144288</v>
          </cell>
        </row>
        <row r="971">
          <cell r="J971">
            <v>1710</v>
          </cell>
          <cell r="K971">
            <v>43195</v>
          </cell>
          <cell r="L971" t="str">
            <v>JOSE HEYLMEYER MARTINEZ SORIANO</v>
          </cell>
          <cell r="M971">
            <v>31</v>
          </cell>
          <cell r="N971" t="str">
            <v>RESOLUCION</v>
          </cell>
          <cell r="O971">
            <v>1757</v>
          </cell>
          <cell r="P971">
            <v>43195</v>
          </cell>
          <cell r="Q971" t="str">
            <v>PAGO DE CESANTIAS FONDOS PÚBLICOS A FUNCIONARIO DE LA ENTIDAD.</v>
          </cell>
          <cell r="R971">
            <v>11378482</v>
          </cell>
          <cell r="S971">
            <v>0</v>
          </cell>
          <cell r="T971">
            <v>0</v>
          </cell>
          <cell r="U971">
            <v>11378482</v>
          </cell>
          <cell r="V971">
            <v>11378482</v>
          </cell>
        </row>
        <row r="972">
          <cell r="J972">
            <v>1918</v>
          </cell>
          <cell r="K972">
            <v>43241</v>
          </cell>
          <cell r="L972" t="str">
            <v>FIDOLO  MARTINEZ RAMIREZ</v>
          </cell>
          <cell r="M972">
            <v>31</v>
          </cell>
          <cell r="N972" t="str">
            <v>RESOLUCION</v>
          </cell>
          <cell r="O972">
            <v>2062</v>
          </cell>
          <cell r="P972">
            <v>43241</v>
          </cell>
          <cell r="Q972" t="str">
            <v>PAGO DE CESANTIAS FONDOS PUBLICOS DE UN FUNCIONARIO DE LA ENTIDAD</v>
          </cell>
          <cell r="R972">
            <v>61750891</v>
          </cell>
          <cell r="S972">
            <v>0</v>
          </cell>
          <cell r="T972">
            <v>0</v>
          </cell>
          <cell r="U972">
            <v>61750891</v>
          </cell>
          <cell r="V972">
            <v>61750891</v>
          </cell>
        </row>
        <row r="973">
          <cell r="J973">
            <v>1934</v>
          </cell>
          <cell r="K973">
            <v>43242</v>
          </cell>
          <cell r="L973" t="str">
            <v>JOSE IGNACIO BLANCO TORRES</v>
          </cell>
          <cell r="M973">
            <v>31</v>
          </cell>
          <cell r="N973" t="str">
            <v>RESOLUCION</v>
          </cell>
          <cell r="O973">
            <v>2066</v>
          </cell>
          <cell r="P973">
            <v>43242</v>
          </cell>
          <cell r="Q973" t="str">
            <v>PAGO DE CESANTIAS FONDOS PUBLICOS DE UN FUNCIONARIO  DE LA ENTIDAD.</v>
          </cell>
          <cell r="R973">
            <v>48760623</v>
          </cell>
          <cell r="S973">
            <v>0</v>
          </cell>
          <cell r="T973">
            <v>0</v>
          </cell>
          <cell r="U973">
            <v>48760623</v>
          </cell>
          <cell r="V973">
            <v>48760623</v>
          </cell>
        </row>
        <row r="974">
          <cell r="J974">
            <v>458</v>
          </cell>
          <cell r="K974">
            <v>43126</v>
          </cell>
          <cell r="L974" t="str">
            <v>GERMAN ALBERTO BAHAMON JARAMILLO</v>
          </cell>
          <cell r="M974">
            <v>31</v>
          </cell>
          <cell r="N974" t="str">
            <v>RESOLUCION</v>
          </cell>
          <cell r="O974">
            <v>198</v>
          </cell>
          <cell r="P974">
            <v>43126</v>
          </cell>
          <cell r="Q974" t="str">
            <v>PAGO DE PRESTACIONES SOCIALES DEFINITIVAS DE UN EXFUNCIONARIO DE LA ENTIDAD</v>
          </cell>
          <cell r="R974">
            <v>776670</v>
          </cell>
          <cell r="S974">
            <v>0</v>
          </cell>
          <cell r="T974">
            <v>0</v>
          </cell>
          <cell r="U974">
            <v>776670</v>
          </cell>
          <cell r="V974">
            <v>0</v>
          </cell>
        </row>
        <row r="975">
          <cell r="J975">
            <v>477</v>
          </cell>
          <cell r="K975">
            <v>43126</v>
          </cell>
          <cell r="L975" t="str">
            <v>MARCELA  SIERRA CUELLO</v>
          </cell>
          <cell r="M975">
            <v>31</v>
          </cell>
          <cell r="N975" t="str">
            <v>RESOLUCION</v>
          </cell>
          <cell r="O975">
            <v>199</v>
          </cell>
          <cell r="P975">
            <v>43126</v>
          </cell>
          <cell r="Q975" t="str">
            <v>PAGO DE PRESTACIONES SOCIALES DEFINITIVAS DE UNA EXFUNCIONARIA DE LA ENTIDAD</v>
          </cell>
          <cell r="R975">
            <v>1149570</v>
          </cell>
          <cell r="S975">
            <v>0</v>
          </cell>
          <cell r="T975">
            <v>0</v>
          </cell>
          <cell r="U975">
            <v>1149570</v>
          </cell>
          <cell r="V975">
            <v>0</v>
          </cell>
        </row>
        <row r="976">
          <cell r="J976">
            <v>546</v>
          </cell>
          <cell r="K976">
            <v>43133</v>
          </cell>
          <cell r="L976" t="str">
            <v>JUAN MANUEL RODRIGUEZ PARRA</v>
          </cell>
          <cell r="M976">
            <v>31</v>
          </cell>
          <cell r="N976" t="str">
            <v>RESOLUCION</v>
          </cell>
          <cell r="O976">
            <v>200</v>
          </cell>
          <cell r="P976">
            <v>43102</v>
          </cell>
          <cell r="Q976" t="str">
            <v>PAGO DE PRTESTACIONES SOCIALES DEFINITIVAS A EXFUNCIONARIO DE LA ENTIDAD</v>
          </cell>
          <cell r="R976">
            <v>711450</v>
          </cell>
          <cell r="S976">
            <v>0</v>
          </cell>
          <cell r="T976">
            <v>0</v>
          </cell>
          <cell r="U976">
            <v>711450</v>
          </cell>
          <cell r="V976">
            <v>0</v>
          </cell>
        </row>
        <row r="977">
          <cell r="J977">
            <v>1936</v>
          </cell>
          <cell r="K977">
            <v>43242</v>
          </cell>
          <cell r="L977" t="str">
            <v>GERMAN ALBERTO BAHAMON JARAMILLO</v>
          </cell>
          <cell r="M977">
            <v>31</v>
          </cell>
          <cell r="N977" t="str">
            <v>RESOLUCION</v>
          </cell>
          <cell r="O977">
            <v>2068</v>
          </cell>
          <cell r="P977">
            <v>43242</v>
          </cell>
          <cell r="Q977" t="str">
            <v>PAGO DE REAJUSTE DE PRESTACIONES SOCIALES DEFINITIVAS DE UN FUNCIONARIO DE LA ENTIDAD</v>
          </cell>
          <cell r="R977">
            <v>37470</v>
          </cell>
          <cell r="S977">
            <v>0</v>
          </cell>
          <cell r="T977">
            <v>0</v>
          </cell>
          <cell r="U977">
            <v>37470</v>
          </cell>
          <cell r="V977">
            <v>0</v>
          </cell>
        </row>
        <row r="978">
          <cell r="J978">
            <v>2499</v>
          </cell>
          <cell r="K978">
            <v>43298</v>
          </cell>
          <cell r="L978" t="str">
            <v>CAROLINA  FERNANDEZ BOLAÑOS</v>
          </cell>
          <cell r="M978">
            <v>31</v>
          </cell>
          <cell r="N978" t="str">
            <v>RESOLUCION</v>
          </cell>
          <cell r="O978">
            <v>2067</v>
          </cell>
          <cell r="P978">
            <v>43298</v>
          </cell>
          <cell r="Q978" t="str">
            <v>PAGO DE PRESTACIONES SOCIALES DEFINITIVAS DE UN EXFUNCIONARIO DE LA ENTIDAD</v>
          </cell>
          <cell r="R978">
            <v>108000</v>
          </cell>
          <cell r="S978">
            <v>0</v>
          </cell>
          <cell r="T978">
            <v>0</v>
          </cell>
          <cell r="U978">
            <v>108000</v>
          </cell>
          <cell r="V978">
            <v>0</v>
          </cell>
        </row>
        <row r="979">
          <cell r="J979">
            <v>458</v>
          </cell>
          <cell r="K979">
            <v>43126</v>
          </cell>
          <cell r="L979" t="str">
            <v>GERMAN ALBERTO BAHAMON JARAMILLO</v>
          </cell>
          <cell r="M979">
            <v>31</v>
          </cell>
          <cell r="N979" t="str">
            <v>RESOLUCION</v>
          </cell>
          <cell r="O979">
            <v>198</v>
          </cell>
          <cell r="P979">
            <v>43126</v>
          </cell>
          <cell r="Q979" t="str">
            <v>PAGO DE PRESTACIONES SOCIALES DEFINITIVAS DE UN EXFUNCIONARIO DE LA ENTIDAD</v>
          </cell>
          <cell r="R979">
            <v>517780</v>
          </cell>
          <cell r="S979">
            <v>0</v>
          </cell>
          <cell r="T979">
            <v>0</v>
          </cell>
          <cell r="U979">
            <v>517780</v>
          </cell>
          <cell r="V979">
            <v>0</v>
          </cell>
        </row>
        <row r="980">
          <cell r="J980">
            <v>477</v>
          </cell>
          <cell r="K980">
            <v>43126</v>
          </cell>
          <cell r="L980" t="str">
            <v>MARCELA  SIERRA CUELLO</v>
          </cell>
          <cell r="M980">
            <v>31</v>
          </cell>
          <cell r="N980" t="str">
            <v>RESOLUCION</v>
          </cell>
          <cell r="O980">
            <v>199</v>
          </cell>
          <cell r="P980">
            <v>43126</v>
          </cell>
          <cell r="Q980" t="str">
            <v>PAGO DE PRESTACIONES SOCIALES DEFINITIVAS DE UNA EXFUNCIONARIA DE LA ENTIDAD</v>
          </cell>
          <cell r="R980">
            <v>766380</v>
          </cell>
          <cell r="S980">
            <v>0</v>
          </cell>
          <cell r="T980">
            <v>0</v>
          </cell>
          <cell r="U980">
            <v>766380</v>
          </cell>
          <cell r="V980">
            <v>0</v>
          </cell>
        </row>
        <row r="981">
          <cell r="J981">
            <v>546</v>
          </cell>
          <cell r="K981">
            <v>43133</v>
          </cell>
          <cell r="L981" t="str">
            <v>JUAN MANUEL RODRIGUEZ PARRA</v>
          </cell>
          <cell r="M981">
            <v>31</v>
          </cell>
          <cell r="N981" t="str">
            <v>RESOLUCION</v>
          </cell>
          <cell r="O981">
            <v>200</v>
          </cell>
          <cell r="P981">
            <v>43102</v>
          </cell>
          <cell r="Q981" t="str">
            <v>PAGO DE PRTESTACIONES SOCIALES DEFINITIVAS A EXFUNCIONARIO DE LA ENTIDAD</v>
          </cell>
          <cell r="R981">
            <v>474300</v>
          </cell>
          <cell r="S981">
            <v>0</v>
          </cell>
          <cell r="T981">
            <v>0</v>
          </cell>
          <cell r="U981">
            <v>474300</v>
          </cell>
          <cell r="V981">
            <v>0</v>
          </cell>
        </row>
        <row r="982">
          <cell r="J982">
            <v>1936</v>
          </cell>
          <cell r="K982">
            <v>43242</v>
          </cell>
          <cell r="L982" t="str">
            <v>GERMAN ALBERTO BAHAMON JARAMILLO</v>
          </cell>
          <cell r="M982">
            <v>31</v>
          </cell>
          <cell r="N982" t="str">
            <v>RESOLUCION</v>
          </cell>
          <cell r="O982">
            <v>2068</v>
          </cell>
          <cell r="P982">
            <v>43242</v>
          </cell>
          <cell r="Q982" t="str">
            <v>PAGO DE REAJUSTE DE PRESTACIONES SOCIALES DEFINITIVAS DE UN FUNCIONARIO DE LA ENTIDAD</v>
          </cell>
          <cell r="R982">
            <v>24980</v>
          </cell>
          <cell r="S982">
            <v>0</v>
          </cell>
          <cell r="T982">
            <v>0</v>
          </cell>
          <cell r="U982">
            <v>24980</v>
          </cell>
          <cell r="V982">
            <v>0</v>
          </cell>
        </row>
        <row r="983">
          <cell r="J983">
            <v>2499</v>
          </cell>
          <cell r="K983">
            <v>43298</v>
          </cell>
          <cell r="L983" t="str">
            <v>CAROLINA  FERNANDEZ BOLAÑOS</v>
          </cell>
          <cell r="M983">
            <v>31</v>
          </cell>
          <cell r="N983" t="str">
            <v>RESOLUCION</v>
          </cell>
          <cell r="O983">
            <v>2067</v>
          </cell>
          <cell r="P983">
            <v>43298</v>
          </cell>
          <cell r="Q983" t="str">
            <v>PAGO DE PRESTACIONES SOCIALES DEFINITIVAS DE UN EXFUNCIONARIO DE LA ENTIDAD</v>
          </cell>
          <cell r="R983">
            <v>72000</v>
          </cell>
          <cell r="S983">
            <v>0</v>
          </cell>
          <cell r="T983">
            <v>0</v>
          </cell>
          <cell r="U983">
            <v>72000</v>
          </cell>
          <cell r="V983">
            <v>0</v>
          </cell>
        </row>
        <row r="984">
          <cell r="J984">
            <v>1525</v>
          </cell>
          <cell r="K984">
            <v>43164</v>
          </cell>
          <cell r="L984" t="str">
            <v>CAJA DE VIVIENDA POPULAR</v>
          </cell>
          <cell r="M984">
            <v>31</v>
          </cell>
          <cell r="N984" t="str">
            <v>RESOLUCION</v>
          </cell>
          <cell r="O984">
            <v>1459</v>
          </cell>
          <cell r="P984">
            <v>43164</v>
          </cell>
          <cell r="Q984" t="str">
            <v>PAGO AUXILIO DE ESTUDIO SEGÚN CONVENCIÓN COLECTIVA DE TRABAJADORES DE NOVIEMBRE 29 DE 1990 CLAUSULA 10</v>
          </cell>
          <cell r="R984">
            <v>3879630</v>
          </cell>
          <cell r="S984">
            <v>0</v>
          </cell>
          <cell r="T984">
            <v>0</v>
          </cell>
          <cell r="U984">
            <v>3879630</v>
          </cell>
          <cell r="V984">
            <v>3879630</v>
          </cell>
        </row>
        <row r="985">
          <cell r="J985">
            <v>1809</v>
          </cell>
          <cell r="K985">
            <v>43208</v>
          </cell>
          <cell r="L985" t="str">
            <v>MARISOL  MALAGON PARRA</v>
          </cell>
          <cell r="M985">
            <v>31</v>
          </cell>
          <cell r="N985" t="str">
            <v>RESOLUCION</v>
          </cell>
          <cell r="O985">
            <v>1860</v>
          </cell>
          <cell r="P985">
            <v>43208</v>
          </cell>
          <cell r="Q985" t="str">
            <v>PAGO AUXILIO FUNERARIO A MARISOL MALAGON PARRA POR LA MUERTE DE SU SEÑOR PADRE, SERVILIO MALAGON MENJURA, PARA LO CUAL ANEXO COPIA DEL REGISTRO CIVIL DE DEFUNCION INDICATIVO SERIAL 09529960. DE ACUERDO A LA CLÁUSULA NOVENA, CAPÍTULO III DE LA CONVENCIÓN COLECTIVA DE TRABAJO FIRMADA ENTRE LA CAJA DE LA VIVIENDA POPULAR Y EL SINDICATO DE TRABAJADORES, DEL VEINTINUEVE (29) DE NOVIEMBRE DE MIL NOVECIENTOS NOVENTA (1990), ¿EN CASO DE FALLECIMIENTO DE ALGUNO DE LOS PADRES DEL TRABAJADOR, LA CAJA DE LA VIVIENDA POPULAR, RECONOCERÁ Y PAGARÁ UN AUXILIO FUNERARIO EQUIVALENTE A UN SALARIO MÍNIMO CONVENCIONAL, EL CUAL SE DARÁ DIRECTAMENTE AL TRABAJADOR.</v>
          </cell>
          <cell r="R985">
            <v>2346902</v>
          </cell>
          <cell r="S985">
            <v>0</v>
          </cell>
          <cell r="T985">
            <v>0</v>
          </cell>
          <cell r="U985">
            <v>2346902</v>
          </cell>
          <cell r="V985">
            <v>2346902</v>
          </cell>
        </row>
        <row r="986">
          <cell r="J986">
            <v>1810</v>
          </cell>
          <cell r="K986">
            <v>43209</v>
          </cell>
          <cell r="L986" t="str">
            <v>JOSE IGNACIO BLANCO TORRES</v>
          </cell>
          <cell r="M986">
            <v>31</v>
          </cell>
          <cell r="N986" t="str">
            <v>RESOLUCION</v>
          </cell>
          <cell r="O986">
            <v>1861</v>
          </cell>
          <cell r="P986">
            <v>43209</v>
          </cell>
          <cell r="Q986" t="str">
            <v>PAGO AUXILIO DE ESTUDIO SEGÚN CONVENCIÓN COLECTIVA DE TRABAJADORES DE NOVIEMBRE 29 DE 1990 CLAUSULA 10</v>
          </cell>
          <cell r="R986">
            <v>505641</v>
          </cell>
          <cell r="S986">
            <v>0</v>
          </cell>
          <cell r="T986">
            <v>0</v>
          </cell>
          <cell r="U986">
            <v>505641</v>
          </cell>
          <cell r="V986">
            <v>505641</v>
          </cell>
        </row>
        <row r="987">
          <cell r="J987">
            <v>2549</v>
          </cell>
          <cell r="K987">
            <v>43312</v>
          </cell>
          <cell r="L987" t="str">
            <v>GELEN LIZETH LOAIZA PARRA</v>
          </cell>
          <cell r="M987">
            <v>31</v>
          </cell>
          <cell r="N987" t="str">
            <v>RESOLUCION</v>
          </cell>
          <cell r="O987">
            <v>2954</v>
          </cell>
          <cell r="P987">
            <v>43312</v>
          </cell>
          <cell r="Q987" t="str">
            <v>Pago de Pasivo Exigible a nombre de la señora GELEN LIZETH LOAIZA PARRA  identificada con CC. 1.031.150.800 Contrato 246 de 2015 Acta de fenecimiento del 31/12/2016.</v>
          </cell>
          <cell r="R987">
            <v>450000</v>
          </cell>
          <cell r="S987">
            <v>0</v>
          </cell>
          <cell r="T987">
            <v>0</v>
          </cell>
          <cell r="U987">
            <v>450000</v>
          </cell>
          <cell r="V987">
            <v>0</v>
          </cell>
        </row>
        <row r="988">
          <cell r="J988">
            <v>305</v>
          </cell>
          <cell r="K988">
            <v>43122</v>
          </cell>
          <cell r="L988" t="str">
            <v>ELCIA  MUÑOZ DE JIMENEZ</v>
          </cell>
          <cell r="M988">
            <v>31</v>
          </cell>
          <cell r="N988" t="str">
            <v>RESOLUCION</v>
          </cell>
          <cell r="O988">
            <v>36</v>
          </cell>
          <cell r="P988">
            <v>43122</v>
          </cell>
          <cell r="Q988" t="str">
            <v>Asignacion del instrumento financiero a las familias ocupantes del predio que hayan superado la fase de verificacion dentro  del marco del Decreto 457 de 2017. LOCALIDAD: KENNEDY; BARRIO: VEREDITAS; ID: 2017-8-383725</v>
          </cell>
          <cell r="R988">
            <v>54686940</v>
          </cell>
          <cell r="S988">
            <v>0</v>
          </cell>
          <cell r="T988">
            <v>0</v>
          </cell>
          <cell r="U988">
            <v>54686940</v>
          </cell>
          <cell r="V988">
            <v>54686940</v>
          </cell>
        </row>
        <row r="989">
          <cell r="J989">
            <v>311</v>
          </cell>
          <cell r="K989">
            <v>43122</v>
          </cell>
          <cell r="L989" t="str">
            <v>FLOR MARINA MAHECHA SANCHEZ</v>
          </cell>
          <cell r="M989">
            <v>31</v>
          </cell>
          <cell r="N989" t="str">
            <v>RESOLUCION</v>
          </cell>
          <cell r="O989">
            <v>34</v>
          </cell>
          <cell r="P989">
            <v>43122</v>
          </cell>
          <cell r="Q989" t="str">
            <v>Asignacion del instrumento financiero a las familias ocupantes del predio que hayan superado la fase de verificacion dentro  del marco del Decreto 457 de 2017. LOCALIDAD: KENNEDY; BARRIO: VEREDITAS; ID: 2017-8-383652</v>
          </cell>
          <cell r="R989">
            <v>54686940</v>
          </cell>
          <cell r="S989">
            <v>0</v>
          </cell>
          <cell r="T989">
            <v>0</v>
          </cell>
          <cell r="U989">
            <v>54686940</v>
          </cell>
          <cell r="V989">
            <v>54686940</v>
          </cell>
        </row>
        <row r="990">
          <cell r="J990">
            <v>327</v>
          </cell>
          <cell r="K990">
            <v>43123</v>
          </cell>
          <cell r="L990" t="str">
            <v>MARLEN  PRIETO QUIROGA</v>
          </cell>
          <cell r="M990">
            <v>31</v>
          </cell>
          <cell r="N990" t="str">
            <v>RESOLUCION</v>
          </cell>
          <cell r="O990">
            <v>35</v>
          </cell>
          <cell r="P990">
            <v>43123</v>
          </cell>
          <cell r="Q990" t="str">
            <v>Asignacion del instrumento financiero a las familias ocupantes del predio que hayan superado la fase de verificacion dentro  del marco del Decreto 457 de 2017. LOCALIDAD: KENNEDY; BARRIO: VEREDITAS; ID: 2017-8-383660.</v>
          </cell>
          <cell r="R990">
            <v>54686940</v>
          </cell>
          <cell r="S990">
            <v>0</v>
          </cell>
          <cell r="T990">
            <v>0</v>
          </cell>
          <cell r="U990">
            <v>54686940</v>
          </cell>
          <cell r="V990">
            <v>54686940</v>
          </cell>
        </row>
        <row r="991">
          <cell r="J991">
            <v>328</v>
          </cell>
          <cell r="K991">
            <v>43123</v>
          </cell>
          <cell r="L991" t="str">
            <v>YULI ALEJANDRA RICO GUTIERREZ</v>
          </cell>
          <cell r="M991">
            <v>31</v>
          </cell>
          <cell r="N991" t="str">
            <v>RESOLUCION</v>
          </cell>
          <cell r="O991">
            <v>33</v>
          </cell>
          <cell r="P991">
            <v>43123</v>
          </cell>
          <cell r="Q991" t="str">
            <v>Asignacion del instrumento financiero a las familias ocupantes del predio que hayan superado la fase de verificacion dentro  del marco del Decreto 457 de 2017. LOCALIDAD: KENNEDY; BARRIO: VEREDITAS; ID: 2017-8-383788</v>
          </cell>
          <cell r="R991">
            <v>54686940</v>
          </cell>
          <cell r="S991">
            <v>0</v>
          </cell>
          <cell r="T991">
            <v>0</v>
          </cell>
          <cell r="U991">
            <v>54686940</v>
          </cell>
          <cell r="V991">
            <v>54686940</v>
          </cell>
        </row>
        <row r="992">
          <cell r="J992">
            <v>422</v>
          </cell>
          <cell r="K992">
            <v>43124</v>
          </cell>
          <cell r="L992" t="str">
            <v>INES  VALENCIA ORTIZ</v>
          </cell>
          <cell r="M992">
            <v>31</v>
          </cell>
          <cell r="N992" t="str">
            <v>RESOLUCION</v>
          </cell>
          <cell r="O992">
            <v>100</v>
          </cell>
          <cell r="P992">
            <v>43124</v>
          </cell>
          <cell r="Q992" t="str">
            <v>Asignacion del instrumento financiero a las familias ocupantes del predio que hayan superado la fase de verificacion dentro  del marco del Decreto 457 de 2017. LOCALIDAD: KENNEDY; BARRIO: VEREDITAS; ID: 2017-8-383714</v>
          </cell>
          <cell r="R992">
            <v>54686940</v>
          </cell>
          <cell r="S992">
            <v>0</v>
          </cell>
          <cell r="T992">
            <v>0</v>
          </cell>
          <cell r="U992">
            <v>54686940</v>
          </cell>
          <cell r="V992">
            <v>54686940</v>
          </cell>
        </row>
        <row r="993">
          <cell r="J993">
            <v>424</v>
          </cell>
          <cell r="K993">
            <v>43124</v>
          </cell>
          <cell r="L993" t="str">
            <v>RUSMEY  VERGARA CHARA</v>
          </cell>
          <cell r="M993">
            <v>31</v>
          </cell>
          <cell r="N993" t="str">
            <v>RESOLUCION</v>
          </cell>
          <cell r="O993">
            <v>101</v>
          </cell>
          <cell r="P993">
            <v>43124</v>
          </cell>
          <cell r="Q993" t="str">
            <v>Asignacion del instrumento financiero a las familias ocupantes del predio que hayan superado la fase de verificacion dentro  del marco del Decreto 457 de 2017. LOCALIDAD: KENNEDY; BARRIO: VEREDITAS; ID: 2017-8-383707.</v>
          </cell>
          <cell r="R993">
            <v>54686940</v>
          </cell>
          <cell r="S993">
            <v>0</v>
          </cell>
          <cell r="T993">
            <v>0</v>
          </cell>
          <cell r="U993">
            <v>54686940</v>
          </cell>
          <cell r="V993">
            <v>54686940</v>
          </cell>
        </row>
        <row r="994">
          <cell r="J994">
            <v>509</v>
          </cell>
          <cell r="K994">
            <v>43129</v>
          </cell>
          <cell r="L994" t="str">
            <v>DIANA KATERIN ESTEVEZ USSA</v>
          </cell>
          <cell r="M994">
            <v>31</v>
          </cell>
          <cell r="N994" t="str">
            <v>RESOLUCION</v>
          </cell>
          <cell r="O994">
            <v>202</v>
          </cell>
          <cell r="P994">
            <v>43129</v>
          </cell>
          <cell r="Q994" t="str">
            <v>Asignacion del instrumento financiero a las familias ocupantes del predio que hayan superado la fase de verificacion dentro  del marco del Decreto 457 de 2017. LOCALIDAD: KENNEDY; BARRIO: VEREDITAS; ID: 2017-8-383724</v>
          </cell>
          <cell r="R994">
            <v>54686940</v>
          </cell>
          <cell r="S994">
            <v>0</v>
          </cell>
          <cell r="T994">
            <v>0</v>
          </cell>
          <cell r="U994">
            <v>54686940</v>
          </cell>
          <cell r="V994">
            <v>54686940</v>
          </cell>
        </row>
        <row r="995">
          <cell r="J995">
            <v>510</v>
          </cell>
          <cell r="K995">
            <v>43129</v>
          </cell>
          <cell r="L995" t="str">
            <v>LILIANA PATRICIA GARCIA DIAZ</v>
          </cell>
          <cell r="M995">
            <v>31</v>
          </cell>
          <cell r="N995" t="str">
            <v>RESOLUCION</v>
          </cell>
          <cell r="O995">
            <v>203</v>
          </cell>
          <cell r="P995">
            <v>43129</v>
          </cell>
          <cell r="Q995" t="str">
            <v>Asignacion del instrumento financiero a las familias ocupantes del predio que hayan superado la fase de verificacion dentro  del marco del Decreto 457 de 2017. LOCALIDAD: KENNEDY; BARRIO: VEREDITAS; ID: 2017-8-383669</v>
          </cell>
          <cell r="R995">
            <v>54686940</v>
          </cell>
          <cell r="S995">
            <v>0</v>
          </cell>
          <cell r="T995">
            <v>0</v>
          </cell>
          <cell r="U995">
            <v>54686940</v>
          </cell>
          <cell r="V995">
            <v>54686940</v>
          </cell>
        </row>
        <row r="996">
          <cell r="J996">
            <v>511</v>
          </cell>
          <cell r="K996">
            <v>43129</v>
          </cell>
          <cell r="L996" t="str">
            <v>SARA JOHANNA MONTAÑO PRIETO</v>
          </cell>
          <cell r="M996">
            <v>31</v>
          </cell>
          <cell r="N996" t="str">
            <v>RESOLUCION</v>
          </cell>
          <cell r="O996">
            <v>201</v>
          </cell>
          <cell r="P996">
            <v>43129</v>
          </cell>
          <cell r="Q996" t="str">
            <v>Asignacion del instrumento financiero a las familias ocupantes del predio que hayan superado la fase de verificacion dentro  del marco del Decreto 457 de 2017. LOCALIDAD: KENNEDY; BARRIO: VEREDITAS; ID: ID: 2017-8-383832.</v>
          </cell>
          <cell r="R996">
            <v>54686940</v>
          </cell>
          <cell r="S996">
            <v>0</v>
          </cell>
          <cell r="T996">
            <v>0</v>
          </cell>
          <cell r="U996">
            <v>54686940</v>
          </cell>
          <cell r="V996">
            <v>54686940</v>
          </cell>
        </row>
        <row r="997">
          <cell r="J997">
            <v>512</v>
          </cell>
          <cell r="K997">
            <v>43129</v>
          </cell>
          <cell r="L997" t="str">
            <v>JOHAN SANTIAGO LOPEZ ROMERO</v>
          </cell>
          <cell r="M997">
            <v>31</v>
          </cell>
          <cell r="N997" t="str">
            <v>RESOLUCION</v>
          </cell>
          <cell r="O997">
            <v>205</v>
          </cell>
          <cell r="P997">
            <v>43129</v>
          </cell>
          <cell r="Q997" t="str">
            <v>Asignacion del instrumento financiero a las familias ocupantes del predio que hayan superado la fase de verificacion dentro  del marco del Decreto 457 de 2017. LOCALIDAD: KENNEDY; BARRIO: VEREDITAS; ID: 2017-8-383774</v>
          </cell>
          <cell r="R997">
            <v>54686940</v>
          </cell>
          <cell r="S997">
            <v>0</v>
          </cell>
          <cell r="T997">
            <v>0</v>
          </cell>
          <cell r="U997">
            <v>54686940</v>
          </cell>
          <cell r="V997">
            <v>54686940</v>
          </cell>
        </row>
        <row r="998">
          <cell r="J998">
            <v>513</v>
          </cell>
          <cell r="K998">
            <v>43129</v>
          </cell>
          <cell r="L998" t="str">
            <v>LUIS ALBERTO MURCIA ESCALANTE</v>
          </cell>
          <cell r="M998">
            <v>31</v>
          </cell>
          <cell r="N998" t="str">
            <v>RESOLUCION</v>
          </cell>
          <cell r="O998">
            <v>204</v>
          </cell>
          <cell r="P998">
            <v>43129</v>
          </cell>
          <cell r="Q998" t="str">
            <v>Asignacion del instrumento financiero a las familias ocupantes del predio que hayan superado la fase de verificacion dentro  del marco del Decreto 457 de 2017. LOCALIDAD: KENNEDY; BARRIO: VEREDITAS; ID: 2017-8-383702</v>
          </cell>
          <cell r="R998">
            <v>54686940</v>
          </cell>
          <cell r="S998">
            <v>0</v>
          </cell>
          <cell r="T998">
            <v>0</v>
          </cell>
          <cell r="U998">
            <v>54686940</v>
          </cell>
          <cell r="V998">
            <v>54686940</v>
          </cell>
        </row>
        <row r="999">
          <cell r="J999">
            <v>515</v>
          </cell>
          <cell r="K999">
            <v>43131</v>
          </cell>
          <cell r="L999" t="str">
            <v>ASCENCION REBECA RODRIGUEZ RODRIGUEZ</v>
          </cell>
          <cell r="M999">
            <v>31</v>
          </cell>
          <cell r="N999" t="str">
            <v>RESOLUCION</v>
          </cell>
          <cell r="O999">
            <v>220</v>
          </cell>
          <cell r="P999">
            <v>43131</v>
          </cell>
          <cell r="Q999" t="str">
            <v>EXCEDENTE DE VUR CONFORME AL AVALÚO COMERCIAL (ASIGNACIÓN SEGUNDA VEZ). LOCALIDAD: SAN CRISTOBAL; BARRIO: LA BELLEZA;ID: 2013-Q10-00496</v>
          </cell>
          <cell r="R999">
            <v>30003100</v>
          </cell>
          <cell r="S999">
            <v>0</v>
          </cell>
          <cell r="T999">
            <v>0</v>
          </cell>
          <cell r="U999">
            <v>30003100</v>
          </cell>
          <cell r="V999">
            <v>30003100</v>
          </cell>
        </row>
        <row r="1000">
          <cell r="J1000">
            <v>516</v>
          </cell>
          <cell r="K1000">
            <v>43131</v>
          </cell>
          <cell r="L1000" t="str">
            <v>GIOVANNY  GUASCA RODRIGUEZ</v>
          </cell>
          <cell r="M1000">
            <v>31</v>
          </cell>
          <cell r="N1000" t="str">
            <v>RESOLUCION</v>
          </cell>
          <cell r="O1000">
            <v>221</v>
          </cell>
          <cell r="P1000">
            <v>43131</v>
          </cell>
          <cell r="Q1000" t="str">
            <v>Excedente de VUR conforme al avalúo comercial (Asignación segunda vez)Dto. 255 de 2013. LOCALIDAD:SAN CRISTOBAL; BARRIO: QUINDIO; ID: 2015-Q20-04059</v>
          </cell>
          <cell r="R1000">
            <v>16367330</v>
          </cell>
          <cell r="S1000">
            <v>0</v>
          </cell>
          <cell r="T1000">
            <v>0</v>
          </cell>
          <cell r="U1000">
            <v>16367330</v>
          </cell>
          <cell r="V1000">
            <v>16367330</v>
          </cell>
        </row>
        <row r="1001">
          <cell r="J1001">
            <v>517</v>
          </cell>
          <cell r="K1001">
            <v>43132</v>
          </cell>
          <cell r="L1001" t="str">
            <v>ALEXANDER  OYOLA CULMA</v>
          </cell>
          <cell r="M1001">
            <v>31</v>
          </cell>
          <cell r="N1001" t="str">
            <v>RESOLUCION</v>
          </cell>
          <cell r="O1001">
            <v>342</v>
          </cell>
          <cell r="P1001">
            <v>43132</v>
          </cell>
          <cell r="Q1001" t="str">
            <v>VUR de la actual vigencia de acuerdo con el Decreto 255 de 2013. LOCALIDAD: CIUDAD BOLIVAR; BARRIO:EL MIRADOR 3; 2017-19-14978</v>
          </cell>
          <cell r="R1001">
            <v>39062100</v>
          </cell>
          <cell r="S1001">
            <v>0</v>
          </cell>
          <cell r="T1001">
            <v>0</v>
          </cell>
          <cell r="U1001">
            <v>39062100</v>
          </cell>
          <cell r="V1001">
            <v>39062100</v>
          </cell>
        </row>
        <row r="1002">
          <cell r="J1002">
            <v>518</v>
          </cell>
          <cell r="K1002">
            <v>43132</v>
          </cell>
          <cell r="L1002" t="str">
            <v>IVANEIDER  VARGAS COLLAZOS</v>
          </cell>
          <cell r="M1002">
            <v>31</v>
          </cell>
          <cell r="N1002" t="str">
            <v>RESOLUCION</v>
          </cell>
          <cell r="O1002">
            <v>341</v>
          </cell>
          <cell r="P1002">
            <v>43132</v>
          </cell>
          <cell r="Q1002" t="str">
            <v>Asignacion del instrumento financiero a las familias ocupantes del predio que hayan superado la fase de verificacion dentro  del marco del Decreto 457 de 2017. LOCALIDAD: KENNEDY; BARRIO: VEREDITAS; ID: 2017-8-383741</v>
          </cell>
          <cell r="R1002">
            <v>54686940</v>
          </cell>
          <cell r="S1002">
            <v>0</v>
          </cell>
          <cell r="T1002">
            <v>0</v>
          </cell>
          <cell r="U1002">
            <v>54686940</v>
          </cell>
          <cell r="V1002">
            <v>54686940</v>
          </cell>
        </row>
        <row r="1003">
          <cell r="J1003">
            <v>519</v>
          </cell>
          <cell r="K1003">
            <v>43132</v>
          </cell>
          <cell r="L1003" t="str">
            <v>JOHAN DANIEL WILCHES LOPEZ</v>
          </cell>
          <cell r="M1003">
            <v>31</v>
          </cell>
          <cell r="N1003" t="str">
            <v>RESOLUCION</v>
          </cell>
          <cell r="O1003">
            <v>340</v>
          </cell>
          <cell r="P1003">
            <v>43132</v>
          </cell>
          <cell r="Q1003" t="str">
            <v>Asignacion del instrumento financiero a las familias ocupantes del predio que hayan superado la fase de verificacion dentro  del marco del Decreto 457 de 2017. LOCALIDAD: KENNEDY; BARRIO: VEREDITAS; ID: 2017-8-383884</v>
          </cell>
          <cell r="R1003">
            <v>54686940</v>
          </cell>
          <cell r="S1003">
            <v>0</v>
          </cell>
          <cell r="T1003">
            <v>0</v>
          </cell>
          <cell r="U1003">
            <v>54686940</v>
          </cell>
          <cell r="V1003">
            <v>54686940</v>
          </cell>
        </row>
        <row r="1004">
          <cell r="J1004">
            <v>520</v>
          </cell>
          <cell r="K1004">
            <v>43132</v>
          </cell>
          <cell r="L1004" t="str">
            <v>GRACIELA  RODRIGUEZ PINTO</v>
          </cell>
          <cell r="M1004">
            <v>31</v>
          </cell>
          <cell r="N1004" t="str">
            <v>RESOLUCION</v>
          </cell>
          <cell r="O1004">
            <v>335</v>
          </cell>
          <cell r="P1004">
            <v>43132</v>
          </cell>
          <cell r="Q1004" t="str">
            <v>Asignacion del instrumento financiero a las familias ocupantes del predio que hayan superado la fase de verificacion dentro  del marco del Decreto 457 de 2017. LOCALIDAD: KENNEDY; BARRIO: VEREDITAS; ID: 2017-8-383694</v>
          </cell>
          <cell r="R1004">
            <v>54686940</v>
          </cell>
          <cell r="S1004">
            <v>0</v>
          </cell>
          <cell r="T1004">
            <v>0</v>
          </cell>
          <cell r="U1004">
            <v>54686940</v>
          </cell>
          <cell r="V1004">
            <v>54686940</v>
          </cell>
        </row>
        <row r="1005">
          <cell r="J1005">
            <v>521</v>
          </cell>
          <cell r="K1005">
            <v>43132</v>
          </cell>
          <cell r="L1005" t="str">
            <v>CRISTIAN ALEXIS CAIPA LOPEZ</v>
          </cell>
          <cell r="M1005">
            <v>31</v>
          </cell>
          <cell r="N1005" t="str">
            <v>RESOLUCION</v>
          </cell>
          <cell r="O1005">
            <v>336</v>
          </cell>
          <cell r="P1005">
            <v>43132</v>
          </cell>
          <cell r="Q1005" t="str">
            <v>Asignacion del instrumento financiero a las familias ocupantes del predio que hayan superado la fase de verificacion dentro  del marco del Decreto 457 de 2017. LOCALIDAD: KENNEDY; BARRIO: VEREDITAS; ID: 2017-8-383883</v>
          </cell>
          <cell r="R1005">
            <v>54686940</v>
          </cell>
          <cell r="S1005">
            <v>0</v>
          </cell>
          <cell r="T1005">
            <v>0</v>
          </cell>
          <cell r="U1005">
            <v>54686940</v>
          </cell>
          <cell r="V1005">
            <v>54686940</v>
          </cell>
        </row>
        <row r="1006">
          <cell r="J1006">
            <v>522</v>
          </cell>
          <cell r="K1006">
            <v>43132</v>
          </cell>
          <cell r="L1006" t="str">
            <v>OLGA MILENA PRIETO ROJAS</v>
          </cell>
          <cell r="M1006">
            <v>31</v>
          </cell>
          <cell r="N1006" t="str">
            <v>RESOLUCION</v>
          </cell>
          <cell r="O1006">
            <v>339</v>
          </cell>
          <cell r="P1006">
            <v>43132</v>
          </cell>
          <cell r="Q1006" t="str">
            <v>Asignacion del instrumento financiero a las familias ocupantes del predio que hayan superado la fase de verificacion dentro  del marco del Decreto 457 de 2017. LOCALIDAD: KENNEDY; BARRIO: VEREDITAS; ID: 2017-8-383661</v>
          </cell>
          <cell r="R1006">
            <v>54686940</v>
          </cell>
          <cell r="S1006">
            <v>0</v>
          </cell>
          <cell r="T1006">
            <v>0</v>
          </cell>
          <cell r="U1006">
            <v>54686940</v>
          </cell>
          <cell r="V1006">
            <v>54686940</v>
          </cell>
        </row>
        <row r="1007">
          <cell r="J1007">
            <v>523</v>
          </cell>
          <cell r="K1007">
            <v>43132</v>
          </cell>
          <cell r="L1007" t="str">
            <v>LINA KATHERINE AYALA SANTANA</v>
          </cell>
          <cell r="M1007">
            <v>31</v>
          </cell>
          <cell r="N1007" t="str">
            <v>RESOLUCION</v>
          </cell>
          <cell r="O1007">
            <v>337</v>
          </cell>
          <cell r="P1007">
            <v>43132</v>
          </cell>
          <cell r="Q1007" t="str">
            <v>Asignacion del instrumento financiero a las familias ocupantes del predio que hayan superado la fase de verificacion dentro  del marco del Decreto 457 de 2017. LOCALIDAD: KENNEDY; BARRIO: VEREDITAS; ID: 2017-8-383886</v>
          </cell>
          <cell r="R1007">
            <v>54686940</v>
          </cell>
          <cell r="S1007">
            <v>0</v>
          </cell>
          <cell r="T1007">
            <v>0</v>
          </cell>
          <cell r="U1007">
            <v>54686940</v>
          </cell>
          <cell r="V1007">
            <v>54686940</v>
          </cell>
        </row>
        <row r="1008">
          <cell r="J1008">
            <v>524</v>
          </cell>
          <cell r="K1008">
            <v>43132</v>
          </cell>
          <cell r="L1008" t="str">
            <v>TATIANA ASTRID GARZON MONCADA</v>
          </cell>
          <cell r="M1008">
            <v>31</v>
          </cell>
          <cell r="N1008" t="str">
            <v>RESOLUCION</v>
          </cell>
          <cell r="O1008">
            <v>338</v>
          </cell>
          <cell r="P1008">
            <v>43132</v>
          </cell>
          <cell r="Q1008" t="str">
            <v>Asignacion del instrumento financiero a las familias ocupantes del predio que hayan superado la fase de verificacion dentro  del marco del Decreto 457 de 2017. LOCALIDAD: KENNEDY; BARRIO: VEREDITAS; ID: 2017-8-383885</v>
          </cell>
          <cell r="R1008">
            <v>54686940</v>
          </cell>
          <cell r="S1008">
            <v>0</v>
          </cell>
          <cell r="T1008">
            <v>0</v>
          </cell>
          <cell r="U1008">
            <v>54686940</v>
          </cell>
          <cell r="V1008">
            <v>54686940</v>
          </cell>
        </row>
        <row r="1009">
          <cell r="J1009">
            <v>525</v>
          </cell>
          <cell r="K1009">
            <v>43132</v>
          </cell>
          <cell r="L1009" t="str">
            <v>ERIC STEVE LOPEZ PENAGOS</v>
          </cell>
          <cell r="M1009">
            <v>31</v>
          </cell>
          <cell r="N1009" t="str">
            <v>RESOLUCION</v>
          </cell>
          <cell r="O1009">
            <v>333</v>
          </cell>
          <cell r="P1009">
            <v>43132</v>
          </cell>
          <cell r="Q1009" t="str">
            <v>Asignacion del instrumento financiero a las familias ocupantes del predio que hayan superado la fase de verificacion dentro  del marco del Decreto 457 de 2017. LOCALIDAD: KENNEDY; BARRIO: VEREDITAS; ID: 2017-8-383889</v>
          </cell>
          <cell r="R1009">
            <v>54686940</v>
          </cell>
          <cell r="S1009">
            <v>0</v>
          </cell>
          <cell r="T1009">
            <v>0</v>
          </cell>
          <cell r="U1009">
            <v>54686940</v>
          </cell>
          <cell r="V1009">
            <v>54686940</v>
          </cell>
        </row>
        <row r="1010">
          <cell r="J1010">
            <v>526</v>
          </cell>
          <cell r="K1010">
            <v>43132</v>
          </cell>
          <cell r="L1010" t="str">
            <v>CAROLINA  NOPE ARIAS</v>
          </cell>
          <cell r="M1010">
            <v>31</v>
          </cell>
          <cell r="N1010" t="str">
            <v>RESOLUCION</v>
          </cell>
          <cell r="O1010">
            <v>334</v>
          </cell>
          <cell r="P1010">
            <v>43132</v>
          </cell>
          <cell r="Q1010" t="str">
            <v>Asignacion del instrumento financiero a las familias ocupantes del predio que hayan superado la fase de verificacion dentro  del marco del Decreto 457 de 2017. LOCALIDAD: KENNEDY; BARRIO: VEREDITAS; ID: 2017-8-383663</v>
          </cell>
          <cell r="R1010">
            <v>54686940</v>
          </cell>
          <cell r="S1010">
            <v>0</v>
          </cell>
          <cell r="T1010">
            <v>0</v>
          </cell>
          <cell r="U1010">
            <v>54686940</v>
          </cell>
          <cell r="V1010">
            <v>54686940</v>
          </cell>
        </row>
        <row r="1011">
          <cell r="J1011">
            <v>528</v>
          </cell>
          <cell r="K1011">
            <v>43133</v>
          </cell>
          <cell r="L1011" t="str">
            <v>SANDRA LILIANA AREVALO RAMIREZ</v>
          </cell>
          <cell r="M1011">
            <v>31</v>
          </cell>
          <cell r="N1011" t="str">
            <v>RESOLUCION</v>
          </cell>
          <cell r="O1011">
            <v>330</v>
          </cell>
          <cell r="P1011">
            <v>43133</v>
          </cell>
          <cell r="Q1011" t="str">
            <v>AYUDA TEMPORAL A LAS FAMILIAS DE VARIAS LOCALIDADES, PARA RELOCALIZACIÓN DE HOGARES LOCALIZADOS EN ZONAS DE ALTO RIESGO NO MITIGABLE ID:2011-18-13228, LOCALIDAD:18 RAFAEL URIBE URIBE, UPZ:54 MARRUECOS</v>
          </cell>
          <cell r="R1011">
            <v>5754190</v>
          </cell>
          <cell r="S1011">
            <v>0</v>
          </cell>
          <cell r="T1011">
            <v>0</v>
          </cell>
          <cell r="U1011">
            <v>5754190</v>
          </cell>
          <cell r="V1011">
            <v>3098410</v>
          </cell>
        </row>
        <row r="1012">
          <cell r="J1012">
            <v>529</v>
          </cell>
          <cell r="K1012">
            <v>43133</v>
          </cell>
          <cell r="L1012" t="str">
            <v>YOLANDA  ROJAS RIAÑO</v>
          </cell>
          <cell r="M1012">
            <v>31</v>
          </cell>
          <cell r="N1012" t="str">
            <v>RESOLUCION</v>
          </cell>
          <cell r="O1012">
            <v>323</v>
          </cell>
          <cell r="P1012">
            <v>43133</v>
          </cell>
          <cell r="Q1012" t="str">
            <v>AYUDA TEMPORAL A LAS FAMILIAS DE VARIAS LOCALIDADES, PARA RELOCALIZACIÓN DE HOGARES LOCALIZADOS EN ZONAS DE ALTO RIESGO NO MITIGABLE ID:2010-19-11706, LOCALIDAD:19 CIUDAD BOLÍVAR, UPZ:69 ISMAEL PERDOMO, SECTOR:OLA INVERNAL 2010 FOPAE</v>
          </cell>
          <cell r="R1012">
            <v>2895708</v>
          </cell>
          <cell r="S1012">
            <v>965236</v>
          </cell>
          <cell r="T1012">
            <v>0</v>
          </cell>
          <cell r="U1012">
            <v>1930472</v>
          </cell>
          <cell r="V1012">
            <v>1930472</v>
          </cell>
        </row>
        <row r="1013">
          <cell r="J1013">
            <v>530</v>
          </cell>
          <cell r="K1013">
            <v>43133</v>
          </cell>
          <cell r="L1013" t="str">
            <v>JUANA PAULA GAÑAN DE TAPASCO</v>
          </cell>
          <cell r="M1013">
            <v>31</v>
          </cell>
          <cell r="N1013" t="str">
            <v>RESOLUCION</v>
          </cell>
          <cell r="O1013">
            <v>324</v>
          </cell>
          <cell r="P1013">
            <v>43133</v>
          </cell>
          <cell r="Q1013" t="str">
            <v>AYUDA TEMPORAL A LAS FAMILIAS DE VARIAS LOCALIDADES, PARA RELOCALIZACIÓN DE HOGARES LOCALIZADOS EN ZONAS DE ALTO RIESGO NO MITIGABLE ID:2011-4-12722, LOCALIDAD:04 SAN CRISTÓBAL, UPZ:32 SAN BLAS</v>
          </cell>
          <cell r="R1013">
            <v>2281062</v>
          </cell>
          <cell r="S1013">
            <v>380177</v>
          </cell>
          <cell r="T1013">
            <v>0</v>
          </cell>
          <cell r="U1013">
            <v>1900885</v>
          </cell>
          <cell r="V1013">
            <v>1900885</v>
          </cell>
        </row>
        <row r="1014">
          <cell r="J1014">
            <v>531</v>
          </cell>
          <cell r="K1014">
            <v>43133</v>
          </cell>
          <cell r="L1014" t="str">
            <v>ANDREA ESTEFANIA GARZON VARGAS</v>
          </cell>
          <cell r="M1014">
            <v>31</v>
          </cell>
          <cell r="N1014" t="str">
            <v>RESOLUCION</v>
          </cell>
          <cell r="O1014">
            <v>157</v>
          </cell>
          <cell r="P1014">
            <v>43133</v>
          </cell>
          <cell r="Q1014" t="str">
            <v>AYUDA TEMPORAL A LAS FAMILIAS DE VARIAS LOCALIDADES, PARA RELOCALIZACIÓN DE HOGARES LOCALIZADOS EN ZONAS DE ALTO RIESGO NO MITIGABLE ID:2016-OTR-01554, LOCALIDAD:04 SAN CRISTÓBAL, UPZ:32 SAN BLAS, SECTOR:TRIANGULO ALTO</v>
          </cell>
          <cell r="R1014">
            <v>6274047</v>
          </cell>
          <cell r="S1014">
            <v>0</v>
          </cell>
          <cell r="T1014">
            <v>0</v>
          </cell>
          <cell r="U1014">
            <v>6274047</v>
          </cell>
          <cell r="V1014">
            <v>3378333</v>
          </cell>
        </row>
        <row r="1015">
          <cell r="J1015">
            <v>532</v>
          </cell>
          <cell r="K1015">
            <v>43133</v>
          </cell>
          <cell r="L1015" t="str">
            <v>MARIA IMELDA RODRIGUEZ NIETO</v>
          </cell>
          <cell r="M1015">
            <v>31</v>
          </cell>
          <cell r="N1015" t="str">
            <v>RESOLUCION</v>
          </cell>
          <cell r="O1015">
            <v>158</v>
          </cell>
          <cell r="P1015">
            <v>43133</v>
          </cell>
          <cell r="Q1015" t="str">
            <v>AYUDA TEMPORAL A LAS FAMILIAS DE VARIAS LOCALIDADES, PARA RELOCALIZACIÓN DE HOGARES LOCALIZADOS EN ZONAS DE ALTO RIESGO NO MITIGABLE ID:2010-18-12379, LOCALIDAD:18 RAFAEL URIBE URIBE, UPZ:54 MARRUECOS, SECTOR:OLA INVERNAL 2010 FOPAE</v>
          </cell>
          <cell r="R1015">
            <v>2977345</v>
          </cell>
          <cell r="S1015">
            <v>425335</v>
          </cell>
          <cell r="T1015">
            <v>0</v>
          </cell>
          <cell r="U1015">
            <v>2552010</v>
          </cell>
          <cell r="V1015">
            <v>2552010</v>
          </cell>
        </row>
        <row r="1016">
          <cell r="J1016">
            <v>533</v>
          </cell>
          <cell r="K1016">
            <v>43133</v>
          </cell>
          <cell r="L1016" t="str">
            <v>GERMAN RICARDO DIAZ SILVA</v>
          </cell>
          <cell r="M1016">
            <v>31</v>
          </cell>
          <cell r="N1016" t="str">
            <v>RESOLUCION</v>
          </cell>
          <cell r="O1016">
            <v>515</v>
          </cell>
          <cell r="P1016">
            <v>43133</v>
          </cell>
          <cell r="Q1016" t="str">
            <v>Asignacion del instrumento financiero a las familias ocupantes del predio que hayan superado la fase de verificacion dentro  del marco del Decreto 457 de 2017. LOCALIDAD: KENNEDY; BARRIO: VEREDITAS; ID: 2017-8-383898</v>
          </cell>
          <cell r="R1016">
            <v>54686940</v>
          </cell>
          <cell r="S1016">
            <v>0</v>
          </cell>
          <cell r="T1016">
            <v>0</v>
          </cell>
          <cell r="U1016">
            <v>54686940</v>
          </cell>
          <cell r="V1016">
            <v>54686940</v>
          </cell>
        </row>
        <row r="1017">
          <cell r="J1017">
            <v>534</v>
          </cell>
          <cell r="K1017">
            <v>43133</v>
          </cell>
          <cell r="L1017" t="str">
            <v>DIANA MARCELA PARRA RAMIREZ</v>
          </cell>
          <cell r="M1017">
            <v>31</v>
          </cell>
          <cell r="N1017" t="str">
            <v>RESOLUCION</v>
          </cell>
          <cell r="O1017">
            <v>159</v>
          </cell>
          <cell r="P1017">
            <v>43133</v>
          </cell>
          <cell r="Q1017" t="str">
            <v>AYUDA TEMPORAL A LAS FAMILIAS DE VARIAS LOCALIDADES, PARA RELOCALIZACIÓN DE HOGARES LOCALIZADOS EN ZONAS DE ALTO RIESGO NO MITIGABLE ID:2011-19-12599, LOCALIDAD:19 CIUDAD BOLÍVAR, UPZ:67 LUCERO</v>
          </cell>
          <cell r="R1017">
            <v>3098410</v>
          </cell>
          <cell r="S1017">
            <v>885260</v>
          </cell>
          <cell r="T1017">
            <v>0</v>
          </cell>
          <cell r="U1017">
            <v>2213150</v>
          </cell>
          <cell r="V1017">
            <v>2213150</v>
          </cell>
        </row>
        <row r="1018">
          <cell r="J1018">
            <v>535</v>
          </cell>
          <cell r="K1018">
            <v>43133</v>
          </cell>
          <cell r="L1018" t="str">
            <v>MATEO  GONZALEZ MARTINEZ</v>
          </cell>
          <cell r="M1018">
            <v>31</v>
          </cell>
          <cell r="N1018" t="str">
            <v>RESOLUCION</v>
          </cell>
          <cell r="O1018">
            <v>160</v>
          </cell>
          <cell r="P1018">
            <v>43133</v>
          </cell>
          <cell r="Q1018" t="str">
            <v>AYUDA TEMPORAL A LAS FAMILIAS DE VARIAS LOCALIDADES, PARA RELOCALIZACIÓN DE HOGARES LOCALIZADOS EN ZONAS DE ALTO RIESGO NO MITIGABLE ID:2014-Q03-01020, LOCALIDAD:19 CIUDAD BOLÍVAR, UPZ:66 SAN FRANCISCO, SECTOR:LIMAS</v>
          </cell>
          <cell r="R1018">
            <v>2886555</v>
          </cell>
          <cell r="S1018">
            <v>412365</v>
          </cell>
          <cell r="T1018">
            <v>0</v>
          </cell>
          <cell r="U1018">
            <v>2474190</v>
          </cell>
          <cell r="V1018">
            <v>2474190</v>
          </cell>
        </row>
        <row r="1019">
          <cell r="J1019">
            <v>536</v>
          </cell>
          <cell r="K1019">
            <v>43133</v>
          </cell>
          <cell r="L1019" t="str">
            <v>MARIA JUDITH MORENO PUENTES</v>
          </cell>
          <cell r="M1019">
            <v>31</v>
          </cell>
          <cell r="N1019" t="str">
            <v>RESOLUCION</v>
          </cell>
          <cell r="O1019">
            <v>161</v>
          </cell>
          <cell r="P1019">
            <v>43133</v>
          </cell>
          <cell r="Q1019" t="str">
            <v>AYUDA TEMPORAL A LAS FAMILIAS DE VARIAS LOCALIDADES, PARA RELOCALIZACIÓN DE HOGARES LOCALIZADOS EN ZONAS DE ALTO RIESGO NO MITIGABLE ID:2013-Q04-00325, LOCALIDAD:19 CIUDAD BOLÍVAR, UPZ:67 LUCERO, SECTOR:QUEBRADA TROMPETA</v>
          </cell>
          <cell r="R1019">
            <v>2685291</v>
          </cell>
          <cell r="S1019">
            <v>767226</v>
          </cell>
          <cell r="T1019">
            <v>0</v>
          </cell>
          <cell r="U1019">
            <v>1918065</v>
          </cell>
          <cell r="V1019">
            <v>1918065</v>
          </cell>
        </row>
        <row r="1020">
          <cell r="J1020">
            <v>537</v>
          </cell>
          <cell r="K1020">
            <v>43133</v>
          </cell>
          <cell r="L1020" t="str">
            <v>JAIRO FELIPE ACOSTA MONTOYA</v>
          </cell>
          <cell r="M1020">
            <v>31</v>
          </cell>
          <cell r="N1020" t="str">
            <v>RESOLUCION</v>
          </cell>
          <cell r="O1020">
            <v>162</v>
          </cell>
          <cell r="P1020">
            <v>43133</v>
          </cell>
          <cell r="Q1020" t="str">
            <v>AYUDA TEMPORAL A LAS FAMILIAS DE VARIAS LOCALIDADES, PARA RELOCALIZACIÓN DE HOGARES LOCALIZADOS EN ZONAS DE ALTO RIESGO NO MITIGABLE ID:2011-18-13190, LOCALIDAD:18 RAFAEL URIBE URIBE, UPZ:55 DIANA TURBAY</v>
          </cell>
          <cell r="R1020">
            <v>2582006</v>
          </cell>
          <cell r="S1020">
            <v>0</v>
          </cell>
          <cell r="T1020">
            <v>0</v>
          </cell>
          <cell r="U1020">
            <v>2582006</v>
          </cell>
          <cell r="V1020">
            <v>1475432</v>
          </cell>
        </row>
        <row r="1021">
          <cell r="J1021">
            <v>538</v>
          </cell>
          <cell r="K1021">
            <v>43133</v>
          </cell>
          <cell r="L1021" t="str">
            <v>ELVIA MARIA GALINDO PAEZ</v>
          </cell>
          <cell r="M1021">
            <v>31</v>
          </cell>
          <cell r="N1021" t="str">
            <v>RESOLUCION</v>
          </cell>
          <cell r="O1021">
            <v>163</v>
          </cell>
          <cell r="P1021">
            <v>43133</v>
          </cell>
          <cell r="Q1021" t="str">
            <v>AYUDA TEMPORAL A LAS FAMILIAS DE VARIAS LOCALIDADES, PARA RELOCALIZACIÓN DE HOGARES LOCALIZADOS EN ZONAS DE ALTO RIESGO NO MITIGABLE ID:2011-4-13624, LOCALIDAD:04 SAN CRISTÓBAL, UPZ:50 LA GLORIA</v>
          </cell>
          <cell r="R1021">
            <v>5057910</v>
          </cell>
          <cell r="S1021">
            <v>0</v>
          </cell>
          <cell r="T1021">
            <v>0</v>
          </cell>
          <cell r="U1021">
            <v>5057910</v>
          </cell>
          <cell r="V1021">
            <v>2723490</v>
          </cell>
        </row>
        <row r="1022">
          <cell r="J1022">
            <v>539</v>
          </cell>
          <cell r="K1022">
            <v>43133</v>
          </cell>
          <cell r="L1022" t="str">
            <v>RAMIRO  LEON PEREZ</v>
          </cell>
          <cell r="M1022">
            <v>31</v>
          </cell>
          <cell r="N1022" t="str">
            <v>RESOLUCION</v>
          </cell>
          <cell r="O1022">
            <v>329</v>
          </cell>
          <cell r="P1022">
            <v>43133</v>
          </cell>
          <cell r="Q1022" t="str">
            <v>AYUDA TEMPORAL A LAS FAMILIAS DE VARIAS LOCALIDADES, PARA RELOCALIZACIÓN DE HOGARES LOCALIZADOS EN ZONAS DE ALTO RIESGO NO MITIGABLE ID:2011-4-12692, LOCALIDAD:04 SAN CRISTÓBAL, UPZ:32 SAN BLAS</v>
          </cell>
          <cell r="R1022">
            <v>2213148</v>
          </cell>
          <cell r="S1022">
            <v>368858</v>
          </cell>
          <cell r="T1022">
            <v>0</v>
          </cell>
          <cell r="U1022">
            <v>1844290</v>
          </cell>
          <cell r="V1022">
            <v>1844290</v>
          </cell>
        </row>
        <row r="1023">
          <cell r="J1023">
            <v>540</v>
          </cell>
          <cell r="K1023">
            <v>43133</v>
          </cell>
          <cell r="L1023" t="str">
            <v>MARIA BERENICE LIZARAZO CARREÑO</v>
          </cell>
          <cell r="M1023">
            <v>31</v>
          </cell>
          <cell r="N1023" t="str">
            <v>RESOLUCION</v>
          </cell>
          <cell r="O1023">
            <v>164</v>
          </cell>
          <cell r="P1023">
            <v>43133</v>
          </cell>
          <cell r="Q1023" t="str">
            <v>AYUDA TEMPORAL A LAS FAMILIAS DE VARIAS LOCALIDADES, PARA RELOCALIZACIÓN DE HOGARES LOCALIZADOS EN ZONAS DE ALTO RIESGO NO MITIGABLE ID:2005-18-6303, LOCALIDAD:18 RAFAEL URIBE URIBE, UPZ:55 DIANA TURBAY</v>
          </cell>
          <cell r="R1023">
            <v>3570210</v>
          </cell>
          <cell r="S1023">
            <v>0</v>
          </cell>
          <cell r="T1023">
            <v>0</v>
          </cell>
          <cell r="U1023">
            <v>3570210</v>
          </cell>
          <cell r="V1023">
            <v>1020060</v>
          </cell>
        </row>
        <row r="1024">
          <cell r="J1024">
            <v>541</v>
          </cell>
          <cell r="K1024">
            <v>43133</v>
          </cell>
          <cell r="L1024" t="str">
            <v>EDNA LICED CAPERA SERRANO</v>
          </cell>
          <cell r="M1024">
            <v>31</v>
          </cell>
          <cell r="N1024" t="str">
            <v>RESOLUCION</v>
          </cell>
          <cell r="O1024">
            <v>327</v>
          </cell>
          <cell r="P1024">
            <v>43133</v>
          </cell>
          <cell r="Q1024" t="str">
            <v>AYUDA TEMPORAL A LAS FAMILIAS DE VARIAS LOCALIDADES, PARA RELOCALIZACIÓN DE HOGARES LOCALIZADOS EN ZONAS DE ALTO RIESGO NO MITIGABLE ID:2016-08-14900, LOCALIDAD:08 KENNEDY, UPZ:82 PATIO BONITO, SECTOR:PALMITAS</v>
          </cell>
          <cell r="R1024">
            <v>3614814</v>
          </cell>
          <cell r="S1024">
            <v>0</v>
          </cell>
          <cell r="T1024">
            <v>0</v>
          </cell>
          <cell r="U1024">
            <v>3614814</v>
          </cell>
          <cell r="V1024">
            <v>3098412</v>
          </cell>
        </row>
        <row r="1025">
          <cell r="J1025">
            <v>543</v>
          </cell>
          <cell r="K1025">
            <v>43133</v>
          </cell>
          <cell r="L1025" t="str">
            <v>OLGA PATRICIA ZAMORA SALAMANCA</v>
          </cell>
          <cell r="M1025">
            <v>31</v>
          </cell>
          <cell r="N1025" t="str">
            <v>RESOLUCION</v>
          </cell>
          <cell r="O1025">
            <v>165</v>
          </cell>
          <cell r="P1025">
            <v>43133</v>
          </cell>
          <cell r="Q1025" t="str">
            <v>AYUDA TEMPORAL A LAS FAMILIAS DE VARIAS LOCALIDADES, PARA RELOCALIZACIÓN DE HOGARES LOCALIZADOS EN ZONAS DE ALTO RIESGO NO MITIGABLE ID:2006-4-7956, LOCALIDAD:04 SAN CRISTÓBAL, UPZ:32 SAN BLAS</v>
          </cell>
          <cell r="R1025">
            <v>2582006</v>
          </cell>
          <cell r="S1025">
            <v>368858</v>
          </cell>
          <cell r="T1025">
            <v>0</v>
          </cell>
          <cell r="U1025">
            <v>2213148</v>
          </cell>
          <cell r="V1025">
            <v>2213148</v>
          </cell>
        </row>
        <row r="1026">
          <cell r="J1026">
            <v>544</v>
          </cell>
          <cell r="K1026">
            <v>43133</v>
          </cell>
          <cell r="L1026" t="str">
            <v>JESUS EMILIO ORDOÑEZ BRAVO</v>
          </cell>
          <cell r="M1026">
            <v>31</v>
          </cell>
          <cell r="N1026" t="str">
            <v>RESOLUCION</v>
          </cell>
          <cell r="O1026">
            <v>328</v>
          </cell>
          <cell r="P1026">
            <v>43133</v>
          </cell>
          <cell r="Q1026" t="str">
            <v>AYUDA TEMPORAL A LAS FAMILIAS DE VARIAS LOCALIDADES, PARA RELOCALIZACIÓN DE HOGARES LOCALIZADOS EN ZONAS DE ALTO RIESGO NO MITIGABLE ID:2013-Q09-00470, LOCALIDAD:19 CIUDAD BOLÍVAR, UPZ:67 LUCERO, SECTOR:QUEBRADA TROMPETA</v>
          </cell>
          <cell r="R1026">
            <v>5361707</v>
          </cell>
          <cell r="S1026">
            <v>0</v>
          </cell>
          <cell r="T1026">
            <v>0</v>
          </cell>
          <cell r="U1026">
            <v>5361707</v>
          </cell>
          <cell r="V1026">
            <v>2887073</v>
          </cell>
        </row>
        <row r="1027">
          <cell r="J1027">
            <v>545</v>
          </cell>
          <cell r="K1027">
            <v>43133</v>
          </cell>
          <cell r="L1027" t="str">
            <v>YENIFER GABRIELA ORJUELA PACHECO</v>
          </cell>
          <cell r="M1027">
            <v>31</v>
          </cell>
          <cell r="N1027" t="str">
            <v>RESOLUCION</v>
          </cell>
          <cell r="O1027">
            <v>166</v>
          </cell>
          <cell r="P1027">
            <v>43133</v>
          </cell>
          <cell r="Q1027" t="str">
            <v>AYUDA TEMPORAL A LAS FAMILIAS DE VARIAS LOCALIDADES, PARA RELOCALIZACIÓN DE HOGARES LOCALIZADOS EN ZONAS DE ALTO RIESGO NO MITIGABLE ID:2016-08-14912, LOCALIDAD:08 KENNEDY, UPZ:82 PATIO BONITO, SECTOR:PALMITAS</v>
          </cell>
          <cell r="R1027">
            <v>5466487</v>
          </cell>
          <cell r="S1027">
            <v>0</v>
          </cell>
          <cell r="T1027">
            <v>0</v>
          </cell>
          <cell r="U1027">
            <v>5466487</v>
          </cell>
          <cell r="V1027">
            <v>2943493</v>
          </cell>
        </row>
        <row r="1028">
          <cell r="J1028">
            <v>547</v>
          </cell>
          <cell r="K1028">
            <v>43133</v>
          </cell>
          <cell r="L1028" t="str">
            <v>LUZ ADRIANA TUNJUELO NIEVES</v>
          </cell>
          <cell r="M1028">
            <v>31</v>
          </cell>
          <cell r="N1028" t="str">
            <v>RESOLUCION</v>
          </cell>
          <cell r="O1028">
            <v>167</v>
          </cell>
          <cell r="P1028">
            <v>43133</v>
          </cell>
          <cell r="Q1028" t="str">
            <v>AYUDA TEMPORAL A LAS FAMILIAS DE VARIAS LOCALIDADES, PARA RELOCALIZACIÓN DE HOGARES LOCALIZADOS EN ZONAS DE ALTO RIESGO NO MITIGABLE ID:2012-ALES-328, LOCALIDAD:19 CIUDAD BOLÍVAR, UPZ:69 ISMAEL PERDOMO, SECTOR:ALTOS DE LA ESTANCIA</v>
          </cell>
          <cell r="R1028">
            <v>3218670</v>
          </cell>
          <cell r="S1028">
            <v>459810</v>
          </cell>
          <cell r="T1028">
            <v>0</v>
          </cell>
          <cell r="U1028">
            <v>2758860</v>
          </cell>
          <cell r="V1028">
            <v>2758860</v>
          </cell>
        </row>
        <row r="1029">
          <cell r="J1029">
            <v>548</v>
          </cell>
          <cell r="K1029">
            <v>43133</v>
          </cell>
          <cell r="L1029" t="str">
            <v>MARIA ADIELA GIRALDO VALENCIA</v>
          </cell>
          <cell r="M1029">
            <v>31</v>
          </cell>
          <cell r="N1029" t="str">
            <v>RESOLUCION</v>
          </cell>
          <cell r="O1029">
            <v>223</v>
          </cell>
          <cell r="P1029">
            <v>43133</v>
          </cell>
          <cell r="Q1029" t="str">
            <v>AYUDA TEMPORAL A LAS FAMILIAS DE VARIAS LOCALIDADES, PARA RELOCALIZACIÓN DE HOGARES LOCALIZADOS EN ZONAS DE ALTO RIESGO NO MITIGABLE ID:2013000164, LOCALIDAD:19 CIUDAD BOLÍVAR, UPZ:67 LUCERO, SECTOR:QUEBRADA TROMPETA</v>
          </cell>
          <cell r="R1029">
            <v>5274672</v>
          </cell>
          <cell r="S1029">
            <v>0</v>
          </cell>
          <cell r="T1029">
            <v>0</v>
          </cell>
          <cell r="U1029">
            <v>5274672</v>
          </cell>
          <cell r="V1029">
            <v>1217232</v>
          </cell>
        </row>
        <row r="1030">
          <cell r="J1030">
            <v>549</v>
          </cell>
          <cell r="K1030">
            <v>43133</v>
          </cell>
          <cell r="L1030" t="str">
            <v>ROSENDO  SANCHEZ</v>
          </cell>
          <cell r="M1030">
            <v>31</v>
          </cell>
          <cell r="N1030" t="str">
            <v>RESOLUCION</v>
          </cell>
          <cell r="O1030">
            <v>224</v>
          </cell>
          <cell r="P1030">
            <v>43133</v>
          </cell>
          <cell r="Q1030" t="str">
            <v>AYUDA TEMPORAL A LAS FAMILIAS DE VARIAS LOCALIDADES, PARA RELOCALIZACIÓN DE HOGARES LOCALIZADOS EN ZONAS DE ALTO RIESGO NO MITIGABLE ID:2017-18-14937, LOCALIDAD:18 RAFAEL URIBE URIBE, UPZ:54 MARRUECOS</v>
          </cell>
          <cell r="R1030">
            <v>6233708</v>
          </cell>
          <cell r="S1030">
            <v>0</v>
          </cell>
          <cell r="T1030">
            <v>0</v>
          </cell>
          <cell r="U1030">
            <v>6233708</v>
          </cell>
          <cell r="V1030">
            <v>2397580</v>
          </cell>
        </row>
        <row r="1031">
          <cell r="J1031">
            <v>552</v>
          </cell>
          <cell r="K1031">
            <v>43133</v>
          </cell>
          <cell r="L1031" t="str">
            <v>MARIA EMILSE PATIÑO</v>
          </cell>
          <cell r="M1031">
            <v>31</v>
          </cell>
          <cell r="N1031" t="str">
            <v>RESOLUCION</v>
          </cell>
          <cell r="O1031">
            <v>168</v>
          </cell>
          <cell r="P1031">
            <v>43133</v>
          </cell>
          <cell r="Q1031" t="str">
            <v>AYUDA TEMPORAL A LAS FAMILIAS DE VARIAS LOCALIDADES, PARA RELOCALIZACIÓN DE HOGARES LOCALIZADOS EN ZONAS DE ALTO RIESGO NO MITIGABLE ID:2013-Q09-00467, LOCALIDAD:19 CIUDAD BOLÍVAR, UPZ:67 LUCERO, SECTOR:QUEBRADA TROMPETA</v>
          </cell>
          <cell r="R1031">
            <v>6431698</v>
          </cell>
          <cell r="S1031">
            <v>0</v>
          </cell>
          <cell r="T1031">
            <v>0</v>
          </cell>
          <cell r="U1031">
            <v>6431698</v>
          </cell>
          <cell r="V1031">
            <v>3463222</v>
          </cell>
        </row>
        <row r="1032">
          <cell r="J1032">
            <v>553</v>
          </cell>
          <cell r="K1032">
            <v>43133</v>
          </cell>
          <cell r="L1032" t="str">
            <v>JHONI  RIVERA PELAEZ</v>
          </cell>
          <cell r="M1032">
            <v>31</v>
          </cell>
          <cell r="N1032" t="str">
            <v>RESOLUCION</v>
          </cell>
          <cell r="O1032">
            <v>169</v>
          </cell>
          <cell r="P1032">
            <v>43133</v>
          </cell>
          <cell r="Q1032" t="str">
            <v>AYUDA TEMPORAL A LAS FAMILIAS DE VARIAS LOCALIDADES, PARA RELOCALIZACIÓN DE HOGARES LOCALIZADOS EN ZONAS DE ALTO RIESGO NO MITIGABLE ID:2016-08-14779, LOCALIDAD:08 KENNEDY, UPZ:82 PATIO BONITO, SECTOR:PALMITAS</v>
          </cell>
          <cell r="R1032">
            <v>5946005</v>
          </cell>
          <cell r="S1032">
            <v>0</v>
          </cell>
          <cell r="T1032">
            <v>0</v>
          </cell>
          <cell r="U1032">
            <v>5946005</v>
          </cell>
          <cell r="V1032">
            <v>1372155</v>
          </cell>
        </row>
        <row r="1033">
          <cell r="J1033">
            <v>554</v>
          </cell>
          <cell r="K1033">
            <v>43133</v>
          </cell>
          <cell r="L1033" t="str">
            <v>BLANCA CECILIA TORRES RISCANEVO</v>
          </cell>
          <cell r="M1033">
            <v>31</v>
          </cell>
          <cell r="N1033" t="str">
            <v>RESOLUCION</v>
          </cell>
          <cell r="O1033">
            <v>225</v>
          </cell>
          <cell r="P1033">
            <v>43133</v>
          </cell>
          <cell r="Q1033" t="str">
            <v>AYUDA TEMPORAL A LAS FAMILIAS DE VARIAS LOCALIDADES, PARA RELOCALIZACIÓN DE HOGARES LOCALIZADOS EN ZONAS DE ALTO RIESGO NO MITIGABLE ID:2016-08-14882, LOCALIDAD:08 KENNEDY, UPZ:82 PATIO BONITO, SECTOR:PALMITAS</v>
          </cell>
          <cell r="R1033">
            <v>6019776</v>
          </cell>
          <cell r="S1033">
            <v>0</v>
          </cell>
          <cell r="T1033">
            <v>0</v>
          </cell>
          <cell r="U1033">
            <v>6019776</v>
          </cell>
          <cell r="V1033">
            <v>3009888</v>
          </cell>
        </row>
        <row r="1034">
          <cell r="J1034">
            <v>555</v>
          </cell>
          <cell r="K1034">
            <v>43133</v>
          </cell>
          <cell r="L1034" t="str">
            <v>JOSE DANILO CIFUENTES</v>
          </cell>
          <cell r="M1034">
            <v>31</v>
          </cell>
          <cell r="N1034" t="str">
            <v>RESOLUCION</v>
          </cell>
          <cell r="O1034">
            <v>226</v>
          </cell>
          <cell r="P1034">
            <v>43133</v>
          </cell>
          <cell r="Q1034" t="str">
            <v>AYUDA TEMPORAL A LAS FAMILIAS DE VARIAS LOCALIDADES, PARA RELOCALIZACIÓN DE HOGARES LOCALIZADOS EN ZONAS DE ALTO RIESGO NO MITIGABLE ID:2012-19-13911, LOCALIDAD:19 CIUDAD BOLÍVAR, UPZ:67 LUCERO</v>
          </cell>
          <cell r="R1034">
            <v>2582006</v>
          </cell>
          <cell r="S1034">
            <v>0</v>
          </cell>
          <cell r="T1034">
            <v>0</v>
          </cell>
          <cell r="U1034">
            <v>2582006</v>
          </cell>
          <cell r="V1034">
            <v>1844290</v>
          </cell>
        </row>
        <row r="1035">
          <cell r="J1035">
            <v>556</v>
          </cell>
          <cell r="K1035">
            <v>43133</v>
          </cell>
          <cell r="L1035" t="str">
            <v>JUAN CRISOSTOMO MACETO RAYO</v>
          </cell>
          <cell r="M1035">
            <v>31</v>
          </cell>
          <cell r="N1035" t="str">
            <v>RESOLUCION</v>
          </cell>
          <cell r="O1035">
            <v>227</v>
          </cell>
          <cell r="P1035">
            <v>43133</v>
          </cell>
          <cell r="Q1035" t="str">
            <v>AYUDA TEMPORAL A LAS FAMILIAS DE VARIAS LOCALIDADES, PARA RELOCALIZACIÓN DE HOGARES LOCALIZADOS EN ZONAS DE ALTO RIESGO NO MITIGABLE ID:2015-D227-00022, LOCALIDAD:04 SAN CRISTÓBAL, UPZ:51 LOS LIBERTADORES, SECTOR:SANTA TERESITA</v>
          </cell>
          <cell r="R1035">
            <v>2661239</v>
          </cell>
          <cell r="S1035">
            <v>380177</v>
          </cell>
          <cell r="T1035">
            <v>0</v>
          </cell>
          <cell r="U1035">
            <v>2281062</v>
          </cell>
          <cell r="V1035">
            <v>2281062</v>
          </cell>
        </row>
        <row r="1036">
          <cell r="J1036">
            <v>557</v>
          </cell>
          <cell r="K1036">
            <v>43133</v>
          </cell>
          <cell r="L1036" t="str">
            <v>ORFA MARIA MURCIA GUZMAN</v>
          </cell>
          <cell r="M1036">
            <v>31</v>
          </cell>
          <cell r="N1036" t="str">
            <v>RESOLUCION</v>
          </cell>
          <cell r="O1036">
            <v>228</v>
          </cell>
          <cell r="P1036">
            <v>43133</v>
          </cell>
          <cell r="Q1036" t="str">
            <v>AYUDA TEMPORAL A LAS FAMILIAS DE VARIAS LOCALIDADES, PARA RELOCALIZACIÓN DE HOGARES LOCALIZADOS EN ZONAS DE ALTO RIESGO NO MITIGABLE ID:2013-Q21-00634, LOCALIDAD:19 CIUDAD BOLÍVAR, UPZ:67 LUCERO, SECTOR:BRAZO DERECHO DE LIMAS</v>
          </cell>
          <cell r="R1036">
            <v>2390202</v>
          </cell>
          <cell r="S1036">
            <v>398367</v>
          </cell>
          <cell r="T1036">
            <v>0</v>
          </cell>
          <cell r="U1036">
            <v>1991835</v>
          </cell>
          <cell r="V1036">
            <v>1991835</v>
          </cell>
        </row>
        <row r="1037">
          <cell r="J1037">
            <v>558</v>
          </cell>
          <cell r="K1037">
            <v>43133</v>
          </cell>
          <cell r="L1037" t="str">
            <v>DIEGO FERNANDO MORENO CRUZ</v>
          </cell>
          <cell r="M1037">
            <v>31</v>
          </cell>
          <cell r="N1037" t="str">
            <v>RESOLUCION</v>
          </cell>
          <cell r="O1037">
            <v>229</v>
          </cell>
          <cell r="P1037">
            <v>43102</v>
          </cell>
          <cell r="Q1037" t="str">
            <v>AYUDA TEMPORAL A LAS FAMILIAS DE VARIAS LOCALIDADES, PARA RELOCALIZACIÓN DE HOGARES LOCALIZADOS EN ZONAS DE ALTO RIESGO NO MITIGABLE ID:2012-ALES-1, LOCALIDAD:19 CIUDAD BOLÍVAR, UPZ:69 ISMAEL PERDOMO, SECTOR:ALTOS DE LA ESTANCIA</v>
          </cell>
          <cell r="R1037">
            <v>7000929</v>
          </cell>
          <cell r="S1037">
            <v>0</v>
          </cell>
          <cell r="T1037">
            <v>0</v>
          </cell>
          <cell r="U1037">
            <v>7000929</v>
          </cell>
          <cell r="V1037">
            <v>3769731</v>
          </cell>
        </row>
        <row r="1038">
          <cell r="J1038">
            <v>559</v>
          </cell>
          <cell r="K1038">
            <v>43133</v>
          </cell>
          <cell r="L1038" t="str">
            <v>GINA CAROLINA CACERES MONTOYA</v>
          </cell>
          <cell r="M1038">
            <v>31</v>
          </cell>
          <cell r="N1038" t="str">
            <v>RESOLUCION</v>
          </cell>
          <cell r="O1038">
            <v>230</v>
          </cell>
          <cell r="P1038">
            <v>43133</v>
          </cell>
          <cell r="Q1038" t="str">
            <v>AYUDA TEMPORAL A LAS FAMILIAS DE VARIAS LOCALIDADES, PARA RELOCALIZACIÓN DE HOGARES LOCALIZADOS EN ZONAS DE ALTO RIESGO NO MITIGABLE ID:2005-18-7380, LOCALIDAD:18 RAFAEL URIBE URIBE, UPZ:55 DIANA TURBAY</v>
          </cell>
          <cell r="R1038">
            <v>6246240</v>
          </cell>
          <cell r="S1038">
            <v>0</v>
          </cell>
          <cell r="T1038">
            <v>0</v>
          </cell>
          <cell r="U1038">
            <v>6246240</v>
          </cell>
          <cell r="V1038">
            <v>3363360</v>
          </cell>
        </row>
        <row r="1039">
          <cell r="J1039">
            <v>560</v>
          </cell>
          <cell r="K1039">
            <v>43133</v>
          </cell>
          <cell r="L1039" t="str">
            <v>DARLEY  BERMUDEZ RODRIGUEZ</v>
          </cell>
          <cell r="M1039">
            <v>31</v>
          </cell>
          <cell r="N1039" t="str">
            <v>RESOLUCION</v>
          </cell>
          <cell r="O1039">
            <v>231</v>
          </cell>
          <cell r="P1039">
            <v>43133</v>
          </cell>
          <cell r="Q1039" t="str">
            <v>AYUDA TEMPORAL A LAS FAMILIAS DE VARIAS LOCALIDADES, PARA RELOCALIZACIÓN DE HOGARES LOCALIZADOS EN ZONAS DE ALTO RIESGO NO MITIGABLE ID:2012-19-13891, LOCALIDAD:19 CIUDAD BOLÍVAR, UPZ:67 LUCERO</v>
          </cell>
          <cell r="R1039">
            <v>3360280</v>
          </cell>
          <cell r="S1039">
            <v>0</v>
          </cell>
          <cell r="T1039">
            <v>0</v>
          </cell>
          <cell r="U1039">
            <v>3360280</v>
          </cell>
          <cell r="V1039">
            <v>1920160</v>
          </cell>
        </row>
        <row r="1040">
          <cell r="J1040">
            <v>561</v>
          </cell>
          <cell r="K1040">
            <v>43133</v>
          </cell>
          <cell r="L1040" t="str">
            <v>MARIEN EVELU COLORADO RODRIGUEZ</v>
          </cell>
          <cell r="M1040">
            <v>31</v>
          </cell>
          <cell r="N1040" t="str">
            <v>RESOLUCION</v>
          </cell>
          <cell r="O1040">
            <v>232</v>
          </cell>
          <cell r="P1040">
            <v>43133</v>
          </cell>
          <cell r="Q1040" t="str">
            <v>AYUDA TEMPORAL A LAS FAMILIAS DE VARIAS LOCALIDADES, PARA RELOCALIZACIÓN DE HOGARES LOCALIZADOS EN ZONAS DE ALTO RIESGO NO MITIGABLE ID:2016-08-14901, LOCALIDAD:08 KENNEDY, UPZ:82 PATIO BONITO, SECTOR:PALMITAS</v>
          </cell>
          <cell r="R1040">
            <v>6713226</v>
          </cell>
          <cell r="S1040">
            <v>0</v>
          </cell>
          <cell r="T1040">
            <v>0</v>
          </cell>
          <cell r="U1040">
            <v>6713226</v>
          </cell>
          <cell r="V1040">
            <v>3614814</v>
          </cell>
        </row>
        <row r="1041">
          <cell r="J1041">
            <v>562</v>
          </cell>
          <cell r="K1041">
            <v>43133</v>
          </cell>
          <cell r="L1041" t="str">
            <v>EDGAR HUMBERTO GUTIERREZ RAMIREZ</v>
          </cell>
          <cell r="M1041">
            <v>31</v>
          </cell>
          <cell r="N1041" t="str">
            <v>RESOLUCION</v>
          </cell>
          <cell r="O1041">
            <v>233</v>
          </cell>
          <cell r="P1041">
            <v>43133</v>
          </cell>
          <cell r="Q1041" t="str">
            <v>AYUDA TEMPORAL A LAS FAMILIAS DE VARIAS LOCALIDADES, PARA RELOCALIZACIÓN DE HOGARES LOCALIZADOS EN ZONAS DE ALTO RIESGO NO MITIGABLE ID:2015-W166-501, LOCALIDAD:03 SANTA FE, UPZ:95 LAS CRUCES, SECTOR:UITOTO</v>
          </cell>
          <cell r="R1041">
            <v>7539090</v>
          </cell>
          <cell r="S1041">
            <v>0</v>
          </cell>
          <cell r="T1041">
            <v>0</v>
          </cell>
          <cell r="U1041">
            <v>7539090</v>
          </cell>
          <cell r="V1041">
            <v>4059510</v>
          </cell>
        </row>
        <row r="1042">
          <cell r="J1042">
            <v>563</v>
          </cell>
          <cell r="K1042">
            <v>43133</v>
          </cell>
          <cell r="L1042" t="str">
            <v>JORGE MANUEL MARTINEZ ECHEVERRY</v>
          </cell>
          <cell r="M1042">
            <v>31</v>
          </cell>
          <cell r="N1042" t="str">
            <v>RESOLUCION</v>
          </cell>
          <cell r="O1042">
            <v>234</v>
          </cell>
          <cell r="P1042">
            <v>43133</v>
          </cell>
          <cell r="Q1042" t="str">
            <v>AYUDA TEMPORAL A LAS FAMILIAS DE VARIAS LOCALIDADES, PARA RELOCALIZACIÓN DE HOGARES LOCALIZADOS EN ZONAS DE ALTO RIESGO NO MITIGABLE ID:2017-08-14935, LOCALIDAD:08 KENNEDY, UPZ:82 PATIO BONITO, SECTOR:PALMITAS</v>
          </cell>
          <cell r="R1042">
            <v>5178771</v>
          </cell>
          <cell r="S1042">
            <v>4382037</v>
          </cell>
          <cell r="T1042">
            <v>0</v>
          </cell>
          <cell r="U1042">
            <v>796734</v>
          </cell>
          <cell r="V1042">
            <v>796734</v>
          </cell>
        </row>
        <row r="1043">
          <cell r="J1043">
            <v>564</v>
          </cell>
          <cell r="K1043">
            <v>43133</v>
          </cell>
          <cell r="L1043" t="str">
            <v>MARTIN ANTONIO ALVAREZ POSADA</v>
          </cell>
          <cell r="M1043">
            <v>31</v>
          </cell>
          <cell r="N1043" t="str">
            <v>RESOLUCION</v>
          </cell>
          <cell r="O1043">
            <v>235</v>
          </cell>
          <cell r="P1043">
            <v>43133</v>
          </cell>
          <cell r="Q1043" t="str">
            <v>AYUDA TEMPORAL A LAS FAMILIAS DE VARIAS LOCALIDADES, PARA RELOCALIZACIÓN DE HOGARES LOCALIZADOS EN ZONAS DE ALTO RIESGO NO MITIGABLE ID:2016-08-14873, LOCALIDAD:08 KENNEDY, UPZ:82 PATIO BONITO, SECTOR:PALMITAS</v>
          </cell>
          <cell r="R1043">
            <v>6233708</v>
          </cell>
          <cell r="S1043">
            <v>4795160</v>
          </cell>
          <cell r="T1043">
            <v>0</v>
          </cell>
          <cell r="U1043">
            <v>1438548</v>
          </cell>
          <cell r="V1043">
            <v>1438548</v>
          </cell>
        </row>
        <row r="1044">
          <cell r="J1044">
            <v>565</v>
          </cell>
          <cell r="K1044">
            <v>43133</v>
          </cell>
          <cell r="L1044" t="str">
            <v>MARLEN ROCIO BELLO SUAREZ</v>
          </cell>
          <cell r="M1044">
            <v>31</v>
          </cell>
          <cell r="N1044" t="str">
            <v>RESOLUCION</v>
          </cell>
          <cell r="O1044">
            <v>236</v>
          </cell>
          <cell r="P1044">
            <v>43133</v>
          </cell>
          <cell r="Q1044" t="str">
            <v>AYUDA TEMPORAL A LAS FAMILIAS DE VARIAS LOCALIDADES, PARA RELOCALIZACIÓN DE HOGARES LOCALIZADOS EN ZONAS DE ALTO RIESGO NO MITIGABLE ID:2015-OTR-01379, LOCALIDAD:11 SUBA, UPZ:71 TIBABUYES, SECTOR:GAVILANES</v>
          </cell>
          <cell r="R1044">
            <v>4521244</v>
          </cell>
          <cell r="S1044">
            <v>0</v>
          </cell>
          <cell r="T1044">
            <v>0</v>
          </cell>
          <cell r="U1044">
            <v>4521244</v>
          </cell>
          <cell r="V1044">
            <v>2434516</v>
          </cell>
        </row>
        <row r="1045">
          <cell r="J1045">
            <v>566</v>
          </cell>
          <cell r="K1045">
            <v>43133</v>
          </cell>
          <cell r="L1045" t="str">
            <v>RICARDO  BONILLA HERNANDEZ</v>
          </cell>
          <cell r="M1045">
            <v>31</v>
          </cell>
          <cell r="N1045" t="str">
            <v>RESOLUCION</v>
          </cell>
          <cell r="O1045">
            <v>237</v>
          </cell>
          <cell r="P1045">
            <v>43133</v>
          </cell>
          <cell r="Q1045" t="str">
            <v>AYUDA TEMPORAL A LAS FAMILIAS DE VARIAS LOCALIDADES, PARA RELOCALIZACIÓN DE HOGARES LOCALIZADOS EN ZONAS DE ALTO RIESGO NO MITIGABLE ID:2013-Q10-00585, LOCALIDAD:04 SAN CRISTÓBAL, UPZ:51 LOS LIBERTADORES, SECTOR:QUEBRADA VEREJONES</v>
          </cell>
          <cell r="R1045">
            <v>6274034</v>
          </cell>
          <cell r="S1045">
            <v>0</v>
          </cell>
          <cell r="T1045">
            <v>0</v>
          </cell>
          <cell r="U1045">
            <v>6274034</v>
          </cell>
          <cell r="V1045">
            <v>3378326</v>
          </cell>
        </row>
        <row r="1046">
          <cell r="J1046">
            <v>567</v>
          </cell>
          <cell r="K1046">
            <v>43133</v>
          </cell>
          <cell r="L1046" t="str">
            <v>LEONOR ESPERANZA PULIDO</v>
          </cell>
          <cell r="M1046">
            <v>31</v>
          </cell>
          <cell r="N1046" t="str">
            <v>RESOLUCION</v>
          </cell>
          <cell r="O1046">
            <v>238</v>
          </cell>
          <cell r="P1046">
            <v>43133</v>
          </cell>
          <cell r="Q1046" t="str">
            <v>AYUDA TEMPORAL A LAS FAMILIAS DE VARIAS LOCALIDADES, PARA RELOCALIZACIÓN DE HOGARES LOCALIZADOS EN ZONAS DE ALTO RIESGO NO MITIGABLE ID:2012-19-14018, LOCALIDAD:19 CIUDAD BOLÍVAR, UPZ:68 EL TESORO</v>
          </cell>
          <cell r="R1046">
            <v>5430984</v>
          </cell>
          <cell r="S1046">
            <v>0</v>
          </cell>
          <cell r="T1046">
            <v>0</v>
          </cell>
          <cell r="U1046">
            <v>5430984</v>
          </cell>
          <cell r="V1046">
            <v>2924376</v>
          </cell>
        </row>
        <row r="1047">
          <cell r="J1047">
            <v>568</v>
          </cell>
          <cell r="K1047">
            <v>43133</v>
          </cell>
          <cell r="L1047" t="str">
            <v>YAMEL ALBEIRO POSADA BEDOYA</v>
          </cell>
          <cell r="M1047">
            <v>31</v>
          </cell>
          <cell r="N1047" t="str">
            <v>RESOLUCION</v>
          </cell>
          <cell r="O1047">
            <v>239</v>
          </cell>
          <cell r="P1047">
            <v>43133</v>
          </cell>
          <cell r="Q1047" t="str">
            <v>AYUDA TEMPORAL A LAS FAMILIAS DE VARIAS LOCALIDADES, PARA RELOCALIZACIÓN DE HOGARES LOCALIZADOS EN ZONAS DE ALTO RIESGO NO MITIGABLE ID:2016-08-14898, LOCALIDAD:08 KENNEDY, UPZ:82 PATIO BONITO, SECTOR:PALMITAS</v>
          </cell>
          <cell r="R1047">
            <v>5466487</v>
          </cell>
          <cell r="S1047">
            <v>0</v>
          </cell>
          <cell r="T1047">
            <v>0</v>
          </cell>
          <cell r="U1047">
            <v>5466487</v>
          </cell>
          <cell r="V1047">
            <v>2102495</v>
          </cell>
        </row>
        <row r="1048">
          <cell r="J1048">
            <v>569</v>
          </cell>
          <cell r="K1048">
            <v>43133</v>
          </cell>
          <cell r="L1048" t="str">
            <v>MARTHA LUCIA LEON VEGA</v>
          </cell>
          <cell r="M1048">
            <v>31</v>
          </cell>
          <cell r="N1048" t="str">
            <v>RESOLUCION</v>
          </cell>
          <cell r="O1048">
            <v>240</v>
          </cell>
          <cell r="P1048">
            <v>43133</v>
          </cell>
          <cell r="Q1048" t="str">
            <v>AYUDA TEMPORAL A LAS FAMILIAS DE VARIAS LOCALIDADES, PARA RELOCALIZACIÓN DE HOGARES LOCALIZADOS EN ZONAS DE ALTO RIESGO NO MITIGABLE ID:2016-OTR-01555, LOCALIDAD:04 SAN CRISTÓBAL, UPZ:51 LOS LIBERTADORES</v>
          </cell>
          <cell r="R1048">
            <v>5556993</v>
          </cell>
          <cell r="S1048">
            <v>0</v>
          </cell>
          <cell r="T1048">
            <v>0</v>
          </cell>
          <cell r="U1048">
            <v>5556993</v>
          </cell>
          <cell r="V1048">
            <v>2992227</v>
          </cell>
        </row>
        <row r="1049">
          <cell r="J1049">
            <v>570</v>
          </cell>
          <cell r="K1049">
            <v>43133</v>
          </cell>
          <cell r="L1049" t="str">
            <v>YEYMI ALEJANDRA POVEDA POSADA</v>
          </cell>
          <cell r="M1049">
            <v>31</v>
          </cell>
          <cell r="N1049" t="str">
            <v>RESOLUCION</v>
          </cell>
          <cell r="O1049">
            <v>241</v>
          </cell>
          <cell r="P1049">
            <v>43133</v>
          </cell>
          <cell r="Q1049" t="str">
            <v>AYUDA TEMPORAL A LAS FAMILIAS DE VARIAS LOCALIDADES, PARA RELOCALIZACIÓN DE HOGARES LOCALIZADOS EN ZONAS DE ALTO RIESGO NO MITIGABLE ID:2016-08-14776, LOCALIDAD:08 KENNEDY, UPZ:82 PATIO BONITO, SECTOR:PALMITAS</v>
          </cell>
          <cell r="R1049">
            <v>6521424</v>
          </cell>
          <cell r="S1049">
            <v>0</v>
          </cell>
          <cell r="T1049">
            <v>0</v>
          </cell>
          <cell r="U1049">
            <v>6521424</v>
          </cell>
          <cell r="V1049">
            <v>3511536</v>
          </cell>
        </row>
        <row r="1050">
          <cell r="J1050">
            <v>571</v>
          </cell>
          <cell r="K1050">
            <v>43133</v>
          </cell>
          <cell r="L1050" t="str">
            <v>SILVANO  CABEZON MERCAZA</v>
          </cell>
          <cell r="M1050">
            <v>31</v>
          </cell>
          <cell r="N1050" t="str">
            <v>RESOLUCION</v>
          </cell>
          <cell r="O1050">
            <v>242</v>
          </cell>
          <cell r="P1050">
            <v>43133</v>
          </cell>
          <cell r="Q1050" t="str">
            <v>AYUDA TEMPORAL A LAS FAMILIAS DE VARIAS LOCALIDADES, PARA RELOCALIZACIÓN DE HOGARES LOCALIZADOS EN ZONAS DE ALTO RIESGO NO MITIGABLE ID:2015-W166-530, LOCALIDAD:19 CIUDAD BOLÍVAR, UPZ:67 LUCERO, SECTOR:WOUNAAN</v>
          </cell>
          <cell r="R1050">
            <v>5360745</v>
          </cell>
          <cell r="S1050">
            <v>0</v>
          </cell>
          <cell r="T1050">
            <v>0</v>
          </cell>
          <cell r="U1050">
            <v>5360745</v>
          </cell>
          <cell r="V1050">
            <v>2886555</v>
          </cell>
        </row>
        <row r="1051">
          <cell r="J1051">
            <v>572</v>
          </cell>
          <cell r="K1051">
            <v>43133</v>
          </cell>
          <cell r="L1051" t="str">
            <v>ROSA ELIDA VERA GUEPENDO</v>
          </cell>
          <cell r="M1051">
            <v>31</v>
          </cell>
          <cell r="N1051" t="str">
            <v>RESOLUCION</v>
          </cell>
          <cell r="O1051">
            <v>243</v>
          </cell>
          <cell r="P1051">
            <v>43133</v>
          </cell>
          <cell r="Q1051" t="str">
            <v>AYUDA TEMPORAL A LAS FAMILIAS DE VARIAS LOCALIDADES, PARA RELOCALIZACIÓN DE HOGARES LOCALIZADOS EN ZONAS DE ALTO RIESGO NO MITIGABLE ID:2013000477, LOCALIDAD:04 SAN CRISTÓBAL, UPZ:51 LOS LIBERTADORES, SECTOR:QUEBRADA VEREJONES</v>
          </cell>
          <cell r="R1051">
            <v>5178771</v>
          </cell>
          <cell r="S1051">
            <v>0</v>
          </cell>
          <cell r="T1051">
            <v>0</v>
          </cell>
          <cell r="U1051">
            <v>5178771</v>
          </cell>
          <cell r="V1051">
            <v>2788569</v>
          </cell>
        </row>
        <row r="1052">
          <cell r="J1052">
            <v>573</v>
          </cell>
          <cell r="K1052">
            <v>43133</v>
          </cell>
          <cell r="L1052" t="str">
            <v>LUZ ADRIANA POSADA BEDOYA</v>
          </cell>
          <cell r="M1052">
            <v>31</v>
          </cell>
          <cell r="N1052" t="str">
            <v>RESOLUCION</v>
          </cell>
          <cell r="O1052">
            <v>244</v>
          </cell>
          <cell r="P1052">
            <v>43133</v>
          </cell>
          <cell r="Q1052" t="str">
            <v>AYUDA TEMPORAL A LAS FAMILIAS DE VARIAS LOCALIDADES, PARA RELOCALIZACIÓN DE HOGARES LOCALIZADOS EN ZONAS DE ALTO RIESGO NO MITIGABLE ID:2016-08-14825, LOCALIDAD:08 KENNEDY, UPZ:82 PATIO BONITO, SECTOR:PALMITAS</v>
          </cell>
          <cell r="R1052">
            <v>5754190</v>
          </cell>
          <cell r="S1052">
            <v>0</v>
          </cell>
          <cell r="T1052">
            <v>0</v>
          </cell>
          <cell r="U1052">
            <v>5754190</v>
          </cell>
          <cell r="V1052">
            <v>3098410</v>
          </cell>
        </row>
        <row r="1053">
          <cell r="J1053">
            <v>574</v>
          </cell>
          <cell r="K1053">
            <v>43133</v>
          </cell>
          <cell r="L1053" t="str">
            <v>MANUEL  CISNEROS CASTILLO</v>
          </cell>
          <cell r="M1053">
            <v>31</v>
          </cell>
          <cell r="N1053" t="str">
            <v>RESOLUCION</v>
          </cell>
          <cell r="O1053">
            <v>245</v>
          </cell>
          <cell r="P1053">
            <v>43133</v>
          </cell>
          <cell r="Q1053" t="str">
            <v>AYUDA TEMPORAL A LAS FAMILIAS DE VARIAS LOCALIDADES, PARA RELOCALIZACIÓN DE HOGARES LOCALIZADOS EN ZONAS DE ALTO RIESGO NO MITIGABLE ID:2016-08-14782, LOCALIDAD:08 KENNEDY, UPZ:82 PATIO BONITO, SECTOR:PALMITAS</v>
          </cell>
          <cell r="R1053">
            <v>6722183</v>
          </cell>
          <cell r="S1053">
            <v>0</v>
          </cell>
          <cell r="T1053">
            <v>0</v>
          </cell>
          <cell r="U1053">
            <v>6722183</v>
          </cell>
          <cell r="V1053">
            <v>3619637</v>
          </cell>
        </row>
        <row r="1054">
          <cell r="J1054">
            <v>575</v>
          </cell>
          <cell r="K1054">
            <v>43133</v>
          </cell>
          <cell r="L1054" t="str">
            <v>MARIA CAROLINA CAGUA YATE</v>
          </cell>
          <cell r="M1054">
            <v>31</v>
          </cell>
          <cell r="N1054" t="str">
            <v>RESOLUCION</v>
          </cell>
          <cell r="O1054">
            <v>246</v>
          </cell>
          <cell r="P1054">
            <v>43133</v>
          </cell>
          <cell r="Q1054" t="str">
            <v>AYUDA TEMPORAL A LAS FAMILIAS DE VARIAS LOCALIDADES, PARA RELOCALIZACIÓN DE HOGARES LOCALIZADOS EN ZONAS DE ALTO RIESGO NO MITIGABLE ID:2016-08-14820, LOCALIDAD:08 KENNEDY, UPZ:82 PATIO BONITO, SECTOR:PALMITAS</v>
          </cell>
          <cell r="R1054">
            <v>5466487</v>
          </cell>
          <cell r="S1054">
            <v>0</v>
          </cell>
          <cell r="T1054">
            <v>0</v>
          </cell>
          <cell r="U1054">
            <v>5466487</v>
          </cell>
          <cell r="V1054">
            <v>2943493</v>
          </cell>
        </row>
        <row r="1055">
          <cell r="J1055">
            <v>576</v>
          </cell>
          <cell r="K1055">
            <v>43133</v>
          </cell>
          <cell r="L1055" t="str">
            <v>GIOVANA PAOLA BARBOSA NOGUERA</v>
          </cell>
          <cell r="M1055">
            <v>31</v>
          </cell>
          <cell r="N1055" t="str">
            <v>RESOLUCION</v>
          </cell>
          <cell r="O1055">
            <v>247</v>
          </cell>
          <cell r="P1055">
            <v>43133</v>
          </cell>
          <cell r="Q1055" t="str">
            <v>AYUDA TEMPORAL A LAS FAMILIAS DE VARIAS LOCALIDADES, PARA RELOCALIZACIÓN DE HOGARES LOCALIZADOS EN ZONAS DE ALTO RIESGO NO MITIGABLE ID:2010-19-11893, LOCALIDAD:19 CIUDAD BOLÍVAR, UPZ:68 EL TESORO, SECTOR:OLA INVERNAL 2010 FOPAE</v>
          </cell>
          <cell r="R1055">
            <v>3769731</v>
          </cell>
          <cell r="S1055">
            <v>538533</v>
          </cell>
          <cell r="T1055">
            <v>0</v>
          </cell>
          <cell r="U1055">
            <v>3231198</v>
          </cell>
          <cell r="V1055">
            <v>3231198</v>
          </cell>
        </row>
        <row r="1056">
          <cell r="J1056">
            <v>577</v>
          </cell>
          <cell r="K1056">
            <v>43133</v>
          </cell>
          <cell r="L1056" t="str">
            <v>ADONAI  MOLANO MENDOZA</v>
          </cell>
          <cell r="M1056">
            <v>31</v>
          </cell>
          <cell r="N1056" t="str">
            <v>RESOLUCION</v>
          </cell>
          <cell r="O1056">
            <v>248</v>
          </cell>
          <cell r="P1056">
            <v>43133</v>
          </cell>
          <cell r="Q1056" t="str">
            <v>AYUDA TEMPORAL A LAS FAMILIAS DE VARIAS LOCALIDADES, PARA RELOCALIZACIÓN DE HOGARES LOCALIZADOS EN ZONAS DE ALTO RIESGO NO MITIGABLE ID:2007-4-10136, LOCALIDAD:04 SAN CRISTÓBAL, UPZ:32 SAN BLAS</v>
          </cell>
          <cell r="R1056">
            <v>3459890</v>
          </cell>
          <cell r="S1056">
            <v>0</v>
          </cell>
          <cell r="T1056">
            <v>0</v>
          </cell>
          <cell r="U1056">
            <v>3459890</v>
          </cell>
          <cell r="V1056">
            <v>1482810</v>
          </cell>
        </row>
        <row r="1057">
          <cell r="J1057">
            <v>578</v>
          </cell>
          <cell r="K1057">
            <v>43133</v>
          </cell>
          <cell r="L1057" t="str">
            <v>ADELINA  ISMARE CONQUISTA</v>
          </cell>
          <cell r="M1057">
            <v>31</v>
          </cell>
          <cell r="N1057" t="str">
            <v>RESOLUCION</v>
          </cell>
          <cell r="O1057">
            <v>249</v>
          </cell>
          <cell r="P1057">
            <v>43133</v>
          </cell>
          <cell r="Q1057" t="str">
            <v>AYUDA TEMPORAL A LAS FAMILIAS DE VARIAS LOCALIDADES, PARA RELOCALIZACIÓN DE HOGARES LOCALIZADOS EN ZONAS DE ALTO RIESGO NO MITIGABLE ID:2014-W166-015, LOCALIDAD:19 CIUDAD BOLÍVAR, UPZ:68 EL TESORO, SECTOR:WOUNAAN</v>
          </cell>
          <cell r="R1057">
            <v>5946005</v>
          </cell>
          <cell r="S1057">
            <v>0</v>
          </cell>
          <cell r="T1057">
            <v>0</v>
          </cell>
          <cell r="U1057">
            <v>5946005</v>
          </cell>
          <cell r="V1057">
            <v>3201695</v>
          </cell>
        </row>
        <row r="1058">
          <cell r="J1058">
            <v>579</v>
          </cell>
          <cell r="K1058">
            <v>43133</v>
          </cell>
          <cell r="L1058" t="str">
            <v>BLANCA ELUBIDIA ZUÑIGA MENESES</v>
          </cell>
          <cell r="M1058">
            <v>31</v>
          </cell>
          <cell r="N1058" t="str">
            <v>RESOLUCION</v>
          </cell>
          <cell r="O1058">
            <v>170</v>
          </cell>
          <cell r="P1058">
            <v>43133</v>
          </cell>
          <cell r="Q1058" t="str">
            <v>AYUDA TEMPORAL A LAS FAMILIAS DE VARIAS LOCALIDADES, PARA RELOCALIZACIÓN DE HOGARES LOCALIZADOS EN ZONAS DE ALTO RIESGO NO MITIGABLE ID:2012-ALES-355, LOCALIDAD:19 CIUDAD BOLÍVAR, UPZ:69 ISMAEL PERDOMO</v>
          </cell>
          <cell r="R1058">
            <v>3218670</v>
          </cell>
          <cell r="S1058">
            <v>459810</v>
          </cell>
          <cell r="T1058">
            <v>0</v>
          </cell>
          <cell r="U1058">
            <v>2758860</v>
          </cell>
          <cell r="V1058">
            <v>2758860</v>
          </cell>
        </row>
        <row r="1059">
          <cell r="J1059">
            <v>580</v>
          </cell>
          <cell r="K1059">
            <v>43133</v>
          </cell>
          <cell r="L1059" t="str">
            <v>FRANCY YAMILE NIÑO GARCIA</v>
          </cell>
          <cell r="M1059">
            <v>31</v>
          </cell>
          <cell r="N1059" t="str">
            <v>RESOLUCION</v>
          </cell>
          <cell r="O1059">
            <v>171</v>
          </cell>
          <cell r="P1059">
            <v>43133</v>
          </cell>
          <cell r="Q1059" t="str">
            <v>AYUDA TEMPORAL A LAS FAMILIAS DE VARIAS LOCALIDADES, PARA RELOCALIZACIÓN DE HOGARES LOCALIZADOS EN ZONAS DE ALTO RIESGO NO MITIGABLE ID:2014-5-14735, LOCALIDAD:05 USME, UPZ:57 GRAN YOMASA</v>
          </cell>
          <cell r="R1059">
            <v>3038112</v>
          </cell>
          <cell r="S1059">
            <v>434016</v>
          </cell>
          <cell r="T1059">
            <v>0</v>
          </cell>
          <cell r="U1059">
            <v>2604096</v>
          </cell>
          <cell r="V1059">
            <v>2604096</v>
          </cell>
        </row>
        <row r="1060">
          <cell r="J1060">
            <v>581</v>
          </cell>
          <cell r="K1060">
            <v>43133</v>
          </cell>
          <cell r="L1060" t="str">
            <v>SANDRA VIVIANA CIFUENTES RODRIGUEZ</v>
          </cell>
          <cell r="M1060">
            <v>31</v>
          </cell>
          <cell r="N1060" t="str">
            <v>RESOLUCION</v>
          </cell>
          <cell r="O1060">
            <v>172</v>
          </cell>
          <cell r="P1060">
            <v>43133</v>
          </cell>
          <cell r="Q1060" t="str">
            <v>AYUDA TEMPORAL A LAS FAMILIAS DE VARIAS LOCALIDADES, PARA RELOCALIZACIÓN DE HOGARES LOCALIZADOS EN ZONAS DE ALTO RIESGO NO MITIGABLE ID:2016-08-14861, LOCALIDAD:08 KENNEDY, UPZ:82 PATIO BONITO, SECTOR:PALMITAS</v>
          </cell>
          <cell r="R1060">
            <v>4660708</v>
          </cell>
          <cell r="S1060">
            <v>0</v>
          </cell>
          <cell r="T1060">
            <v>0</v>
          </cell>
          <cell r="U1060">
            <v>4660708</v>
          </cell>
          <cell r="V1060">
            <v>2151096</v>
          </cell>
        </row>
        <row r="1061">
          <cell r="J1061">
            <v>582</v>
          </cell>
          <cell r="K1061">
            <v>43133</v>
          </cell>
          <cell r="L1061" t="str">
            <v>SANDRA MILENA OVALLE VELASQUEZ</v>
          </cell>
          <cell r="M1061">
            <v>31</v>
          </cell>
          <cell r="N1061" t="str">
            <v>RESOLUCION</v>
          </cell>
          <cell r="O1061">
            <v>173</v>
          </cell>
          <cell r="P1061">
            <v>43133</v>
          </cell>
          <cell r="Q1061" t="str">
            <v>AYUDA TEMPORAL A LAS FAMILIAS DE VARIAS LOCALIDADES, PARA RELOCALIZACIÓN DE HOGARES LOCALIZADOS EN ZONAS DE ALTO RIESGO NO MITIGABLE ID:2006-19-8078, LOCALIDAD:19 CIUDAD BOLÍVAR, UPZ:67 LUCERO</v>
          </cell>
          <cell r="R1061">
            <v>3111969</v>
          </cell>
          <cell r="S1061">
            <v>444567</v>
          </cell>
          <cell r="T1061">
            <v>0</v>
          </cell>
          <cell r="U1061">
            <v>2667402</v>
          </cell>
          <cell r="V1061">
            <v>2667402</v>
          </cell>
        </row>
        <row r="1062">
          <cell r="J1062">
            <v>583</v>
          </cell>
          <cell r="K1062">
            <v>43133</v>
          </cell>
          <cell r="L1062" t="str">
            <v>JOSE ALBERTO GIRALDO SANCHEZ</v>
          </cell>
          <cell r="M1062">
            <v>31</v>
          </cell>
          <cell r="N1062" t="str">
            <v>RESOLUCION</v>
          </cell>
          <cell r="O1062">
            <v>174</v>
          </cell>
          <cell r="P1062">
            <v>43133</v>
          </cell>
          <cell r="Q1062" t="str">
            <v>AYUDA TEMPORAL A LAS FAMILIAS DE VARIAS LOCALIDADES, PARA RELOCALIZACIÓN DE HOGARES LOCALIZADOS EN ZONAS DE ALTO RIESGO NO MITIGABLE ID:2015-W166-503, LOCALIDAD:03 SANTA FE, UPZ:95 LAS CRUCES, SECTOR:UITOTO</v>
          </cell>
          <cell r="R1062">
            <v>6868797</v>
          </cell>
          <cell r="S1062">
            <v>0</v>
          </cell>
          <cell r="T1062">
            <v>0</v>
          </cell>
          <cell r="U1062">
            <v>6868797</v>
          </cell>
          <cell r="V1062">
            <v>3698583</v>
          </cell>
        </row>
        <row r="1063">
          <cell r="J1063">
            <v>584</v>
          </cell>
          <cell r="K1063">
            <v>43133</v>
          </cell>
          <cell r="L1063" t="str">
            <v>CLAUDIA ISABEL CELY BARAJAS</v>
          </cell>
          <cell r="M1063">
            <v>31</v>
          </cell>
          <cell r="N1063" t="str">
            <v>RESOLUCION</v>
          </cell>
          <cell r="O1063">
            <v>175</v>
          </cell>
          <cell r="P1063">
            <v>43133</v>
          </cell>
          <cell r="Q1063" t="str">
            <v>AYUDA TEMPORAL A LAS FAMILIAS DE VARIAS LOCALIDADES, PARA RELOCALIZACIÓN DE HOGARES LOCALIZADOS EN ZONAS DE ALTO RIESGO NO MITIGABLE ID:2013000017, LOCALIDAD:19 CIUDAD BOLÍVAR, UPZ:67 LUCERO, SECTOR:QUEBRADA CAÑO BAÚL</v>
          </cell>
          <cell r="R1063">
            <v>3017000</v>
          </cell>
          <cell r="S1063">
            <v>862000</v>
          </cell>
          <cell r="T1063">
            <v>0</v>
          </cell>
          <cell r="U1063">
            <v>2155000</v>
          </cell>
          <cell r="V1063">
            <v>2155000</v>
          </cell>
        </row>
        <row r="1064">
          <cell r="J1064">
            <v>585</v>
          </cell>
          <cell r="K1064">
            <v>43133</v>
          </cell>
          <cell r="L1064" t="str">
            <v>JOSE MODESTO HERNANDEZ MORENO</v>
          </cell>
          <cell r="M1064">
            <v>31</v>
          </cell>
          <cell r="N1064" t="str">
            <v>RESOLUCION</v>
          </cell>
          <cell r="O1064">
            <v>176</v>
          </cell>
          <cell r="P1064">
            <v>43133</v>
          </cell>
          <cell r="Q1064" t="str">
            <v>AYUDA TEMPORAL A LAS FAMILIAS DE VARIAS LOCALIDADES, PARA RELOCALIZACIÓN DE HOGARES LOCALIZADOS EN ZONAS DE ALTO RIESGO NO MITIGABLE ID:2011-19-13514, LOCALIDAD:19 CIUDAD BOLÍVAR, UPZ:68 EL TESORO</v>
          </cell>
          <cell r="R1064">
            <v>2924376</v>
          </cell>
          <cell r="S1064">
            <v>417768</v>
          </cell>
          <cell r="T1064">
            <v>0</v>
          </cell>
          <cell r="U1064">
            <v>2506608</v>
          </cell>
          <cell r="V1064">
            <v>2506608</v>
          </cell>
        </row>
        <row r="1065">
          <cell r="J1065">
            <v>586</v>
          </cell>
          <cell r="K1065">
            <v>43133</v>
          </cell>
          <cell r="L1065" t="str">
            <v>GRACILIANA  AVILA PITA</v>
          </cell>
          <cell r="M1065">
            <v>31</v>
          </cell>
          <cell r="N1065" t="str">
            <v>RESOLUCION</v>
          </cell>
          <cell r="O1065">
            <v>177</v>
          </cell>
          <cell r="P1065">
            <v>43133</v>
          </cell>
          <cell r="Q1065" t="str">
            <v>AYUDA TEMPORAL A LAS FAMILIAS DE VARIAS LOCALIDADES, PARA RELOCALIZACIÓN DE HOGARES LOCALIZADOS EN ZONAS DE ALTO RIESGO NO MITIGABLE ID:2011-18-13622, LOCALIDAD:18 RAFAEL URIBE URIBE, UPZ:55 DIANA TURBAY</v>
          </cell>
          <cell r="R1065">
            <v>3017028</v>
          </cell>
          <cell r="S1065">
            <v>0</v>
          </cell>
          <cell r="T1065">
            <v>0</v>
          </cell>
          <cell r="U1065">
            <v>3017028</v>
          </cell>
          <cell r="V1065">
            <v>862008</v>
          </cell>
        </row>
        <row r="1066">
          <cell r="J1066">
            <v>587</v>
          </cell>
          <cell r="K1066">
            <v>43133</v>
          </cell>
          <cell r="L1066" t="str">
            <v>MARIA MIRNA PUAMA MEMBACHE</v>
          </cell>
          <cell r="M1066">
            <v>31</v>
          </cell>
          <cell r="N1066" t="str">
            <v>RESOLUCION</v>
          </cell>
          <cell r="O1066">
            <v>178</v>
          </cell>
          <cell r="P1066">
            <v>43133</v>
          </cell>
          <cell r="Q1066" t="str">
            <v>AYUDA TEMPORAL A LAS FAMILIAS DE VARIAS LOCALIDADES, PARA RELOCALIZACIÓN DE HOGARES LOCALIZADOS EN ZONAS DE ALTO RIESGO NO MITIGABLE ID:2015-W166-441, LOCALIDAD:19 CIUDAD BOLÍVAR, UPZ:67 LUCERO, SECTOR:WOUNAAN</v>
          </cell>
          <cell r="R1066">
            <v>7036432</v>
          </cell>
          <cell r="S1066">
            <v>0</v>
          </cell>
          <cell r="T1066">
            <v>0</v>
          </cell>
          <cell r="U1066">
            <v>7036432</v>
          </cell>
          <cell r="V1066">
            <v>3788848</v>
          </cell>
        </row>
        <row r="1067">
          <cell r="J1067">
            <v>588</v>
          </cell>
          <cell r="K1067">
            <v>43133</v>
          </cell>
          <cell r="L1067" t="str">
            <v>LUZ ISLENI CADENA SANCHEZ</v>
          </cell>
          <cell r="M1067">
            <v>31</v>
          </cell>
          <cell r="N1067" t="str">
            <v>RESOLUCION</v>
          </cell>
          <cell r="O1067">
            <v>179</v>
          </cell>
          <cell r="P1067">
            <v>43133</v>
          </cell>
          <cell r="Q1067" t="str">
            <v>AYUDA TEMPORAL A LAS FAMILIAS DE VARIAS LOCALIDADES, PARA RELOCALIZACIÓN DE HOGARES LOCALIZADOS EN ZONAS DE ALTO RIESGO NO MITIGABLE ID:2012-5-14150, LOCALIDAD:05 USME, UPZ:58 COMUNEROS</v>
          </cell>
          <cell r="R1067">
            <v>2582006</v>
          </cell>
          <cell r="S1067">
            <v>368858</v>
          </cell>
          <cell r="T1067">
            <v>0</v>
          </cell>
          <cell r="U1067">
            <v>2213148</v>
          </cell>
          <cell r="V1067">
            <v>2213148</v>
          </cell>
        </row>
        <row r="1068">
          <cell r="J1068">
            <v>589</v>
          </cell>
          <cell r="K1068">
            <v>43133</v>
          </cell>
          <cell r="L1068" t="str">
            <v>ALEJANDRO  CUAMA CHIRIMIA</v>
          </cell>
          <cell r="M1068">
            <v>31</v>
          </cell>
          <cell r="N1068" t="str">
            <v>RESOLUCION</v>
          </cell>
          <cell r="O1068">
            <v>180</v>
          </cell>
          <cell r="P1068">
            <v>43133</v>
          </cell>
          <cell r="Q1068" t="str">
            <v>AYUDA TEMPORAL A LAS FAMILIAS DE VARIAS LOCALIDADES, PARA RELOCALIZACIÓN DE HOGARES LOCALIZADOS EN ZONAS DE ALTO RIESGO NO MITIGABLE ID:2015-W166-211, LOCALIDAD:04 SAN CRISTÓBAL, UPZ:33 SOSIEGO, SECTOR:EPERARA</v>
          </cell>
          <cell r="R1068">
            <v>5525975</v>
          </cell>
          <cell r="S1068">
            <v>0</v>
          </cell>
          <cell r="T1068">
            <v>0</v>
          </cell>
          <cell r="U1068">
            <v>5525975</v>
          </cell>
          <cell r="V1068">
            <v>2975525</v>
          </cell>
        </row>
        <row r="1069">
          <cell r="J1069">
            <v>590</v>
          </cell>
          <cell r="K1069">
            <v>43133</v>
          </cell>
          <cell r="L1069" t="str">
            <v>MARIA ANGELICA QUIÑONEZ MOLANO</v>
          </cell>
          <cell r="M1069">
            <v>31</v>
          </cell>
          <cell r="N1069" t="str">
            <v>RESOLUCION</v>
          </cell>
          <cell r="O1069">
            <v>181</v>
          </cell>
          <cell r="P1069">
            <v>43133</v>
          </cell>
          <cell r="Q1069" t="str">
            <v>AYUDA TEMPORAL A LAS FAMILIAS DE VARIAS LOCALIDADES, PARA RELOCALIZACIÓN DE HOGARES LOCALIZADOS EN ZONAS DE ALTO RIESGO NO MITIGABLE ID:2013000294, LOCALIDAD:19 CIUDAD BOLÍVAR, UPZ:67 LUCERO, SECTOR:QUEBRADA TROMPETA</v>
          </cell>
          <cell r="R1069">
            <v>3157315</v>
          </cell>
          <cell r="S1069">
            <v>451045</v>
          </cell>
          <cell r="T1069">
            <v>0</v>
          </cell>
          <cell r="U1069">
            <v>2706270</v>
          </cell>
          <cell r="V1069">
            <v>2706270</v>
          </cell>
        </row>
        <row r="1070">
          <cell r="J1070">
            <v>591</v>
          </cell>
          <cell r="K1070">
            <v>43133</v>
          </cell>
          <cell r="L1070" t="str">
            <v>BRIGETH ADRIANA JIMENEZ WILCHES</v>
          </cell>
          <cell r="M1070">
            <v>31</v>
          </cell>
          <cell r="N1070" t="str">
            <v>RESOLUCION</v>
          </cell>
          <cell r="O1070">
            <v>182</v>
          </cell>
          <cell r="P1070">
            <v>43133</v>
          </cell>
          <cell r="Q1070" t="str">
            <v>AYUDA TEMPORAL A LAS FAMILIAS DE VARIAS LOCALIDADES, PARA RELOCALIZACIÓN DE HOGARES LOCALIZADOS EN ZONAS DE ALTO RIESGO NO MITIGABLE ID:2013-4-14633, LOCALIDAD:04 SAN CRISTÓBAL, UPZ:32 SAN BLAS</v>
          </cell>
          <cell r="R1070">
            <v>6897150</v>
          </cell>
          <cell r="S1070">
            <v>0</v>
          </cell>
          <cell r="T1070">
            <v>0</v>
          </cell>
          <cell r="U1070">
            <v>6897150</v>
          </cell>
          <cell r="V1070">
            <v>3713850</v>
          </cell>
        </row>
        <row r="1071">
          <cell r="J1071">
            <v>592</v>
          </cell>
          <cell r="K1071">
            <v>43133</v>
          </cell>
          <cell r="L1071" t="str">
            <v>MARIA ROCIO SANCHEZ LINARES</v>
          </cell>
          <cell r="M1071">
            <v>31</v>
          </cell>
          <cell r="N1071" t="str">
            <v>RESOLUCION</v>
          </cell>
          <cell r="O1071">
            <v>183</v>
          </cell>
          <cell r="P1071">
            <v>43133</v>
          </cell>
          <cell r="Q1071" t="str">
            <v>AYUDA TEMPORAL A LAS FAMILIAS DE VARIAS LOCALIDADES, PARA RELOCALIZACIÓN DE HOGARES LOCALIZADOS EN ZONAS DE ALTO RIESGO NO MITIGABLE ID:2016-08-14851, LOCALIDAD:08 KENNEDY, UPZ:82 PATIO BONITO, SECTOR:PALMITAS</v>
          </cell>
          <cell r="R1071">
            <v>7672262</v>
          </cell>
          <cell r="S1071">
            <v>0</v>
          </cell>
          <cell r="T1071">
            <v>0</v>
          </cell>
          <cell r="U1071">
            <v>7672262</v>
          </cell>
          <cell r="V1071">
            <v>4131218</v>
          </cell>
        </row>
        <row r="1072">
          <cell r="J1072">
            <v>593</v>
          </cell>
          <cell r="K1072">
            <v>43133</v>
          </cell>
          <cell r="L1072" t="str">
            <v>LUIS FERNANDO PADILLA VELASQUEZ</v>
          </cell>
          <cell r="M1072">
            <v>31</v>
          </cell>
          <cell r="N1072" t="str">
            <v>RESOLUCION</v>
          </cell>
          <cell r="O1072">
            <v>184</v>
          </cell>
          <cell r="P1072">
            <v>43133</v>
          </cell>
          <cell r="Q1072" t="str">
            <v>AYUDA TEMPORAL A LAS FAMILIAS DE VARIAS LOCALIDADES, PARA RELOCALIZACIÓN DE HOGARES LOCALIZADOS EN ZONAS DE ALTO RIESGO NO MITIGABLE ID:2016-08-14869, LOCALIDAD:08 KENNEDY, UPZ:82 PATIO BONITO, SECTOR:PALMITAS</v>
          </cell>
          <cell r="R1072">
            <v>5754190</v>
          </cell>
          <cell r="S1072">
            <v>0</v>
          </cell>
          <cell r="T1072">
            <v>0</v>
          </cell>
          <cell r="U1072">
            <v>5754190</v>
          </cell>
          <cell r="V1072">
            <v>3098410</v>
          </cell>
        </row>
        <row r="1073">
          <cell r="J1073">
            <v>594</v>
          </cell>
          <cell r="K1073">
            <v>43133</v>
          </cell>
          <cell r="L1073" t="str">
            <v>FERNANDO  CHAMAPURO CHOCHO</v>
          </cell>
          <cell r="M1073">
            <v>31</v>
          </cell>
          <cell r="N1073" t="str">
            <v>RESOLUCION</v>
          </cell>
          <cell r="O1073">
            <v>185</v>
          </cell>
          <cell r="P1073">
            <v>43133</v>
          </cell>
          <cell r="Q1073" t="str">
            <v>AYUDA TEMPORAL A LAS FAMILIAS DE VARIAS LOCALIDADES, PARA RELOCALIZACIÓN DE HOGARES LOCALIZADOS EN ZONAS DE ALTO RIESGO NO MITIGABLE ID:2015-W166-431, LOCALIDAD:19 CIUDAD BOLÍVAR, UPZ:68 EL TESORO, SECTOR:WOUNAAN</v>
          </cell>
          <cell r="R1073">
            <v>7036432</v>
          </cell>
          <cell r="S1073">
            <v>0</v>
          </cell>
          <cell r="T1073">
            <v>0</v>
          </cell>
          <cell r="U1073">
            <v>7036432</v>
          </cell>
          <cell r="V1073">
            <v>3788848</v>
          </cell>
        </row>
        <row r="1074">
          <cell r="J1074">
            <v>595</v>
          </cell>
          <cell r="K1074">
            <v>43133</v>
          </cell>
          <cell r="L1074" t="str">
            <v>FELIPE  DURA CHAMAPURA</v>
          </cell>
          <cell r="M1074">
            <v>31</v>
          </cell>
          <cell r="N1074" t="str">
            <v>RESOLUCION</v>
          </cell>
          <cell r="O1074">
            <v>186</v>
          </cell>
          <cell r="P1074">
            <v>43133</v>
          </cell>
          <cell r="Q1074" t="str">
            <v>AYUDA TEMPORAL A LAS FAMILIAS DE VARIAS LOCALIDADES, PARA RELOCALIZACIÓN DE HOGARES LOCALIZADOS EN ZONAS DE ALTO RIESGO NO MITIGABLE ID:2015-W166-434, LOCALIDAD:19 CIUDAD BOLÍVAR, UPZ:67 LUCERO, SECTOR:WOUNAAN</v>
          </cell>
          <cell r="R1074">
            <v>7036432</v>
          </cell>
          <cell r="S1074">
            <v>0</v>
          </cell>
          <cell r="T1074">
            <v>0</v>
          </cell>
          <cell r="U1074">
            <v>7036432</v>
          </cell>
          <cell r="V1074">
            <v>3788848</v>
          </cell>
        </row>
        <row r="1075">
          <cell r="J1075">
            <v>596</v>
          </cell>
          <cell r="K1075">
            <v>43133</v>
          </cell>
          <cell r="L1075" t="str">
            <v>JOSELITO  CARDENAS CABEZON</v>
          </cell>
          <cell r="M1075">
            <v>31</v>
          </cell>
          <cell r="N1075" t="str">
            <v>RESOLUCION</v>
          </cell>
          <cell r="O1075">
            <v>187</v>
          </cell>
          <cell r="P1075">
            <v>43133</v>
          </cell>
          <cell r="Q1075" t="str">
            <v>AYUDA TEMPORAL A LAS FAMILIAS DE VARIAS LOCALIDADES, PARA RELOCALIZACIÓN DE HOGARES LOCALIZADOS EN ZONAS DE ALTO RIESGO NO MITIGABLE ID:2014-W166-022, LOCALIDAD:19 CIUDAD BOLÍVAR, UPZ:68 EL TESORO, SECTOR:WOUNAAN</v>
          </cell>
          <cell r="R1075">
            <v>6713226</v>
          </cell>
          <cell r="S1075">
            <v>0</v>
          </cell>
          <cell r="T1075">
            <v>0</v>
          </cell>
          <cell r="U1075">
            <v>6713226</v>
          </cell>
          <cell r="V1075">
            <v>3614814</v>
          </cell>
        </row>
        <row r="1076">
          <cell r="J1076">
            <v>597</v>
          </cell>
          <cell r="K1076">
            <v>43133</v>
          </cell>
          <cell r="L1076" t="str">
            <v>JUAN  CHIRIPUA PUCHICAMA</v>
          </cell>
          <cell r="M1076">
            <v>31</v>
          </cell>
          <cell r="N1076" t="str">
            <v>RESOLUCION</v>
          </cell>
          <cell r="O1076">
            <v>188</v>
          </cell>
          <cell r="P1076">
            <v>43133</v>
          </cell>
          <cell r="Q1076" t="str">
            <v>AYUDA TEMPORAL A LAS FAMILIAS DE VARIAS LOCALIDADES, PARA RELOCALIZACIÓN DE HOGARES LOCALIZADOS EN ZONAS DE ALTO RIESGO NO MITIGABLE ID:2014-W166-013, LOCALIDAD:19 CIUDAD BOLÍVAR, UPZ:68 EL TESORO, SECTOR:WOUNAAN</v>
          </cell>
          <cell r="R1076">
            <v>5946005</v>
          </cell>
          <cell r="S1076">
            <v>0</v>
          </cell>
          <cell r="T1076">
            <v>0</v>
          </cell>
          <cell r="U1076">
            <v>5946005</v>
          </cell>
          <cell r="V1076">
            <v>3201695</v>
          </cell>
        </row>
        <row r="1077">
          <cell r="J1077">
            <v>598</v>
          </cell>
          <cell r="K1077">
            <v>43133</v>
          </cell>
          <cell r="L1077" t="str">
            <v>GLORIA MARCELA VEGA MARIN</v>
          </cell>
          <cell r="M1077">
            <v>31</v>
          </cell>
          <cell r="N1077" t="str">
            <v>RESOLUCION</v>
          </cell>
          <cell r="O1077">
            <v>189</v>
          </cell>
          <cell r="P1077">
            <v>43133</v>
          </cell>
          <cell r="Q1077" t="str">
            <v>AYUDA TEMPORAL A LAS FAMILIAS DE VARIAS LOCALIDADES, PARA RELOCALIZACIÓN DE HOGARES LOCALIZADOS EN ZONAS DE ALTO RIESGO NO MITIGABLE ID:2011-3-13136, LOCALIDAD:03 SANTA FE, UPZ:96 LOURDES</v>
          </cell>
          <cell r="R1077">
            <v>7000929</v>
          </cell>
          <cell r="S1077">
            <v>0</v>
          </cell>
          <cell r="T1077">
            <v>0</v>
          </cell>
          <cell r="U1077">
            <v>7000929</v>
          </cell>
          <cell r="V1077">
            <v>3769731</v>
          </cell>
        </row>
        <row r="1078">
          <cell r="J1078">
            <v>599</v>
          </cell>
          <cell r="K1078">
            <v>43133</v>
          </cell>
          <cell r="L1078" t="str">
            <v>JAIRO ANDRES VASQUEZ GARCIA</v>
          </cell>
          <cell r="M1078">
            <v>31</v>
          </cell>
          <cell r="N1078" t="str">
            <v>RESOLUCION</v>
          </cell>
          <cell r="O1078">
            <v>190</v>
          </cell>
          <cell r="P1078">
            <v>43133</v>
          </cell>
          <cell r="Q1078" t="str">
            <v>AYUDA TEMPORAL A LAS FAMILIAS DE VARIAS LOCALIDADES, PARA RELOCALIZACIÓN DE HOGARES LOCALIZADOS EN ZONAS DE ALTO RIESGO NO MITIGABLE ID:2014-P474-00745, LOCALIDAD:04 SAN CRISTÓBAL, UPZ:33 SOSIEGO, SECTOR:PROCESO LA MARIA</v>
          </cell>
          <cell r="R1078">
            <v>7540000</v>
          </cell>
          <cell r="S1078">
            <v>0</v>
          </cell>
          <cell r="T1078">
            <v>0</v>
          </cell>
          <cell r="U1078">
            <v>7540000</v>
          </cell>
          <cell r="V1078">
            <v>4060000</v>
          </cell>
        </row>
        <row r="1079">
          <cell r="J1079">
            <v>600</v>
          </cell>
          <cell r="K1079">
            <v>43133</v>
          </cell>
          <cell r="L1079" t="str">
            <v>YACQUELINE  TRIANA LOPEZ</v>
          </cell>
          <cell r="M1079">
            <v>31</v>
          </cell>
          <cell r="N1079" t="str">
            <v>RESOLUCION</v>
          </cell>
          <cell r="O1079">
            <v>191</v>
          </cell>
          <cell r="P1079">
            <v>43133</v>
          </cell>
          <cell r="Q1079" t="str">
            <v>AYUDA TEMPORAL A LAS FAMILIAS DE VARIAS LOCALIDADES, PARA RELOCALIZACIÓN DE HOGARES LOCALIZADOS EN ZONAS DE ALTO RIESGO NO MITIGABLE ID:2011-1-12798, LOCALIDAD:01 USAQUÉN, UPZ:11 SAN CRISTÓBAL NORTE, SECTOR:OLA INVERNAL 2010 FOPAE</v>
          </cell>
          <cell r="R1079">
            <v>5528289</v>
          </cell>
          <cell r="S1079">
            <v>0</v>
          </cell>
          <cell r="T1079">
            <v>0</v>
          </cell>
          <cell r="U1079">
            <v>5528289</v>
          </cell>
          <cell r="V1079">
            <v>2976771</v>
          </cell>
        </row>
        <row r="1080">
          <cell r="J1080">
            <v>601</v>
          </cell>
          <cell r="K1080">
            <v>43133</v>
          </cell>
          <cell r="L1080" t="str">
            <v>ROBINSON FERNEY MALAMBO QUESADA</v>
          </cell>
          <cell r="M1080">
            <v>31</v>
          </cell>
          <cell r="N1080" t="str">
            <v>RESOLUCION</v>
          </cell>
          <cell r="O1080">
            <v>192</v>
          </cell>
          <cell r="P1080">
            <v>43133</v>
          </cell>
          <cell r="Q1080" t="str">
            <v>AYUDA TEMPORAL A LAS FAMILIAS DE VARIAS LOCALIDADES, PARA RELOCALIZACIÓN DE HOGARES LOCALIZADOS EN ZONAS DE ALTO RIESGO NO MITIGABLE ID:2012-19-13931, LOCALIDAD:19 CIUDAD BOLÍVAR, UPZ:67 LUCERO</v>
          </cell>
          <cell r="R1080">
            <v>3614814</v>
          </cell>
          <cell r="S1080">
            <v>0</v>
          </cell>
          <cell r="T1080">
            <v>0</v>
          </cell>
          <cell r="U1080">
            <v>3614814</v>
          </cell>
          <cell r="V1080">
            <v>2065608</v>
          </cell>
        </row>
        <row r="1081">
          <cell r="J1081">
            <v>602</v>
          </cell>
          <cell r="K1081">
            <v>43133</v>
          </cell>
          <cell r="L1081" t="str">
            <v>REINALDO  CABEZON MERCAZA</v>
          </cell>
          <cell r="M1081">
            <v>31</v>
          </cell>
          <cell r="N1081" t="str">
            <v>RESOLUCION</v>
          </cell>
          <cell r="O1081">
            <v>193</v>
          </cell>
          <cell r="P1081">
            <v>43133</v>
          </cell>
          <cell r="Q1081" t="str">
            <v>AYUDA TEMPORAL A LAS FAMILIAS DE VARIAS LOCALIDADES, PARA RELOCALIZACIÓN DE HOGARES LOCALIZADOS EN ZONAS DE ALTO RIESGO NO MITIGABLE ID:2014-W166-086, LOCALIDAD:19 CIUDAD BOLÍVAR, UPZ:68 EL TESORO, SECTOR:WOUNAAN</v>
          </cell>
          <cell r="R1081">
            <v>8066617</v>
          </cell>
          <cell r="S1081">
            <v>0</v>
          </cell>
          <cell r="T1081">
            <v>0</v>
          </cell>
          <cell r="U1081">
            <v>8066617</v>
          </cell>
          <cell r="V1081">
            <v>4343563</v>
          </cell>
        </row>
        <row r="1082">
          <cell r="J1082">
            <v>603</v>
          </cell>
          <cell r="K1082">
            <v>43133</v>
          </cell>
          <cell r="L1082" t="str">
            <v>JOSE ALFONSO BETANCUR MORA</v>
          </cell>
          <cell r="M1082">
            <v>31</v>
          </cell>
          <cell r="N1082" t="str">
            <v>RESOLUCION</v>
          </cell>
          <cell r="O1082">
            <v>194</v>
          </cell>
          <cell r="P1082">
            <v>43133</v>
          </cell>
          <cell r="Q1082" t="str">
            <v>AYUDA TEMPORAL A LAS FAMILIAS DE VARIAS LOCALIDADES, PARA RELOCALIZACIÓN DE HOGARES LOCALIZADOS EN ZONAS DE ALTO RIESGO NO MITIGABLE ID:2013000228, LOCALIDAD:19 CIUDAD BOLÍVAR, UPZ:67 LUCERO, SECTOR:QUEBRADA TROMPETA</v>
          </cell>
          <cell r="R1082">
            <v>3157315</v>
          </cell>
          <cell r="S1082">
            <v>451045</v>
          </cell>
          <cell r="T1082">
            <v>0</v>
          </cell>
          <cell r="U1082">
            <v>2706270</v>
          </cell>
          <cell r="V1082">
            <v>2706270</v>
          </cell>
        </row>
        <row r="1083">
          <cell r="J1083">
            <v>604</v>
          </cell>
          <cell r="K1083">
            <v>43133</v>
          </cell>
          <cell r="L1083" t="str">
            <v>ROSA EMMA BARAJAS</v>
          </cell>
          <cell r="M1083">
            <v>31</v>
          </cell>
          <cell r="N1083" t="str">
            <v>RESOLUCION</v>
          </cell>
          <cell r="O1083">
            <v>195</v>
          </cell>
          <cell r="P1083">
            <v>43133</v>
          </cell>
          <cell r="Q1083" t="str">
            <v>AYUDA TEMPORAL A LAS FAMILIAS DE VARIAS LOCALIDADES, PARA RELOCALIZACIÓN DE HOGARES LOCALIZADOS EN ZONAS DE ALTO RIESGO NO MITIGABLE ID:2013000016, LOCALIDAD:19 CIUDAD BOLÍVAR, UPZ:67 LUCERO, SECTOR:QUEBRADA CAÑO BAÚL</v>
          </cell>
          <cell r="R1083">
            <v>3017000</v>
          </cell>
          <cell r="S1083">
            <v>862000</v>
          </cell>
          <cell r="T1083">
            <v>0</v>
          </cell>
          <cell r="U1083">
            <v>2155000</v>
          </cell>
          <cell r="V1083">
            <v>2155000</v>
          </cell>
        </row>
        <row r="1084">
          <cell r="J1084">
            <v>605</v>
          </cell>
          <cell r="K1084">
            <v>43133</v>
          </cell>
          <cell r="L1084" t="str">
            <v>CARMEN ANDREA VALLEJO RUANO</v>
          </cell>
          <cell r="M1084">
            <v>31</v>
          </cell>
          <cell r="N1084" t="str">
            <v>RESOLUCION</v>
          </cell>
          <cell r="O1084">
            <v>196</v>
          </cell>
          <cell r="P1084">
            <v>43133</v>
          </cell>
          <cell r="Q1084" t="str">
            <v>AYUDA TEMPORAL A LAS FAMILIAS DE VARIAS LOCALIDADES, PARA RELOCALIZACIÓN DE HOGARES LOCALIZADOS EN ZONAS DE ALTO RIESGO NO MITIGABLE ID:2011-19-12939, LOCALIDAD:19 CIUDAD BOLÍVAR, UPZ:67 LUCERO</v>
          </cell>
          <cell r="R1084">
            <v>2661659</v>
          </cell>
          <cell r="S1084">
            <v>0</v>
          </cell>
          <cell r="T1084">
            <v>0</v>
          </cell>
          <cell r="U1084">
            <v>2661659</v>
          </cell>
          <cell r="V1084">
            <v>1520948</v>
          </cell>
        </row>
        <row r="1085">
          <cell r="J1085">
            <v>606</v>
          </cell>
          <cell r="K1085">
            <v>43133</v>
          </cell>
          <cell r="L1085" t="str">
            <v>MARBEL ANDREA MARTINEZ ECHEVERRY</v>
          </cell>
          <cell r="M1085">
            <v>31</v>
          </cell>
          <cell r="N1085" t="str">
            <v>RESOLUCION</v>
          </cell>
          <cell r="O1085">
            <v>197</v>
          </cell>
          <cell r="P1085">
            <v>43133</v>
          </cell>
          <cell r="Q1085" t="str">
            <v>AYUDA TEMPORAL A LAS FAMILIAS DE VARIAS LOCALIDADES, PARA RELOCALIZACIÓN DE HOGARES LOCALIZADOS EN ZONAS DE ALTO RIESGO NO MITIGABLE ID:2016-08-14835, LOCALIDAD:08 KENNEDY, UPZ:82 PATIO BONITO, SECTOR:PALMITAS</v>
          </cell>
          <cell r="R1085">
            <v>5946005</v>
          </cell>
          <cell r="S1085">
            <v>0</v>
          </cell>
          <cell r="T1085">
            <v>0</v>
          </cell>
          <cell r="U1085">
            <v>5946005</v>
          </cell>
          <cell r="V1085">
            <v>3201695</v>
          </cell>
        </row>
        <row r="1086">
          <cell r="J1086">
            <v>607</v>
          </cell>
          <cell r="K1086">
            <v>43133</v>
          </cell>
          <cell r="L1086" t="str">
            <v>ALBA LILIANA TUNJUELO NIEVES</v>
          </cell>
          <cell r="M1086">
            <v>31</v>
          </cell>
          <cell r="N1086" t="str">
            <v>RESOLUCION</v>
          </cell>
          <cell r="O1086">
            <v>207</v>
          </cell>
          <cell r="P1086">
            <v>43133</v>
          </cell>
          <cell r="Q1086" t="str">
            <v>AYUDA TEMPORAL A LAS FAMILIAS DE VARIAS LOCALIDADES, PARA RELOCALIZACIÓN DE HOGARES LOCALIZADOS EN ZONAS DE ALTO RIESGO NO MITIGABLE ID:2012-ALES-7, LOCALIDAD:19 CIUDAD BOLÍVAR, UPZ:69 ISMAEL PERDOMO, SECTOR:ALTOS DE LA ESTANCIA</v>
          </cell>
          <cell r="R1086">
            <v>3022327</v>
          </cell>
          <cell r="S1086">
            <v>431761</v>
          </cell>
          <cell r="T1086">
            <v>0</v>
          </cell>
          <cell r="U1086">
            <v>2590566</v>
          </cell>
          <cell r="V1086">
            <v>2590566</v>
          </cell>
        </row>
        <row r="1087">
          <cell r="J1087">
            <v>608</v>
          </cell>
          <cell r="K1087">
            <v>43133</v>
          </cell>
          <cell r="L1087" t="str">
            <v>TERESA DE JESUS BERNAL DE GONZALEZ</v>
          </cell>
          <cell r="M1087">
            <v>31</v>
          </cell>
          <cell r="N1087" t="str">
            <v>RESOLUCION</v>
          </cell>
          <cell r="O1087">
            <v>208</v>
          </cell>
          <cell r="P1087">
            <v>43133</v>
          </cell>
          <cell r="Q1087" t="str">
            <v>AYUDA TEMPORAL A LAS FAMILIAS DE VARIAS LOCALIDADES, PARA RELOCALIZACIÓN DE HOGARES LOCALIZADOS EN ZONAS DE ALTO RIESGO NO MITIGABLE ID:2009-5-11042, LOCALIDAD:05 USME, UPZ:57 GRAN YOMASA</v>
          </cell>
          <cell r="R1087">
            <v>6868797</v>
          </cell>
          <cell r="S1087">
            <v>0</v>
          </cell>
          <cell r="T1087">
            <v>0</v>
          </cell>
          <cell r="U1087">
            <v>6868797</v>
          </cell>
          <cell r="V1087">
            <v>3698583</v>
          </cell>
        </row>
        <row r="1088">
          <cell r="J1088">
            <v>609</v>
          </cell>
          <cell r="K1088">
            <v>43133</v>
          </cell>
          <cell r="L1088" t="str">
            <v>SARAY  GUTIERREZ PEDREROS</v>
          </cell>
          <cell r="M1088">
            <v>31</v>
          </cell>
          <cell r="N1088" t="str">
            <v>RESOLUCION</v>
          </cell>
          <cell r="O1088">
            <v>209</v>
          </cell>
          <cell r="P1088">
            <v>43133</v>
          </cell>
          <cell r="Q1088" t="str">
            <v>AYUDA TEMPORAL A LAS FAMILIAS DE VARIAS LOCALIDADES, PARA RELOCALIZACIÓN DE HOGARES LOCALIZADOS EN ZONAS DE ALTO RIESGO NO MITIGABLE ID:2016-08-14810, LOCALIDAD:08 KENNEDY, UPZ:82 PATIO BONITO, SECTOR:PALMITAS</v>
          </cell>
          <cell r="R1088">
            <v>3137015</v>
          </cell>
          <cell r="S1088">
            <v>0</v>
          </cell>
          <cell r="T1088">
            <v>0</v>
          </cell>
          <cell r="U1088">
            <v>3137015</v>
          </cell>
          <cell r="V1088">
            <v>2688870</v>
          </cell>
        </row>
        <row r="1089">
          <cell r="J1089">
            <v>610</v>
          </cell>
          <cell r="K1089">
            <v>43133</v>
          </cell>
          <cell r="L1089" t="str">
            <v>NOLBERTO  ALAPE TAPIERO</v>
          </cell>
          <cell r="M1089">
            <v>31</v>
          </cell>
          <cell r="N1089" t="str">
            <v>RESOLUCION</v>
          </cell>
          <cell r="O1089">
            <v>210</v>
          </cell>
          <cell r="P1089">
            <v>43133</v>
          </cell>
          <cell r="Q1089" t="str">
            <v>AYUDA TEMPORAL A LAS FAMILIAS DE VARIAS LOCALIDADES, PARA RELOCALIZACIÓN DE HOGARES LOCALIZADOS EN ZONAS DE ALTO RIESGO NO MITIGABLE ID:2012-19-13842, LOCALIDAD:19 CIUDAD BOLÍVAR, UPZ:67 LUCERO</v>
          </cell>
          <cell r="R1089">
            <v>5946005</v>
          </cell>
          <cell r="S1089">
            <v>0</v>
          </cell>
          <cell r="T1089">
            <v>0</v>
          </cell>
          <cell r="U1089">
            <v>5946005</v>
          </cell>
          <cell r="V1089">
            <v>3201695</v>
          </cell>
        </row>
        <row r="1090">
          <cell r="J1090">
            <v>611</v>
          </cell>
          <cell r="K1090">
            <v>43133</v>
          </cell>
          <cell r="L1090" t="str">
            <v>JOSE ORLANDO GIRALDO GOMEZ</v>
          </cell>
          <cell r="M1090">
            <v>31</v>
          </cell>
          <cell r="N1090" t="str">
            <v>RESOLUCION</v>
          </cell>
          <cell r="O1090">
            <v>211</v>
          </cell>
          <cell r="P1090">
            <v>43133</v>
          </cell>
          <cell r="Q1090" t="str">
            <v>AYUDA TEMPORAL A LAS FAMILIAS DE VARIAS LOCALIDADES, PARA RELOCALIZACIÓN DE HOGARES LOCALIZADOS EN ZONAS DE ALTO RIESGO NO MITIGABLE ID:2015-W166-502, LOCALIDAD:03 SANTA FE, UPZ:95 LAS CRUCES, SECTOR:UITOTO</v>
          </cell>
          <cell r="R1090">
            <v>7036432</v>
          </cell>
          <cell r="S1090">
            <v>0</v>
          </cell>
          <cell r="T1090">
            <v>0</v>
          </cell>
          <cell r="U1090">
            <v>7036432</v>
          </cell>
          <cell r="V1090">
            <v>3788848</v>
          </cell>
        </row>
        <row r="1091">
          <cell r="J1091">
            <v>612</v>
          </cell>
          <cell r="K1091">
            <v>43133</v>
          </cell>
          <cell r="L1091" t="str">
            <v>ADAN  CARPIO CHAMAPURO</v>
          </cell>
          <cell r="M1091">
            <v>31</v>
          </cell>
          <cell r="N1091" t="str">
            <v>RESOLUCION</v>
          </cell>
          <cell r="O1091">
            <v>250</v>
          </cell>
          <cell r="P1091">
            <v>43133</v>
          </cell>
          <cell r="Q1091" t="str">
            <v>AYUDA TEMPORAL A LAS FAMILIAS DE VARIAS LOCALIDADES, PARA RELOCALIZACIÓN DE HOGARES LOCALIZADOS EN ZONAS DE ALTO RIESGO NO MITIGABLE ID:2015-W166-426, LOCALIDAD:19 CIUDAD BOLÍVAR, UPZ:68 EL TESORO, SECTOR:WOUNAAN</v>
          </cell>
          <cell r="R1091">
            <v>5528393</v>
          </cell>
          <cell r="S1091">
            <v>0</v>
          </cell>
          <cell r="T1091">
            <v>0</v>
          </cell>
          <cell r="U1091">
            <v>5528393</v>
          </cell>
          <cell r="V1091">
            <v>2976827</v>
          </cell>
        </row>
        <row r="1092">
          <cell r="J1092">
            <v>613</v>
          </cell>
          <cell r="K1092">
            <v>43133</v>
          </cell>
          <cell r="L1092" t="str">
            <v>YURY VICTORIA VARGAS DIAZ</v>
          </cell>
          <cell r="M1092">
            <v>31</v>
          </cell>
          <cell r="N1092" t="str">
            <v>RESOLUCION</v>
          </cell>
          <cell r="O1092">
            <v>212</v>
          </cell>
          <cell r="P1092">
            <v>43133</v>
          </cell>
          <cell r="Q1092" t="str">
            <v>AYUDA TEMPORAL A LAS FAMILIAS DE VARIAS LOCALIDADES, PARA RELOCALIZACIÓN DE HOGARES LOCALIZADOS EN ZONAS DE ALTO RIESGO NO MITIGABLE ID:2011-4-13634, LOCALIDAD:04 SAN CRISTÓBAL, UPZ:32 SAN BLAS</v>
          </cell>
          <cell r="R1092">
            <v>5172000</v>
          </cell>
          <cell r="S1092">
            <v>0</v>
          </cell>
          <cell r="T1092">
            <v>0</v>
          </cell>
          <cell r="U1092">
            <v>5172000</v>
          </cell>
          <cell r="V1092">
            <v>3017000</v>
          </cell>
        </row>
        <row r="1093">
          <cell r="J1093">
            <v>614</v>
          </cell>
          <cell r="K1093">
            <v>43133</v>
          </cell>
          <cell r="L1093" t="str">
            <v>OSCAR EMILIO LUVIESA CHAMARRA</v>
          </cell>
          <cell r="M1093">
            <v>31</v>
          </cell>
          <cell r="N1093" t="str">
            <v>RESOLUCION</v>
          </cell>
          <cell r="O1093">
            <v>251</v>
          </cell>
          <cell r="P1093">
            <v>43133</v>
          </cell>
          <cell r="Q1093" t="str">
            <v>AYUDA TEMPORAL A LAS FAMILIAS DE VARIAS LOCALIDADES, PARA RELOCALIZACIÓN DE HOGARES LOCALIZADOS EN ZONAS DE ALTO RIESGO NO MITIGABLE ID:2014-W166-008, LOCALIDAD:19 CIUDAD BOLÍVAR, UPZ:67 LUCERO, SECTOR:WOUNAAN</v>
          </cell>
          <cell r="R1093">
            <v>6236100</v>
          </cell>
          <cell r="S1093">
            <v>0</v>
          </cell>
          <cell r="T1093">
            <v>0</v>
          </cell>
          <cell r="U1093">
            <v>6236100</v>
          </cell>
          <cell r="V1093">
            <v>3357900</v>
          </cell>
        </row>
        <row r="1094">
          <cell r="J1094">
            <v>615</v>
          </cell>
          <cell r="K1094">
            <v>43133</v>
          </cell>
          <cell r="L1094" t="str">
            <v>DIEGO ENRIQUE GALLEGO MORALES</v>
          </cell>
          <cell r="M1094">
            <v>31</v>
          </cell>
          <cell r="N1094" t="str">
            <v>RESOLUCION</v>
          </cell>
          <cell r="O1094">
            <v>213</v>
          </cell>
          <cell r="P1094">
            <v>43133</v>
          </cell>
          <cell r="Q1094" t="str">
            <v>AYUDA TEMPORAL A LAS FAMILIAS DE VARIAS LOCALIDADES, PARA RELOCALIZACIÓN DE HOGARES LOCALIZADOS EN ZONAS DE ALTO RIESGO NO MITIGABLE ID:2012-19-14412, LOCALIDAD:19 CIUDAD BOLÍVAR, UPZ:68 EL TESORO, SECTOR:QUEBRADA TROMPETA</v>
          </cell>
          <cell r="R1094">
            <v>4795154</v>
          </cell>
          <cell r="S1094">
            <v>0</v>
          </cell>
          <cell r="T1094">
            <v>0</v>
          </cell>
          <cell r="U1094">
            <v>4795154</v>
          </cell>
          <cell r="V1094">
            <v>2582006</v>
          </cell>
        </row>
        <row r="1095">
          <cell r="J1095">
            <v>616</v>
          </cell>
          <cell r="K1095">
            <v>43133</v>
          </cell>
          <cell r="L1095" t="str">
            <v>JOSE ADER MENBACHE GARCIA</v>
          </cell>
          <cell r="M1095">
            <v>31</v>
          </cell>
          <cell r="N1095" t="str">
            <v>RESOLUCION</v>
          </cell>
          <cell r="O1095">
            <v>252</v>
          </cell>
          <cell r="P1095">
            <v>43133</v>
          </cell>
          <cell r="Q1095" t="str">
            <v>AYUDA TEMPORAL A LAS FAMILIAS DE VARIAS LOCALIDADES, PARA RELOCALIZACIÓN DE HOGARES LOCALIZADOS EN ZONAS DE ALTO RIESGO NO MITIGABLE ID:2014-W166-071, LOCALIDAD:19 CIUDAD BOLÍVAR, UPZ:68 EL TESORO, SECTOR:WOUNAAN</v>
          </cell>
          <cell r="R1095">
            <v>5285280</v>
          </cell>
          <cell r="S1095">
            <v>0</v>
          </cell>
          <cell r="T1095">
            <v>0</v>
          </cell>
          <cell r="U1095">
            <v>5285280</v>
          </cell>
          <cell r="V1095">
            <v>2845920</v>
          </cell>
        </row>
        <row r="1096">
          <cell r="J1096">
            <v>617</v>
          </cell>
          <cell r="K1096">
            <v>43133</v>
          </cell>
          <cell r="L1096" t="str">
            <v>EMILIO  ACEVEDO AGUIRRE</v>
          </cell>
          <cell r="M1096">
            <v>31</v>
          </cell>
          <cell r="N1096" t="str">
            <v>RESOLUCION</v>
          </cell>
          <cell r="O1096">
            <v>214</v>
          </cell>
          <cell r="P1096">
            <v>43133</v>
          </cell>
          <cell r="Q1096" t="str">
            <v>AYUDA TEMPORAL A LAS FAMILIAS DE VARIAS LOCALIDADES, PARA RELOCALIZACIÓN DE HOGARES LOCALIZADOS EN ZONAS DE ALTO RIESGO NO MITIGABLE ID:2011-19-12515, LOCALIDAD:19 CIUDAD BOLÍVAR, UPZ:67 LUCERO, SECTOR:OLA INVERNAL 2010 FOPAE</v>
          </cell>
          <cell r="R1096">
            <v>2845920</v>
          </cell>
          <cell r="S1096">
            <v>406560</v>
          </cell>
          <cell r="T1096">
            <v>0</v>
          </cell>
          <cell r="U1096">
            <v>2439360</v>
          </cell>
          <cell r="V1096">
            <v>2439360</v>
          </cell>
        </row>
        <row r="1097">
          <cell r="J1097">
            <v>618</v>
          </cell>
          <cell r="K1097">
            <v>43133</v>
          </cell>
          <cell r="L1097" t="str">
            <v>FANNY  ISMARE MERCAZA</v>
          </cell>
          <cell r="M1097">
            <v>31</v>
          </cell>
          <cell r="N1097" t="str">
            <v>RESOLUCION</v>
          </cell>
          <cell r="O1097">
            <v>253</v>
          </cell>
          <cell r="P1097">
            <v>43133</v>
          </cell>
          <cell r="Q1097" t="str">
            <v>AYUDA TEMPORAL A LAS FAMILIAS DE VARIAS LOCALIDADES, PARA RELOCALIZACIÓN DE HOGARES LOCALIZADOS EN ZONAS DE ALTO RIESGO NO MITIGABLE ID:2015-W166-421, LOCALIDAD:19 CIUDAD BOLÍVAR, UPZ:67 LUCERO, SECTOR:WOUNAAN</v>
          </cell>
          <cell r="R1097">
            <v>7036432</v>
          </cell>
          <cell r="S1097">
            <v>0</v>
          </cell>
          <cell r="T1097">
            <v>0</v>
          </cell>
          <cell r="U1097">
            <v>7036432</v>
          </cell>
          <cell r="V1097">
            <v>3788848</v>
          </cell>
        </row>
        <row r="1098">
          <cell r="J1098">
            <v>619</v>
          </cell>
          <cell r="K1098">
            <v>43133</v>
          </cell>
          <cell r="L1098" t="str">
            <v>MARIO HUGO RODRIGUEZ FLOREZ</v>
          </cell>
          <cell r="M1098">
            <v>31</v>
          </cell>
          <cell r="N1098" t="str">
            <v>RESOLUCION</v>
          </cell>
          <cell r="O1098">
            <v>215</v>
          </cell>
          <cell r="P1098">
            <v>43133</v>
          </cell>
          <cell r="Q1098" t="str">
            <v>AYUDA TEMPORAL A LAS FAMILIAS DE VARIAS LOCALIDADES, PARA RELOCALIZACIÓN DE HOGARES LOCALIZADOS EN ZONAS DE ALTO RIESGO NO MITIGABLE ID:2012-ALES-389, LOCALIDAD:19 CIUDAD BOLÍVAR, UPZ:69 ISMAEL PERDOMO, SECTOR:ALTOS DE LA ESTANCIA</v>
          </cell>
          <cell r="R1098">
            <v>6233708</v>
          </cell>
          <cell r="S1098">
            <v>0</v>
          </cell>
          <cell r="T1098">
            <v>0</v>
          </cell>
          <cell r="U1098">
            <v>6233708</v>
          </cell>
          <cell r="V1098">
            <v>3356612</v>
          </cell>
        </row>
        <row r="1099">
          <cell r="J1099">
            <v>620</v>
          </cell>
          <cell r="K1099">
            <v>43133</v>
          </cell>
          <cell r="L1099" t="str">
            <v>NELLY  SUA OJEDA</v>
          </cell>
          <cell r="M1099">
            <v>31</v>
          </cell>
          <cell r="N1099" t="str">
            <v>RESOLUCION</v>
          </cell>
          <cell r="O1099">
            <v>254</v>
          </cell>
          <cell r="P1099">
            <v>43133</v>
          </cell>
          <cell r="Q1099" t="str">
            <v>AYUDA TEMPORAL A LAS FAMILIAS DE VARIAS LOCALIDADES, PARA RELOCALIZACIÓN DE HOGARES LOCALIZADOS EN ZONAS DE ALTO RIESGO NO MITIGABLE ID:2012-19-14068, LOCALIDAD:19 CIUDAD BOLÍVAR, UPZ:68 EL TESORO, SECTOR:QUEBRADA TROMPETA</v>
          </cell>
          <cell r="R1099">
            <v>3570210</v>
          </cell>
          <cell r="S1099">
            <v>510030</v>
          </cell>
          <cell r="T1099">
            <v>0</v>
          </cell>
          <cell r="U1099">
            <v>3060180</v>
          </cell>
          <cell r="V1099">
            <v>3060180</v>
          </cell>
        </row>
        <row r="1100">
          <cell r="J1100">
            <v>621</v>
          </cell>
          <cell r="K1100">
            <v>43133</v>
          </cell>
          <cell r="L1100" t="str">
            <v>ANDREA ESMERALDA FRANCO ALGECIRA</v>
          </cell>
          <cell r="M1100">
            <v>31</v>
          </cell>
          <cell r="N1100" t="str">
            <v>RESOLUCION</v>
          </cell>
          <cell r="O1100">
            <v>255</v>
          </cell>
          <cell r="P1100">
            <v>43133</v>
          </cell>
          <cell r="Q1100" t="str">
            <v>AYUDA TEMPORAL A LAS FAMILIAS DE VARIAS LOCALIDADES, PARA RELOCALIZACIÓN DE HOGARES LOCALIZADOS EN ZONAS DE ALTO RIESGO NO MITIGABLE ID:2014-18-14706, LOCALIDAD:18 RAFAEL URIBE URIBE, UPZ:53 MARCO FIDEL SUÁREZ</v>
          </cell>
          <cell r="R1100">
            <v>2893681</v>
          </cell>
          <cell r="S1100">
            <v>413383</v>
          </cell>
          <cell r="T1100">
            <v>0</v>
          </cell>
          <cell r="U1100">
            <v>2480298</v>
          </cell>
          <cell r="V1100">
            <v>2480298</v>
          </cell>
        </row>
        <row r="1101">
          <cell r="J1101">
            <v>622</v>
          </cell>
          <cell r="K1101">
            <v>43133</v>
          </cell>
          <cell r="L1101" t="str">
            <v>MARIA INES CERINZA</v>
          </cell>
          <cell r="M1101">
            <v>31</v>
          </cell>
          <cell r="N1101" t="str">
            <v>RESOLUCION</v>
          </cell>
          <cell r="O1101">
            <v>256</v>
          </cell>
          <cell r="P1101">
            <v>43133</v>
          </cell>
          <cell r="Q1101" t="str">
            <v>AYUDA TEMPORAL A LAS FAMILIAS DE VARIAS LOCALIDADES, PARA RELOCALIZACIÓN DE HOGARES LOCALIZADOS EN ZONAS DE ALTO RIESGO NO MITIGABLE ID:2011-19-12555, LOCALIDAD:19 CIUDAD BOLÍVAR, UPZ:69 ISMAEL PERDOMO, SECTOR:OLA INVERNAL 2010 FOPAE</v>
          </cell>
          <cell r="R1101">
            <v>5754190</v>
          </cell>
          <cell r="S1101">
            <v>0</v>
          </cell>
          <cell r="T1101">
            <v>0</v>
          </cell>
          <cell r="U1101">
            <v>5754190</v>
          </cell>
          <cell r="V1101">
            <v>3098410</v>
          </cell>
        </row>
        <row r="1102">
          <cell r="J1102">
            <v>623</v>
          </cell>
          <cell r="K1102">
            <v>43133</v>
          </cell>
          <cell r="L1102" t="str">
            <v>NUBIA ESPERANZA SIERRA LEON</v>
          </cell>
          <cell r="M1102">
            <v>31</v>
          </cell>
          <cell r="N1102" t="str">
            <v>RESOLUCION</v>
          </cell>
          <cell r="O1102">
            <v>257</v>
          </cell>
          <cell r="P1102">
            <v>43133</v>
          </cell>
          <cell r="Q1102" t="str">
            <v>AYUDA TEMPORAL A LAS FAMILIAS DE VARIAS LOCALIDADES, PARA RELOCALIZACIÓN DE HOGARES LOCALIZADOS EN ZONAS DE ALTO RIESGO NO MITIGABLE ID:2016-08-14783, LOCALIDAD:08 KENNEDY, UPZ:82 PATIO BONITO, SECTOR:PALMITAS</v>
          </cell>
          <cell r="R1102">
            <v>5274672</v>
          </cell>
          <cell r="S1102">
            <v>0</v>
          </cell>
          <cell r="T1102">
            <v>0</v>
          </cell>
          <cell r="U1102">
            <v>5274672</v>
          </cell>
          <cell r="V1102">
            <v>2840208</v>
          </cell>
        </row>
        <row r="1103">
          <cell r="J1103">
            <v>624</v>
          </cell>
          <cell r="K1103">
            <v>43133</v>
          </cell>
          <cell r="L1103" t="str">
            <v>MONICA ANDREA VELEZ FERRIN</v>
          </cell>
          <cell r="M1103">
            <v>31</v>
          </cell>
          <cell r="N1103" t="str">
            <v>RESOLUCION</v>
          </cell>
          <cell r="O1103">
            <v>258</v>
          </cell>
          <cell r="P1103">
            <v>43133</v>
          </cell>
          <cell r="Q1103" t="str">
            <v>AYUDA TEMPORAL A LAS FAMILIAS DE VARIAS LOCALIDADES, PARA RELOCALIZACIÓN DE HOGARES LOCALIZADOS EN ZONAS DE ALTO RIESGO NO MITIGABLE ID:2012-19-14510, LOCALIDAD:19 CIUDAD BOLÍVAR, UPZ:68 EL TESORO, SECTOR:QUEBRADA EL INFIERNO</v>
          </cell>
          <cell r="R1103">
            <v>3098410</v>
          </cell>
          <cell r="S1103">
            <v>885260</v>
          </cell>
          <cell r="T1103">
            <v>0</v>
          </cell>
          <cell r="U1103">
            <v>2213150</v>
          </cell>
          <cell r="V1103">
            <v>2213150</v>
          </cell>
        </row>
        <row r="1104">
          <cell r="J1104">
            <v>625</v>
          </cell>
          <cell r="K1104">
            <v>43133</v>
          </cell>
          <cell r="L1104" t="str">
            <v>PABLO EMILIO REYES CALDERON</v>
          </cell>
          <cell r="M1104">
            <v>31</v>
          </cell>
          <cell r="N1104" t="str">
            <v>RESOLUCION</v>
          </cell>
          <cell r="O1104">
            <v>259</v>
          </cell>
          <cell r="P1104">
            <v>43133</v>
          </cell>
          <cell r="Q1104" t="str">
            <v>AYUDA TEMPORAL A LAS FAMILIAS DE VARIAS LOCALIDADES, PARA RELOCALIZACIÓN DE HOGARES LOCALIZADOS EN ZONAS DE ALTO RIESGO NO MITIGABLE ID:2013-Q10-00229, LOCALIDAD:19 CIUDAD BOLÍVAR, UPZ:67 LUCERO, SECTOR:PEÑA COLORADA</v>
          </cell>
          <cell r="R1104">
            <v>2685291</v>
          </cell>
          <cell r="S1104">
            <v>767226</v>
          </cell>
          <cell r="T1104">
            <v>0</v>
          </cell>
          <cell r="U1104">
            <v>1918065</v>
          </cell>
          <cell r="V1104">
            <v>1918065</v>
          </cell>
        </row>
        <row r="1105">
          <cell r="J1105">
            <v>626</v>
          </cell>
          <cell r="K1105">
            <v>43133</v>
          </cell>
          <cell r="L1105" t="str">
            <v>RUPERTO  SUAREZ MOLINA</v>
          </cell>
          <cell r="M1105">
            <v>31</v>
          </cell>
          <cell r="N1105" t="str">
            <v>RESOLUCION</v>
          </cell>
          <cell r="O1105">
            <v>260</v>
          </cell>
          <cell r="P1105">
            <v>43133</v>
          </cell>
          <cell r="Q1105" t="str">
            <v>AYUDA TEMPORAL A LAS FAMILIAS DE VARIAS LOCALIDADES, PARA RELOCALIZACIÓN DE HOGARES LOCALIZADOS EN ZONAS DE ALTO RIESGO NO MITIGABLE ID:2016-08-14894, LOCALIDAD:08 KENNEDY, UPZ:82 PATIO BONITO, SECTOR:PALMITAS</v>
          </cell>
          <cell r="R1105">
            <v>5178771</v>
          </cell>
          <cell r="S1105">
            <v>0</v>
          </cell>
          <cell r="T1105">
            <v>0</v>
          </cell>
          <cell r="U1105">
            <v>5178771</v>
          </cell>
          <cell r="V1105">
            <v>2788569</v>
          </cell>
        </row>
        <row r="1106">
          <cell r="J1106">
            <v>627</v>
          </cell>
          <cell r="K1106">
            <v>43133</v>
          </cell>
          <cell r="L1106" t="str">
            <v>JOSE EDILBERTO RESTREPO FORERO</v>
          </cell>
          <cell r="M1106">
            <v>31</v>
          </cell>
          <cell r="N1106" t="str">
            <v>RESOLUCION</v>
          </cell>
          <cell r="O1106">
            <v>261</v>
          </cell>
          <cell r="P1106">
            <v>43133</v>
          </cell>
          <cell r="Q1106" t="str">
            <v>AYUDA TEMPORAL A LAS FAMILIAS DE VARIAS LOCALIDADES, PARA RELOCALIZACIÓN DE HOGARES LOCALIZADOS EN ZONAS DE ALTO RIESGO NO MITIGABLE ID:2011-4-13183, LOCALIDAD:04 SAN CRISTÓBAL, UPZ:32 SAN BLAS</v>
          </cell>
          <cell r="R1106">
            <v>2924376</v>
          </cell>
          <cell r="S1106">
            <v>417768</v>
          </cell>
          <cell r="T1106">
            <v>0</v>
          </cell>
          <cell r="U1106">
            <v>2506608</v>
          </cell>
          <cell r="V1106">
            <v>2506608</v>
          </cell>
        </row>
        <row r="1107">
          <cell r="J1107">
            <v>628</v>
          </cell>
          <cell r="K1107">
            <v>43133</v>
          </cell>
          <cell r="L1107" t="str">
            <v>HERNANDO  CASTRO MERGAREJO</v>
          </cell>
          <cell r="M1107">
            <v>31</v>
          </cell>
          <cell r="N1107" t="str">
            <v>RESOLUCION</v>
          </cell>
          <cell r="O1107">
            <v>262</v>
          </cell>
          <cell r="P1107">
            <v>43133</v>
          </cell>
          <cell r="Q1107" t="str">
            <v>AYUDA TEMPORAL A LAS FAMILIAS DE VARIAS LOCALIDADES, PARA RELOCALIZACIÓN DE HOGARES LOCALIZADOS EN ZONAS DE ALTO RIESGO NO MITIGABLE ID:2013-Q09-00479, LOCALIDAD:19 CIUDAD BOLÍVAR, UPZ:67 LUCERO, SECTOR:QUEBRADA TROMPETA</v>
          </cell>
          <cell r="R1107">
            <v>3157315</v>
          </cell>
          <cell r="S1107">
            <v>451045</v>
          </cell>
          <cell r="T1107">
            <v>0</v>
          </cell>
          <cell r="U1107">
            <v>2706270</v>
          </cell>
          <cell r="V1107">
            <v>2706270</v>
          </cell>
        </row>
        <row r="1108">
          <cell r="J1108">
            <v>629</v>
          </cell>
          <cell r="K1108">
            <v>43133</v>
          </cell>
          <cell r="L1108" t="str">
            <v>MARIA CLAUDIA MENDEZ SANCHEZ</v>
          </cell>
          <cell r="M1108">
            <v>31</v>
          </cell>
          <cell r="N1108" t="str">
            <v>RESOLUCION</v>
          </cell>
          <cell r="O1108">
            <v>263</v>
          </cell>
          <cell r="P1108">
            <v>43133</v>
          </cell>
          <cell r="Q1108" t="str">
            <v>AYUDA TEMPORAL A LAS FAMILIAS DE VARIAS LOCALIDADES, PARA RELOCALIZACIÓN DE HOGARES LOCALIZADOS EN ZONAS DE ALTO RIESGO NO MITIGABLE ID:2011-19-12752, LOCALIDAD:19 CIUDAD BOLÍVAR, UPZ:68 EL TESORO, SECTOR:QUEBRADA EL INFIERNO</v>
          </cell>
          <cell r="R1108">
            <v>2845220</v>
          </cell>
          <cell r="S1108">
            <v>812920</v>
          </cell>
          <cell r="T1108">
            <v>0</v>
          </cell>
          <cell r="U1108">
            <v>2032300</v>
          </cell>
          <cell r="V1108">
            <v>2032300</v>
          </cell>
        </row>
        <row r="1109">
          <cell r="J1109">
            <v>630</v>
          </cell>
          <cell r="K1109">
            <v>43133</v>
          </cell>
          <cell r="L1109" t="str">
            <v>LUZ DARY VIRVIESCAS SANCHEZ</v>
          </cell>
          <cell r="M1109">
            <v>31</v>
          </cell>
          <cell r="N1109" t="str">
            <v>RESOLUCION</v>
          </cell>
          <cell r="O1109">
            <v>264</v>
          </cell>
          <cell r="P1109">
            <v>43133</v>
          </cell>
          <cell r="Q1109" t="str">
            <v>AYUDA TEMPORAL A LAS FAMILIAS DE VARIAS LOCALIDADES, PARA RELOCALIZACIÓN DE HOGARES LOCALIZADOS EN ZONAS DE ALTO RIESGO NO MITIGABLE ID:2011-19-12751, LOCALIDAD:19 CIUDAD BOLÍVAR, UPZ:68 EL TESORO, SECTOR:QUEBRADA EL INFIERNO</v>
          </cell>
          <cell r="R1109">
            <v>2845920</v>
          </cell>
          <cell r="S1109">
            <v>406560</v>
          </cell>
          <cell r="T1109">
            <v>0</v>
          </cell>
          <cell r="U1109">
            <v>2439360</v>
          </cell>
          <cell r="V1109">
            <v>2439360</v>
          </cell>
        </row>
        <row r="1110">
          <cell r="J1110">
            <v>631</v>
          </cell>
          <cell r="K1110">
            <v>43133</v>
          </cell>
          <cell r="L1110" t="str">
            <v>SILVIA  CABRERA GUERRERO</v>
          </cell>
          <cell r="M1110">
            <v>31</v>
          </cell>
          <cell r="N1110" t="str">
            <v>RESOLUCION</v>
          </cell>
          <cell r="O1110">
            <v>265</v>
          </cell>
          <cell r="P1110">
            <v>43133</v>
          </cell>
          <cell r="Q1110" t="str">
            <v>AYUDA TEMPORAL A LAS FAMILIAS DE VARIAS LOCALIDADES, PARA RELOCALIZACIÓN DE HOGARES LOCALIZADOS EN ZONAS DE ALTO RIESGO NO MITIGABLE ID:2015-W166-401, LOCALIDAD:19 CIUDAD BOLÍVAR, UPZ:70 JERUSALÉN, SECTOR:UITOTO</v>
          </cell>
          <cell r="R1110">
            <v>7036432</v>
          </cell>
          <cell r="S1110">
            <v>0</v>
          </cell>
          <cell r="T1110">
            <v>0</v>
          </cell>
          <cell r="U1110">
            <v>7036432</v>
          </cell>
          <cell r="V1110">
            <v>3788848</v>
          </cell>
        </row>
        <row r="1111">
          <cell r="J1111">
            <v>632</v>
          </cell>
          <cell r="K1111">
            <v>43133</v>
          </cell>
          <cell r="L1111" t="str">
            <v>ANUNCIO  MOÑA BURGARA</v>
          </cell>
          <cell r="M1111">
            <v>31</v>
          </cell>
          <cell r="N1111" t="str">
            <v>RESOLUCION</v>
          </cell>
          <cell r="O1111">
            <v>266</v>
          </cell>
          <cell r="P1111">
            <v>43133</v>
          </cell>
          <cell r="Q1111" t="str">
            <v>AYUDA TEMPORAL A LAS FAMILIAS DE VARIAS LOCALIDADES, PARA RELOCALIZACIÓN DE HOGARES LOCALIZADOS EN ZONAS DE ALTO RIESGO NO MITIGABLE ID:2014-W166-052, LOCALIDAD:19 CIUDAD BOLÍVAR, UPZ:68 EL TESORO, SECTOR:WOUNAAN</v>
          </cell>
          <cell r="R1111">
            <v>5178771</v>
          </cell>
          <cell r="S1111">
            <v>0</v>
          </cell>
          <cell r="T1111">
            <v>0</v>
          </cell>
          <cell r="U1111">
            <v>5178771</v>
          </cell>
          <cell r="V1111">
            <v>2788569</v>
          </cell>
        </row>
        <row r="1112">
          <cell r="J1112">
            <v>633</v>
          </cell>
          <cell r="K1112">
            <v>43133</v>
          </cell>
          <cell r="L1112" t="str">
            <v>SANDRA PATRICIA RODRIGUEZ ORTIZ</v>
          </cell>
          <cell r="M1112">
            <v>31</v>
          </cell>
          <cell r="N1112" t="str">
            <v>RESOLUCION</v>
          </cell>
          <cell r="O1112">
            <v>267</v>
          </cell>
          <cell r="P1112">
            <v>43133</v>
          </cell>
          <cell r="Q1112" t="str">
            <v>AYUDA TEMPORAL A LAS FAMILIAS DE VARIAS LOCALIDADES, PARA RELOCALIZACIÓN DE HOGARES LOCALIZADOS EN ZONAS DE ALTO RIESGO NO MITIGABLE ID:2014-OTR-01170, LOCALIDAD:11 SUBA, UPZ:71 TIBABUYES, SECTOR:GAVILANES</v>
          </cell>
          <cell r="R1112">
            <v>3014166</v>
          </cell>
          <cell r="S1112">
            <v>502361</v>
          </cell>
          <cell r="T1112">
            <v>0</v>
          </cell>
          <cell r="U1112">
            <v>2511805</v>
          </cell>
          <cell r="V1112">
            <v>2511805</v>
          </cell>
        </row>
        <row r="1113">
          <cell r="J1113">
            <v>634</v>
          </cell>
          <cell r="K1113">
            <v>43133</v>
          </cell>
          <cell r="L1113" t="str">
            <v>ELISABETH  MENESES RODRIGUEZ</v>
          </cell>
          <cell r="M1113">
            <v>31</v>
          </cell>
          <cell r="N1113" t="str">
            <v>RESOLUCION</v>
          </cell>
          <cell r="O1113">
            <v>268</v>
          </cell>
          <cell r="P1113">
            <v>43133</v>
          </cell>
          <cell r="Q1113" t="str">
            <v>AYUDA TEMPORAL A LAS FAMILIAS DE VARIAS LOCALIDADES, PARA RELOCALIZACIÓN DE HOGARES LOCALIZADOS EN ZONAS DE ALTO RIESGO NO MITIGABLE ID:2011-4-12690, LOCALIDAD:04 SAN CRISTÓBAL, UPZ:32 SAN BLAS</v>
          </cell>
          <cell r="R1113">
            <v>2590566</v>
          </cell>
          <cell r="S1113">
            <v>431761</v>
          </cell>
          <cell r="T1113">
            <v>0</v>
          </cell>
          <cell r="U1113">
            <v>2158805</v>
          </cell>
          <cell r="V1113">
            <v>2158805</v>
          </cell>
        </row>
        <row r="1114">
          <cell r="J1114">
            <v>635</v>
          </cell>
          <cell r="K1114">
            <v>43133</v>
          </cell>
          <cell r="L1114" t="str">
            <v>ANA VICTORIA MOLINA VARGAS</v>
          </cell>
          <cell r="M1114">
            <v>31</v>
          </cell>
          <cell r="N1114" t="str">
            <v>RESOLUCION</v>
          </cell>
          <cell r="O1114">
            <v>269</v>
          </cell>
          <cell r="P1114">
            <v>43133</v>
          </cell>
          <cell r="Q1114" t="str">
            <v>AYUDA TEMPORAL A LAS FAMILIAS DE VARIAS LOCALIDADES, PARA RELOCALIZACIÓN DE HOGARES LOCALIZADOS EN ZONAS DE ALTO RIESGO NO MITIGABLE ID:2016-4-14767, LOCALIDAD:04 SAN CRISTÓBAL, UPZ:32 SAN BLAS</v>
          </cell>
          <cell r="R1114">
            <v>3098412</v>
          </cell>
          <cell r="S1114">
            <v>0</v>
          </cell>
          <cell r="T1114">
            <v>0</v>
          </cell>
          <cell r="U1114">
            <v>3098412</v>
          </cell>
          <cell r="V1114">
            <v>2582010</v>
          </cell>
        </row>
        <row r="1115">
          <cell r="J1115">
            <v>636</v>
          </cell>
          <cell r="K1115">
            <v>43133</v>
          </cell>
          <cell r="L1115" t="str">
            <v>CARMEN  MARTINEZ</v>
          </cell>
          <cell r="M1115">
            <v>31</v>
          </cell>
          <cell r="N1115" t="str">
            <v>RESOLUCION</v>
          </cell>
          <cell r="O1115">
            <v>270</v>
          </cell>
          <cell r="P1115">
            <v>43133</v>
          </cell>
          <cell r="Q1115" t="str">
            <v>AYUDA TEMPORAL A LAS FAMILIAS DE VARIAS LOCALIDADES, PARA RELOCALIZACIÓN DE HOGARES LOCALIZADOS EN ZONAS DE ALTO RIESGO NO MITIGABLE ID:2012-19-14046, LOCALIDAD:19 CIUDAD BOLÍVAR, UPZ:68 EL TESORO, SECTOR:QUEBRADA TROMPETA</v>
          </cell>
          <cell r="R1115">
            <v>2892240</v>
          </cell>
          <cell r="S1115">
            <v>482040</v>
          </cell>
          <cell r="T1115">
            <v>0</v>
          </cell>
          <cell r="U1115">
            <v>2410200</v>
          </cell>
          <cell r="V1115">
            <v>2410200</v>
          </cell>
        </row>
        <row r="1116">
          <cell r="J1116">
            <v>637</v>
          </cell>
          <cell r="K1116">
            <v>43133</v>
          </cell>
          <cell r="L1116" t="str">
            <v>MANUEL LIBARDO ARIAS MARQUEZ</v>
          </cell>
          <cell r="M1116">
            <v>31</v>
          </cell>
          <cell r="N1116" t="str">
            <v>RESOLUCION</v>
          </cell>
          <cell r="O1116">
            <v>271</v>
          </cell>
          <cell r="P1116">
            <v>43133</v>
          </cell>
          <cell r="Q1116" t="str">
            <v>AYUDA TEMPORAL A LAS FAMILIAS DE VARIAS LOCALIDADES, PARA RELOCALIZACIÓN DE HOGARES LOCALIZADOS EN ZONAS DE ALTO RIESGO NO MITIGABLE ID:2007-19-9702, LOCALIDAD:19 CIUDAD BOLÍVAR, UPZ:69 ISMAEL PERDOMO</v>
          </cell>
          <cell r="R1116">
            <v>2582006</v>
          </cell>
          <cell r="S1116">
            <v>368858</v>
          </cell>
          <cell r="T1116">
            <v>0</v>
          </cell>
          <cell r="U1116">
            <v>2213148</v>
          </cell>
          <cell r="V1116">
            <v>2213148</v>
          </cell>
        </row>
        <row r="1117">
          <cell r="J1117">
            <v>638</v>
          </cell>
          <cell r="K1117">
            <v>43133</v>
          </cell>
          <cell r="L1117" t="str">
            <v>YERSON FABIAN LOPEZ PENAGOS</v>
          </cell>
          <cell r="M1117">
            <v>31</v>
          </cell>
          <cell r="N1117" t="str">
            <v>RESOLUCION</v>
          </cell>
          <cell r="O1117">
            <v>512</v>
          </cell>
          <cell r="P1117">
            <v>43102</v>
          </cell>
          <cell r="Q1117" t="str">
            <v>Asignacion del instrumento financiero a las familias ocupantes del predio que hayan superado la fase de verificacion dentro  del marco del Decreto 457 de 2017. LOCALIDAD: KENNEDY; BARRIO: VEREDITAS; ID: 2017-8-383888</v>
          </cell>
          <cell r="R1117">
            <v>54686940</v>
          </cell>
          <cell r="S1117">
            <v>0</v>
          </cell>
          <cell r="T1117">
            <v>0</v>
          </cell>
          <cell r="U1117">
            <v>54686940</v>
          </cell>
          <cell r="V1117">
            <v>54686940</v>
          </cell>
        </row>
        <row r="1118">
          <cell r="J1118">
            <v>639</v>
          </cell>
          <cell r="K1118">
            <v>43133</v>
          </cell>
          <cell r="L1118" t="str">
            <v>EVA  ORTIZ CABEZON</v>
          </cell>
          <cell r="M1118">
            <v>31</v>
          </cell>
          <cell r="N1118" t="str">
            <v>RESOLUCION</v>
          </cell>
          <cell r="O1118">
            <v>272</v>
          </cell>
          <cell r="P1118">
            <v>43133</v>
          </cell>
          <cell r="Q1118" t="str">
            <v>AYUDA TEMPORAL A LAS FAMILIAS DE VARIAS LOCALIDADES, PARA RELOCALIZACIÓN DE HOGARES LOCALIZADOS EN ZONAS DE ALTO RIESGO NO MITIGABLE ID:2014-W166-058, LOCALIDAD:19 CIUDAD BOLÍVAR, UPZ:68 EL TESORO, SECTOR:WOUNAAN</v>
          </cell>
          <cell r="R1118">
            <v>5284500</v>
          </cell>
          <cell r="S1118">
            <v>0</v>
          </cell>
          <cell r="T1118">
            <v>0</v>
          </cell>
          <cell r="U1118">
            <v>5284500</v>
          </cell>
          <cell r="V1118">
            <v>2845500</v>
          </cell>
        </row>
        <row r="1119">
          <cell r="J1119">
            <v>640</v>
          </cell>
          <cell r="K1119">
            <v>43133</v>
          </cell>
          <cell r="L1119" t="str">
            <v>JOSE GONZALO PINZON SOSA</v>
          </cell>
          <cell r="M1119">
            <v>31</v>
          </cell>
          <cell r="N1119" t="str">
            <v>RESOLUCION</v>
          </cell>
          <cell r="O1119">
            <v>106</v>
          </cell>
          <cell r="P1119">
            <v>43133</v>
          </cell>
          <cell r="Q1119" t="str">
            <v>AYUDA TEMPORAL A LAS FAMILIAS DE VARIAS LOCALIDADES, PARA RELOCALIZACIÓN DE HOGARES LOCALIZADOS EN ZONAS DE ALTO RIESGO NO MITIGABLE ID:2011-4-12686, LOCALIDAD:04 SAN CRISTÓBAL, UPZ:32 SAN BLAS</v>
          </cell>
          <cell r="R1119">
            <v>2977086</v>
          </cell>
          <cell r="S1119">
            <v>496181</v>
          </cell>
          <cell r="T1119">
            <v>0</v>
          </cell>
          <cell r="U1119">
            <v>2480905</v>
          </cell>
          <cell r="V1119">
            <v>2480905</v>
          </cell>
        </row>
        <row r="1120">
          <cell r="J1120">
            <v>641</v>
          </cell>
          <cell r="K1120">
            <v>43133</v>
          </cell>
          <cell r="L1120" t="str">
            <v>NUBIA ENID MENDEZ CORREDOR</v>
          </cell>
          <cell r="M1120">
            <v>31</v>
          </cell>
          <cell r="N1120" t="str">
            <v>RESOLUCION</v>
          </cell>
          <cell r="O1120">
            <v>107</v>
          </cell>
          <cell r="P1120">
            <v>43133</v>
          </cell>
          <cell r="Q1120" t="str">
            <v>AYUDA TEMPORAL A LAS FAMILIAS DE VARIAS LOCALIDADES, PARA RELOCALIZACIÓN DE HOGARES LOCALIZADOS EN ZONAS DE ALTO RIESGO NO MITIGABLE ID:2014-LC-00812, LOCALIDAD:19 CIUDAD BOLÍVAR, UPZ:69 ISMAEL PERDOMO</v>
          </cell>
          <cell r="R1120">
            <v>2882880</v>
          </cell>
          <cell r="S1120">
            <v>480480</v>
          </cell>
          <cell r="T1120">
            <v>0</v>
          </cell>
          <cell r="U1120">
            <v>2402400</v>
          </cell>
          <cell r="V1120">
            <v>2402400</v>
          </cell>
        </row>
        <row r="1121">
          <cell r="J1121">
            <v>642</v>
          </cell>
          <cell r="K1121">
            <v>43133</v>
          </cell>
          <cell r="L1121" t="str">
            <v>JHON ALEXANDER SARMIENTO</v>
          </cell>
          <cell r="M1121">
            <v>31</v>
          </cell>
          <cell r="N1121" t="str">
            <v>RESOLUCION</v>
          </cell>
          <cell r="O1121">
            <v>108</v>
          </cell>
          <cell r="P1121">
            <v>43133</v>
          </cell>
          <cell r="Q1121" t="str">
            <v>AYUDA TEMPORAL A LAS FAMILIAS DE VARIAS LOCALIDADES, PARA RELOCALIZACIÓN DE HOGARES LOCALIZADOS EN ZONAS DE ALTO RIESGO NO MITIGABLE ID:2012-T314-04, LOCALIDAD:04 SAN CRISTÓBAL, UPZ:50 LA GLORIA</v>
          </cell>
          <cell r="R1121">
            <v>2784006</v>
          </cell>
          <cell r="S1121">
            <v>464001</v>
          </cell>
          <cell r="T1121">
            <v>0</v>
          </cell>
          <cell r="U1121">
            <v>2320005</v>
          </cell>
          <cell r="V1121">
            <v>2320005</v>
          </cell>
        </row>
        <row r="1122">
          <cell r="J1122">
            <v>643</v>
          </cell>
          <cell r="K1122">
            <v>43133</v>
          </cell>
          <cell r="L1122" t="str">
            <v>JESUS MARCIAL MAYAG IPUJAN</v>
          </cell>
          <cell r="M1122">
            <v>31</v>
          </cell>
          <cell r="N1122" t="str">
            <v>RESOLUCION</v>
          </cell>
          <cell r="O1122">
            <v>109</v>
          </cell>
          <cell r="P1122">
            <v>43133</v>
          </cell>
          <cell r="Q1122" t="str">
            <v>AYUDA TEMPORAL A LAS FAMILIAS DE VARIAS LOCALIDADES, PARA RELOCALIZACIÓN DE HOGARES LOCALIZADOS EN ZONAS DE ALTO RIESGO NO MITIGABLE ID:2011-4-12637, LOCALIDAD:04 SAN CRISTÓBAL, UPZ:32 SAN BLAS</v>
          </cell>
          <cell r="R1122">
            <v>2667402</v>
          </cell>
          <cell r="S1122">
            <v>444567</v>
          </cell>
          <cell r="T1122">
            <v>0</v>
          </cell>
          <cell r="U1122">
            <v>2222835</v>
          </cell>
          <cell r="V1122">
            <v>2222835</v>
          </cell>
        </row>
        <row r="1123">
          <cell r="J1123">
            <v>644</v>
          </cell>
          <cell r="K1123">
            <v>43133</v>
          </cell>
          <cell r="L1123" t="str">
            <v>MARIA WFELMIDA ANZOLA GALINDO</v>
          </cell>
          <cell r="M1123">
            <v>31</v>
          </cell>
          <cell r="N1123" t="str">
            <v>RESOLUCION</v>
          </cell>
          <cell r="O1123">
            <v>110</v>
          </cell>
          <cell r="P1123">
            <v>43133</v>
          </cell>
          <cell r="Q1123" t="str">
            <v>AYUDA TEMPORAL A LAS FAMILIAS DE VARIAS LOCALIDADES, PARA RELOCALIZACIÓN DE HOGARES LOCALIZADOS EN ZONAS DE ALTO RIESGO NO MITIGABLE ID:2012-19-14192, LOCALIDAD:19 CIUDAD BOLÍVAR, UPZ:68 EL TESORO, SECTOR:QUEBRADA TROMPETA</v>
          </cell>
          <cell r="R1123">
            <v>2213148</v>
          </cell>
          <cell r="S1123">
            <v>368858</v>
          </cell>
          <cell r="T1123">
            <v>0</v>
          </cell>
          <cell r="U1123">
            <v>1844290</v>
          </cell>
          <cell r="V1123">
            <v>1844290</v>
          </cell>
        </row>
        <row r="1124">
          <cell r="J1124">
            <v>645</v>
          </cell>
          <cell r="K1124">
            <v>43133</v>
          </cell>
          <cell r="L1124" t="str">
            <v>MAYURI  RODRIGUEZ RAMIREZ</v>
          </cell>
          <cell r="M1124">
            <v>31</v>
          </cell>
          <cell r="N1124" t="str">
            <v>RESOLUCION</v>
          </cell>
          <cell r="O1124">
            <v>111</v>
          </cell>
          <cell r="P1124">
            <v>43133</v>
          </cell>
          <cell r="Q1124" t="str">
            <v>AYUDA TEMPORAL A LAS FAMILIAS DE VARIAS LOCALIDADES, PARA RELOCALIZACIÓN DE HOGARES LOCALIZADOS EN ZONAS DE ALTO RIESGO NO MITIGABLE ID:2017-04-14930, LOCALIDAD:04 SAN CRISTÓBAL, UPZ:32 SAN BLAS, SECTOR:TRIANGULO ALTO</v>
          </cell>
          <cell r="R1124">
            <v>2434464</v>
          </cell>
          <cell r="S1124">
            <v>0</v>
          </cell>
          <cell r="T1124">
            <v>0</v>
          </cell>
          <cell r="U1124">
            <v>2434464</v>
          </cell>
          <cell r="V1124">
            <v>2028720</v>
          </cell>
        </row>
        <row r="1125">
          <cell r="J1125">
            <v>646</v>
          </cell>
          <cell r="K1125">
            <v>43133</v>
          </cell>
          <cell r="L1125" t="str">
            <v>BLANCA LUCILA BELTRAN</v>
          </cell>
          <cell r="M1125">
            <v>31</v>
          </cell>
          <cell r="N1125" t="str">
            <v>RESOLUCION</v>
          </cell>
          <cell r="O1125">
            <v>112</v>
          </cell>
          <cell r="P1125">
            <v>43133</v>
          </cell>
          <cell r="Q1125" t="str">
            <v>AYUDA TEMPORAL A LAS FAMILIAS DE VARIAS LOCALIDADES, PARA RELOCALIZACIÓN DE HOGARES LOCALIZADOS EN ZONAS DE ALTO RIESGO NO MITIGABLE ID:2011-4-12656, LOCALIDAD:04 SAN CRISTÓBAL, UPZ:32 SAN BLAS</v>
          </cell>
          <cell r="R1125">
            <v>2655780</v>
          </cell>
          <cell r="S1125">
            <v>442630</v>
          </cell>
          <cell r="T1125">
            <v>0</v>
          </cell>
          <cell r="U1125">
            <v>2213150</v>
          </cell>
          <cell r="V1125">
            <v>2213150</v>
          </cell>
        </row>
        <row r="1126">
          <cell r="J1126">
            <v>647</v>
          </cell>
          <cell r="K1126">
            <v>43133</v>
          </cell>
          <cell r="L1126" t="str">
            <v>LILIA INES DUARTE RUBIANO</v>
          </cell>
          <cell r="M1126">
            <v>31</v>
          </cell>
          <cell r="N1126" t="str">
            <v>RESOLUCION</v>
          </cell>
          <cell r="O1126">
            <v>113</v>
          </cell>
          <cell r="P1126">
            <v>43133</v>
          </cell>
          <cell r="Q1126" t="str">
            <v>AYUDA TEMPORAL A LAS FAMILIAS DE VARIAS LOCALIDADES, PARA RELOCALIZACIÓN DE HOGARES LOCALIZADOS EN ZONAS DE ALTO RIESGO NO MITIGABLE ID:2010-5-11557, LOCALIDAD:05 USME, UPZ:57 GRAN YOMASA, SECTOR:OLA INVERNAL 2010 FOPAE</v>
          </cell>
          <cell r="R1126">
            <v>2678000</v>
          </cell>
          <cell r="S1126">
            <v>2678000</v>
          </cell>
          <cell r="T1126">
            <v>0</v>
          </cell>
          <cell r="U1126">
            <v>0</v>
          </cell>
          <cell r="V1126">
            <v>0</v>
          </cell>
        </row>
        <row r="1127">
          <cell r="J1127">
            <v>648</v>
          </cell>
          <cell r="K1127">
            <v>43133</v>
          </cell>
          <cell r="L1127" t="str">
            <v>LILIA INES DUARTE RUBIANO</v>
          </cell>
          <cell r="M1127">
            <v>31</v>
          </cell>
          <cell r="N1127" t="str">
            <v>RESOLUCION</v>
          </cell>
          <cell r="O1127">
            <v>113</v>
          </cell>
          <cell r="P1127">
            <v>43133</v>
          </cell>
          <cell r="Q1127" t="str">
            <v>AYUDA TEMPORAL A LAS FAMILIAS DE VARIAS LOCALIDADES, PARA RELOCALIZACIÓN DE HOGARES LOCALIZADOS EN ZONAS DE ALTO RIESGO NO MITIGABLE ID:2010-5-11557, LOCALIDAD:05 USME, UPZ:57 GRAN YOMASA, SECTOR:OLA INVERNAL 2010 FOPAE</v>
          </cell>
          <cell r="R1127">
            <v>3213600</v>
          </cell>
          <cell r="S1127">
            <v>535600</v>
          </cell>
          <cell r="T1127">
            <v>0</v>
          </cell>
          <cell r="U1127">
            <v>2678000</v>
          </cell>
          <cell r="V1127">
            <v>2678000</v>
          </cell>
        </row>
        <row r="1128">
          <cell r="J1128">
            <v>651</v>
          </cell>
          <cell r="K1128">
            <v>43133</v>
          </cell>
          <cell r="L1128" t="str">
            <v>JOSE FLORINDO BARAJAS</v>
          </cell>
          <cell r="M1128">
            <v>31</v>
          </cell>
          <cell r="N1128" t="str">
            <v>RESOLUCION</v>
          </cell>
          <cell r="O1128">
            <v>114</v>
          </cell>
          <cell r="P1128">
            <v>43133</v>
          </cell>
          <cell r="Q1128" t="str">
            <v>AYUDA TEMPORAL A LAS FAMILIAS DE VARIAS LOCALIDADES, PARA RELOCALIZACIÓN DE HOGARES LOCALIZADOS EN ZONAS DE ALTO RIESGO NO MITIGABLE ID:2015-D227-00045, LOCALIDAD:04 SAN CRISTÓBAL, UPZ:51 LOS LIBERTADORES, SECTOR:SANTA TERESITA</v>
          </cell>
          <cell r="R1128">
            <v>2976996</v>
          </cell>
          <cell r="S1128">
            <v>496166</v>
          </cell>
          <cell r="T1128">
            <v>0</v>
          </cell>
          <cell r="U1128">
            <v>2480830</v>
          </cell>
          <cell r="V1128">
            <v>2480830</v>
          </cell>
        </row>
        <row r="1129">
          <cell r="J1129">
            <v>652</v>
          </cell>
          <cell r="K1129">
            <v>43133</v>
          </cell>
          <cell r="L1129" t="str">
            <v>PEDRO ANTONIO RODRIGUEZ CIFUENTES</v>
          </cell>
          <cell r="M1129">
            <v>31</v>
          </cell>
          <cell r="N1129" t="str">
            <v>RESOLUCION</v>
          </cell>
          <cell r="O1129">
            <v>115</v>
          </cell>
          <cell r="P1129">
            <v>43133</v>
          </cell>
          <cell r="Q1129" t="str">
            <v>AYUDA TEMPORAL A LAS FAMILIAS DE VARIAS LOCALIDADES, PARA RELOCALIZACIÓN DE HOGARES LOCALIZADOS EN ZONAS DE ALTO RIESGO NO MITIGABLE ID:2012-19-13964, LOCALIDAD:19 CIUDAD BOLÍVAR, UPZ:67 LUCERO, SECTOR:ZANJÓN DE LA ESTRELLA</v>
          </cell>
          <cell r="R1129">
            <v>2586000</v>
          </cell>
          <cell r="S1129">
            <v>431000</v>
          </cell>
          <cell r="T1129">
            <v>0</v>
          </cell>
          <cell r="U1129">
            <v>2155000</v>
          </cell>
          <cell r="V1129">
            <v>2155000</v>
          </cell>
        </row>
        <row r="1130">
          <cell r="J1130">
            <v>654</v>
          </cell>
          <cell r="K1130">
            <v>43136</v>
          </cell>
          <cell r="L1130" t="str">
            <v>ALONSO  HERRERA CARPIO</v>
          </cell>
          <cell r="M1130">
            <v>31</v>
          </cell>
          <cell r="N1130" t="str">
            <v>RESOLUCION</v>
          </cell>
          <cell r="O1130">
            <v>116</v>
          </cell>
          <cell r="P1130">
            <v>43136</v>
          </cell>
          <cell r="Q1130" t="str">
            <v>AYUDA TEMPORAL A LAS FAMILIAS DE VARIAS LOCALIDADES, PARA RELOCALIZACIÓN DE HOGARES LOCALIZADOS EN ZONAS DE ALTO RIESGO NO MITIGABLE ID:2011-4-12695, LOCALIDAD:04 SAN CRISTÓBAL, UPZ:32 SAN BLAS</v>
          </cell>
          <cell r="R1130">
            <v>2301678</v>
          </cell>
          <cell r="S1130">
            <v>383613</v>
          </cell>
          <cell r="T1130">
            <v>0</v>
          </cell>
          <cell r="U1130">
            <v>1918065</v>
          </cell>
          <cell r="V1130">
            <v>1918065</v>
          </cell>
        </row>
        <row r="1131">
          <cell r="J1131">
            <v>655</v>
          </cell>
          <cell r="K1131">
            <v>43136</v>
          </cell>
          <cell r="L1131" t="str">
            <v>NUBIA XIMENA CAMACHO PUENTES</v>
          </cell>
          <cell r="M1131">
            <v>31</v>
          </cell>
          <cell r="N1131" t="str">
            <v>RESOLUCION</v>
          </cell>
          <cell r="O1131">
            <v>117</v>
          </cell>
          <cell r="P1131">
            <v>43136</v>
          </cell>
          <cell r="Q1131" t="str">
            <v>AYUDA TEMPORAL A LAS FAMILIAS DE VARIAS LOCALIDADES, PARA RELOCALIZACIÓN DE HOGARES LOCALIZADOS EN ZONAS DE ALTO RIESGO NO MITIGABLE ID:2012-T314-02, LOCALIDAD:04 SAN CRISTÓBAL, UPZ:50 LA GLORIA</v>
          </cell>
          <cell r="R1131">
            <v>2474634</v>
          </cell>
          <cell r="S1131">
            <v>412439</v>
          </cell>
          <cell r="T1131">
            <v>0</v>
          </cell>
          <cell r="U1131">
            <v>2062195</v>
          </cell>
          <cell r="V1131">
            <v>2062195</v>
          </cell>
        </row>
        <row r="1132">
          <cell r="J1132">
            <v>656</v>
          </cell>
          <cell r="K1132">
            <v>43136</v>
          </cell>
          <cell r="L1132" t="str">
            <v>LUZ AMANDA CASTRO</v>
          </cell>
          <cell r="M1132">
            <v>31</v>
          </cell>
          <cell r="N1132" t="str">
            <v>RESOLUCION</v>
          </cell>
          <cell r="O1132">
            <v>118</v>
          </cell>
          <cell r="P1132">
            <v>43136</v>
          </cell>
          <cell r="Q1132" t="str">
            <v>AYUDA TEMPORAL A LAS FAMILIAS DE VARIAS LOCALIDADES, PARA RELOCALIZACIÓN DE HOGARES LOCALIZADOS EN ZONAS DE ALTO RIESGO NO MITIGABLE ID:2014-LC-00811, LOCALIDAD:19 CIUDAD BOLÍVAR, UPZ:69 ISMAEL PERDOMO</v>
          </cell>
          <cell r="R1132">
            <v>2436000</v>
          </cell>
          <cell r="S1132">
            <v>406000</v>
          </cell>
          <cell r="T1132">
            <v>0</v>
          </cell>
          <cell r="U1132">
            <v>2030000</v>
          </cell>
          <cell r="V1132">
            <v>2030000</v>
          </cell>
        </row>
        <row r="1133">
          <cell r="J1133">
            <v>657</v>
          </cell>
          <cell r="K1133">
            <v>43136</v>
          </cell>
          <cell r="L1133" t="str">
            <v>LUZ STELLA CRIOLLO</v>
          </cell>
          <cell r="M1133">
            <v>31</v>
          </cell>
          <cell r="N1133" t="str">
            <v>RESOLUCION</v>
          </cell>
          <cell r="O1133">
            <v>119</v>
          </cell>
          <cell r="P1133">
            <v>43136</v>
          </cell>
          <cell r="Q1133" t="str">
            <v>AYUDA TEMPORAL A LAS FAMILIAS DE VARIAS LOCALIDADES, PARA RELOCALIZACIÓN DE HOGARES LOCALIZADOS EN ZONAS DE ALTO RIESGO NO MITIGABLE ID:2014-Q03-00991, LOCALIDAD:19 CIUDAD BOLÍVAR, UPZ:66 SAN FRANCISCO, SECTOR:LIMAS</v>
          </cell>
          <cell r="R1133">
            <v>2586000</v>
          </cell>
          <cell r="S1133">
            <v>431000</v>
          </cell>
          <cell r="T1133">
            <v>0</v>
          </cell>
          <cell r="U1133">
            <v>2155000</v>
          </cell>
          <cell r="V1133">
            <v>2155000</v>
          </cell>
        </row>
        <row r="1134">
          <cell r="J1134">
            <v>658</v>
          </cell>
          <cell r="K1134">
            <v>43136</v>
          </cell>
          <cell r="L1134" t="str">
            <v>ROSMIRA  ASPRILLA MOSQUERA</v>
          </cell>
          <cell r="M1134">
            <v>31</v>
          </cell>
          <cell r="N1134" t="str">
            <v>RESOLUCION</v>
          </cell>
          <cell r="O1134">
            <v>120</v>
          </cell>
          <cell r="P1134">
            <v>43136</v>
          </cell>
          <cell r="Q1134" t="str">
            <v>AYUDA TEMPORAL A LAS FAMILIAS DE VARIAS LOCALIDADES, PARA RELOCALIZACIÓN DE HOGARES LOCALIZADOS EN ZONAS DE ALTO RIESGO NO MITIGABLE ID:2011-4-12712, LOCALIDAD:04 SAN CRISTÓBAL, UPZ:32 SAN BLAS</v>
          </cell>
          <cell r="R1134">
            <v>2213148</v>
          </cell>
          <cell r="S1134">
            <v>368858</v>
          </cell>
          <cell r="T1134">
            <v>0</v>
          </cell>
          <cell r="U1134">
            <v>1844290</v>
          </cell>
          <cell r="V1134">
            <v>1844290</v>
          </cell>
        </row>
        <row r="1135">
          <cell r="J1135">
            <v>659</v>
          </cell>
          <cell r="K1135">
            <v>43136</v>
          </cell>
          <cell r="L1135" t="str">
            <v>LADY JOHANNA BENAVIDES RIVERA</v>
          </cell>
          <cell r="M1135">
            <v>31</v>
          </cell>
          <cell r="N1135" t="str">
            <v>RESOLUCION</v>
          </cell>
          <cell r="O1135">
            <v>121</v>
          </cell>
          <cell r="P1135">
            <v>43136</v>
          </cell>
          <cell r="Q1135" t="str">
            <v>AYUDA TEMPORAL A LAS FAMILIAS DE VARIAS LOCALIDADES, PARA RELOCALIZACIÓN DE HOGARES LOCALIZADOS EN ZONAS DE ALTO RIESGO NO MITIGABLE ID:2016-08-14867, LOCALIDAD:08 KENNEDY, UPZ:82 PATIO BONITO, SECTOR:PALMITAS</v>
          </cell>
          <cell r="R1135">
            <v>5556993</v>
          </cell>
          <cell r="S1135">
            <v>0</v>
          </cell>
          <cell r="T1135">
            <v>0</v>
          </cell>
          <cell r="U1135">
            <v>5556993</v>
          </cell>
          <cell r="V1135">
            <v>2992227</v>
          </cell>
        </row>
        <row r="1136">
          <cell r="J1136">
            <v>660</v>
          </cell>
          <cell r="K1136">
            <v>43136</v>
          </cell>
          <cell r="L1136" t="str">
            <v>LUIS EDUARDO SANCHEZ VERA</v>
          </cell>
          <cell r="M1136">
            <v>31</v>
          </cell>
          <cell r="N1136" t="str">
            <v>RESOLUCION</v>
          </cell>
          <cell r="O1136">
            <v>122</v>
          </cell>
          <cell r="P1136">
            <v>43136</v>
          </cell>
          <cell r="Q1136" t="str">
            <v>AYUDA TEMPORAL A LAS FAMILIAS DE VARIAS LOCALIDADES, PARA RELOCALIZACIÓN DE HOGARES LOCALIZADOS EN ZONAS DE ALTO RIESGO NO MITIGABLE ID:2013-Q10-00522, LOCALIDAD:04 SAN CRISTÓBAL, UPZ:51 LOS LIBERTADORES, SECTOR:QUEBRADA VEREJONES</v>
          </cell>
          <cell r="R1136">
            <v>5361421</v>
          </cell>
          <cell r="S1136">
            <v>0</v>
          </cell>
          <cell r="T1136">
            <v>0</v>
          </cell>
          <cell r="U1136">
            <v>5361421</v>
          </cell>
          <cell r="V1136">
            <v>2886919</v>
          </cell>
        </row>
        <row r="1137">
          <cell r="J1137">
            <v>661</v>
          </cell>
          <cell r="K1137">
            <v>43136</v>
          </cell>
          <cell r="L1137" t="str">
            <v>FRANCISCO LUIS LOPEZ OROZCO</v>
          </cell>
          <cell r="M1137">
            <v>31</v>
          </cell>
          <cell r="N1137" t="str">
            <v>RESOLUCION</v>
          </cell>
          <cell r="O1137">
            <v>123</v>
          </cell>
          <cell r="P1137">
            <v>43136</v>
          </cell>
          <cell r="Q1137" t="str">
            <v>AYUDA TEMPORAL A LAS FAMILIAS DE VARIAS LOCALIDADES, PARA RELOCALIZACIÓN DE HOGARES LOCALIZADOS EN ZONAS DE ALTO RIESGO NO MITIGABLE ID:2011-19-12882, LOCALIDAD:19 CIUDAD BOLÍVAR, UPZ:67 LUCERO</v>
          </cell>
          <cell r="R1137">
            <v>2788562</v>
          </cell>
          <cell r="S1137">
            <v>398366</v>
          </cell>
          <cell r="T1137">
            <v>0</v>
          </cell>
          <cell r="U1137">
            <v>2390196</v>
          </cell>
          <cell r="V1137">
            <v>2390196</v>
          </cell>
        </row>
        <row r="1138">
          <cell r="J1138">
            <v>662</v>
          </cell>
          <cell r="K1138">
            <v>43136</v>
          </cell>
          <cell r="L1138" t="str">
            <v>BERNEY  VIUCHE SIERRA</v>
          </cell>
          <cell r="M1138">
            <v>31</v>
          </cell>
          <cell r="N1138" t="str">
            <v>RESOLUCION</v>
          </cell>
          <cell r="O1138">
            <v>124</v>
          </cell>
          <cell r="P1138">
            <v>43136</v>
          </cell>
          <cell r="Q1138" t="str">
            <v>AYUDA TEMPORAL A LAS FAMILIAS DE VARIAS LOCALIDADES, PARA RELOCALIZACIÓN DE HOGARES LOCALIZADOS EN ZONAS DE ALTO RIESGO NO MITIGABLE ID:2015-Q03-01487, LOCALIDAD:19 CIUDAD BOLÍVAR, UPZ:66 SAN FRANCISCO, SECTOR:LIMAS</v>
          </cell>
          <cell r="R1138">
            <v>2685291</v>
          </cell>
          <cell r="S1138">
            <v>0</v>
          </cell>
          <cell r="T1138">
            <v>0</v>
          </cell>
          <cell r="U1138">
            <v>2685291</v>
          </cell>
          <cell r="V1138">
            <v>2301678</v>
          </cell>
        </row>
        <row r="1139">
          <cell r="J1139">
            <v>663</v>
          </cell>
          <cell r="K1139">
            <v>43136</v>
          </cell>
          <cell r="L1139" t="str">
            <v>GUILLERMO  DIAZ PEREA</v>
          </cell>
          <cell r="M1139">
            <v>31</v>
          </cell>
          <cell r="N1139" t="str">
            <v>RESOLUCION</v>
          </cell>
          <cell r="O1139">
            <v>125</v>
          </cell>
          <cell r="P1139">
            <v>43136</v>
          </cell>
          <cell r="Q1139" t="str">
            <v>AYUDA TEMPORAL A LAS FAMILIAS DE VARIAS LOCALIDADES, PARA RELOCALIZACIÓN DE HOGARES LOCALIZADOS EN ZONAS DE ALTO RIESGO NO MITIGABLE ID:2011-4-12693, LOCALIDAD:04 SAN CRISTÓBAL, UPZ:32 SAN BLAS</v>
          </cell>
          <cell r="R1139">
            <v>2886919</v>
          </cell>
          <cell r="S1139">
            <v>412417</v>
          </cell>
          <cell r="T1139">
            <v>0</v>
          </cell>
          <cell r="U1139">
            <v>2474502</v>
          </cell>
          <cell r="V1139">
            <v>2474502</v>
          </cell>
        </row>
        <row r="1140">
          <cell r="J1140">
            <v>664</v>
          </cell>
          <cell r="K1140">
            <v>43136</v>
          </cell>
          <cell r="L1140" t="str">
            <v>GUSTAVO  PARRA CORTES</v>
          </cell>
          <cell r="M1140">
            <v>31</v>
          </cell>
          <cell r="N1140" t="str">
            <v>RESOLUCION</v>
          </cell>
          <cell r="O1140">
            <v>126</v>
          </cell>
          <cell r="P1140">
            <v>43136</v>
          </cell>
          <cell r="Q1140" t="str">
            <v>AYUDA TEMPORAL A LAS FAMILIAS DE VARIAS LOCALIDADES, PARA RELOCALIZACIÓN DE HOGARES LOCALIZADOS EN ZONAS DE ALTO RIESGO NO MITIGABLE ID:2013-Q09-00082, LOCALIDAD:19 CIUDAD BOLÍVAR, UPZ:67 LUCERO, SECTOR:QUEBRADA HONDA</v>
          </cell>
          <cell r="R1140">
            <v>3098410</v>
          </cell>
          <cell r="S1140">
            <v>442630</v>
          </cell>
          <cell r="T1140">
            <v>0</v>
          </cell>
          <cell r="U1140">
            <v>2655780</v>
          </cell>
          <cell r="V1140">
            <v>2655780</v>
          </cell>
        </row>
        <row r="1141">
          <cell r="J1141">
            <v>665</v>
          </cell>
          <cell r="K1141">
            <v>43136</v>
          </cell>
          <cell r="L1141" t="str">
            <v>GUSTAVO  RODRIGUEZ CANCELADO</v>
          </cell>
          <cell r="M1141">
            <v>31</v>
          </cell>
          <cell r="N1141" t="str">
            <v>RESOLUCION</v>
          </cell>
          <cell r="O1141">
            <v>127</v>
          </cell>
          <cell r="P1141">
            <v>43136</v>
          </cell>
          <cell r="Q1141" t="str">
            <v>AYUDA TEMPORAL A LAS FAMILIAS DE VARIAS LOCALIDADES, PARA RELOCALIZACIÓN DE HOGARES LOCALIZADOS EN ZONAS DE ALTO RIESGO NO MITIGABLE ID:2015-Q03-03364, LOCALIDAD:19 CIUDAD BOLÍVAR, UPZ:67 LUCERO, SECTOR:LIMAS</v>
          </cell>
          <cell r="R1141">
            <v>5863585</v>
          </cell>
          <cell r="S1141">
            <v>0</v>
          </cell>
          <cell r="T1141">
            <v>0</v>
          </cell>
          <cell r="U1141">
            <v>5863585</v>
          </cell>
          <cell r="V1141">
            <v>3157315</v>
          </cell>
        </row>
        <row r="1142">
          <cell r="J1142">
            <v>666</v>
          </cell>
          <cell r="K1142">
            <v>43136</v>
          </cell>
          <cell r="L1142" t="str">
            <v>JAIME ENRIQUE GUERRERO</v>
          </cell>
          <cell r="M1142">
            <v>31</v>
          </cell>
          <cell r="N1142" t="str">
            <v>RESOLUCION</v>
          </cell>
          <cell r="O1142">
            <v>128</v>
          </cell>
          <cell r="P1142">
            <v>43136</v>
          </cell>
          <cell r="Q1142" t="str">
            <v>AYUDA TEMPORAL A LAS FAMILIAS DE VARIAS LOCALIDADES, PARA RELOCALIZACIÓN DE HOGARES LOCALIZADOS EN ZONAS DE ALTO RIESGO NO MITIGABLE ID:2016-08-14797, LOCALIDAD:08 KENNEDY, UPZ:82 PATIO BONITO, SECTOR:PALMITAS</v>
          </cell>
          <cell r="R1142">
            <v>7000929</v>
          </cell>
          <cell r="S1142">
            <v>0</v>
          </cell>
          <cell r="T1142">
            <v>0</v>
          </cell>
          <cell r="U1142">
            <v>7000929</v>
          </cell>
          <cell r="V1142">
            <v>3769731</v>
          </cell>
        </row>
        <row r="1143">
          <cell r="J1143">
            <v>667</v>
          </cell>
          <cell r="K1143">
            <v>43136</v>
          </cell>
          <cell r="L1143" t="str">
            <v>EPIFANIO  TOVAR CUAMA</v>
          </cell>
          <cell r="M1143">
            <v>31</v>
          </cell>
          <cell r="N1143" t="str">
            <v>RESOLUCION</v>
          </cell>
          <cell r="O1143">
            <v>129</v>
          </cell>
          <cell r="P1143">
            <v>43136</v>
          </cell>
          <cell r="Q1143" t="str">
            <v>AYUDA TEMPORAL A LAS FAMILIAS DE VARIAS LOCALIDADES, PARA RELOCALIZACIÓN DE HOGARES LOCALIZADOS EN ZONAS DE ALTO RIESGO NO MITIGABLE ID:2015-W166-532, LOCALIDAD:04 SAN CRISTÓBAL, UPZ:34 20 DE JULIO, SECTOR:EPERARA</v>
          </cell>
          <cell r="R1143">
            <v>6868797</v>
          </cell>
          <cell r="S1143">
            <v>0</v>
          </cell>
          <cell r="T1143">
            <v>0</v>
          </cell>
          <cell r="U1143">
            <v>6868797</v>
          </cell>
          <cell r="V1143">
            <v>3698583</v>
          </cell>
        </row>
        <row r="1144">
          <cell r="J1144">
            <v>668</v>
          </cell>
          <cell r="K1144">
            <v>43136</v>
          </cell>
          <cell r="L1144" t="str">
            <v>MARIA ELVIRA TOVAR</v>
          </cell>
          <cell r="M1144">
            <v>31</v>
          </cell>
          <cell r="N1144" t="str">
            <v>RESOLUCION</v>
          </cell>
          <cell r="O1144">
            <v>130</v>
          </cell>
          <cell r="P1144">
            <v>43136</v>
          </cell>
          <cell r="Q1144" t="str">
            <v>AYUDA TEMPORAL A LAS FAMILIAS DE VARIAS LOCALIDADES, PARA RELOCALIZACIÓN DE HOGARES LOCALIZADOS EN ZONAS DE ALTO RIESGO NO MITIGABLE ID:2013000328, LOCALIDAD:19 CIUDAD BOLÍVAR, UPZ:67 LUCERO, SECTOR:PEÑA COLORADA</v>
          </cell>
          <cell r="R1144">
            <v>3157315</v>
          </cell>
          <cell r="S1144">
            <v>451045</v>
          </cell>
          <cell r="T1144">
            <v>0</v>
          </cell>
          <cell r="U1144">
            <v>2706270</v>
          </cell>
          <cell r="V1144">
            <v>2706270</v>
          </cell>
        </row>
        <row r="1145">
          <cell r="J1145">
            <v>669</v>
          </cell>
          <cell r="K1145">
            <v>43136</v>
          </cell>
          <cell r="L1145" t="str">
            <v>LUZ DARY MEZA MEDINA</v>
          </cell>
          <cell r="M1145">
            <v>31</v>
          </cell>
          <cell r="N1145" t="str">
            <v>RESOLUCION</v>
          </cell>
          <cell r="O1145">
            <v>131</v>
          </cell>
          <cell r="P1145">
            <v>43136</v>
          </cell>
          <cell r="Q1145" t="str">
            <v>AYUDA TEMPORAL A LAS FAMILIAS DE VARIAS LOCALIDADES, PARA RELOCALIZACIÓN DE HOGARES LOCALIZADOS EN ZONAS DE ALTO RIESGO NO MITIGABLE ID:2011-4-12677, LOCALIDAD:04 SAN CRISTÓBAL, UPZ:32 SAN BLAS</v>
          </cell>
          <cell r="R1145">
            <v>3098410</v>
          </cell>
          <cell r="S1145">
            <v>442630</v>
          </cell>
          <cell r="T1145">
            <v>0</v>
          </cell>
          <cell r="U1145">
            <v>2655780</v>
          </cell>
          <cell r="V1145">
            <v>2655780</v>
          </cell>
        </row>
        <row r="1146">
          <cell r="J1146">
            <v>670</v>
          </cell>
          <cell r="K1146">
            <v>43136</v>
          </cell>
          <cell r="L1146" t="str">
            <v>JOSE ISMAEL BABATIVA BARRETO</v>
          </cell>
          <cell r="M1146">
            <v>31</v>
          </cell>
          <cell r="N1146" t="str">
            <v>RESOLUCION</v>
          </cell>
          <cell r="O1146">
            <v>132</v>
          </cell>
          <cell r="P1146">
            <v>43136</v>
          </cell>
          <cell r="Q1146" t="str">
            <v>AYUDA TEMPORAL A LAS FAMILIAS DE VARIAS LOCALIDADES, PARA RELOCALIZACIÓN DE HOGARES LOCALIZADOS EN ZONAS DE ALTO RIESGO NO MITIGABLE ID:2012-4-14278, LOCALIDAD:04 SAN CRISTÓBAL, UPZ:32 SAN BLAS</v>
          </cell>
          <cell r="R1146">
            <v>4862286</v>
          </cell>
          <cell r="S1146">
            <v>0</v>
          </cell>
          <cell r="T1146">
            <v>0</v>
          </cell>
          <cell r="U1146">
            <v>4862286</v>
          </cell>
          <cell r="V1146">
            <v>2618154</v>
          </cell>
        </row>
        <row r="1147">
          <cell r="J1147">
            <v>671</v>
          </cell>
          <cell r="K1147">
            <v>43136</v>
          </cell>
          <cell r="L1147" t="str">
            <v>LAURA PATRICIA AREVALO</v>
          </cell>
          <cell r="M1147">
            <v>31</v>
          </cell>
          <cell r="N1147" t="str">
            <v>RESOLUCION</v>
          </cell>
          <cell r="O1147">
            <v>133</v>
          </cell>
          <cell r="P1147">
            <v>43136</v>
          </cell>
          <cell r="Q1147" t="str">
            <v>AYUDA TEMPORAL A LAS FAMILIAS DE VARIAS LOCALIDADES, PARA RELOCALIZACIÓN DE HOGARES LOCALIZADOS EN ZONAS DE ALTO RIESGO NO MITIGABLE ID:2012-ALES-284, LOCALIDAD:19 CIUDAD BOLÍVAR, UPZ:69 ISMAEL PERDOMO</v>
          </cell>
          <cell r="R1147">
            <v>3769731</v>
          </cell>
          <cell r="S1147">
            <v>2064132</v>
          </cell>
          <cell r="T1147">
            <v>0</v>
          </cell>
          <cell r="U1147">
            <v>1705599</v>
          </cell>
          <cell r="V1147">
            <v>1705599</v>
          </cell>
        </row>
        <row r="1148">
          <cell r="J1148">
            <v>672</v>
          </cell>
          <cell r="K1148">
            <v>43136</v>
          </cell>
          <cell r="L1148" t="str">
            <v>MANUELA  DURA VALENCIA</v>
          </cell>
          <cell r="M1148">
            <v>31</v>
          </cell>
          <cell r="N1148" t="str">
            <v>RESOLUCION</v>
          </cell>
          <cell r="O1148">
            <v>134</v>
          </cell>
          <cell r="P1148">
            <v>43136</v>
          </cell>
          <cell r="Q1148" t="str">
            <v>AYUDA TEMPORAL A LAS FAMILIAS DE VARIAS LOCALIDADES, PARA RELOCALIZACIÓN DE HOGARES LOCALIZADOS EN ZONAS DE ALTO RIESGO NO MITIGABLE ID:2015-W166-206, LOCALIDAD:04 SAN CRISTÓBAL, UPZ:33 SOSIEGO, SECTOR:EPERARA</v>
          </cell>
          <cell r="R1148">
            <v>5525975</v>
          </cell>
          <cell r="S1148">
            <v>0</v>
          </cell>
          <cell r="T1148">
            <v>0</v>
          </cell>
          <cell r="U1148">
            <v>5525975</v>
          </cell>
          <cell r="V1148">
            <v>2975525</v>
          </cell>
        </row>
        <row r="1149">
          <cell r="J1149">
            <v>673</v>
          </cell>
          <cell r="K1149">
            <v>43136</v>
          </cell>
          <cell r="L1149" t="str">
            <v>LUZ AIDA CHIRIMIA DURA</v>
          </cell>
          <cell r="M1149">
            <v>31</v>
          </cell>
          <cell r="N1149" t="str">
            <v>RESOLUCION</v>
          </cell>
          <cell r="O1149">
            <v>135</v>
          </cell>
          <cell r="P1149">
            <v>43136</v>
          </cell>
          <cell r="Q1149" t="str">
            <v>AYUDA TEMPORAL A LAS FAMILIAS DE VARIAS LOCALIDADES, PARA RELOCALIZACIÓN DE HOGARES LOCALIZADOS EN ZONAS DE ALTO RIESGO NO MITIGABLE ID:2015-W166-217, LOCALIDAD:04 SAN CRISTÓBAL, UPZ:33 SOSIEGO, SECTOR:EPERARA</v>
          </cell>
          <cell r="R1149">
            <v>5525975</v>
          </cell>
          <cell r="S1149">
            <v>0</v>
          </cell>
          <cell r="T1149">
            <v>0</v>
          </cell>
          <cell r="U1149">
            <v>5525975</v>
          </cell>
          <cell r="V1149">
            <v>2975525</v>
          </cell>
        </row>
        <row r="1150">
          <cell r="J1150">
            <v>674</v>
          </cell>
          <cell r="K1150">
            <v>43136</v>
          </cell>
          <cell r="L1150" t="str">
            <v>ALBA RUBI TORRES FORERO</v>
          </cell>
          <cell r="M1150">
            <v>31</v>
          </cell>
          <cell r="N1150" t="str">
            <v>RESOLUCION</v>
          </cell>
          <cell r="O1150">
            <v>136</v>
          </cell>
          <cell r="P1150">
            <v>43136</v>
          </cell>
          <cell r="Q1150" t="str">
            <v>AYUDA TEMPORAL A LAS FAMILIAS DE VARIAS LOCALIDADES, PARA RELOCALIZACIÓN DE HOGARES LOCALIZADOS EN ZONAS DE ALTO RIESGO NO MITIGABLE ID:2014-5-14734, LOCALIDAD:05 USME, UPZ:57 GRAN YOMASA</v>
          </cell>
          <cell r="R1150">
            <v>3038112</v>
          </cell>
          <cell r="S1150">
            <v>434016</v>
          </cell>
          <cell r="T1150">
            <v>0</v>
          </cell>
          <cell r="U1150">
            <v>2604096</v>
          </cell>
          <cell r="V1150">
            <v>2604096</v>
          </cell>
        </row>
        <row r="1151">
          <cell r="J1151">
            <v>675</v>
          </cell>
          <cell r="K1151">
            <v>43136</v>
          </cell>
          <cell r="L1151" t="str">
            <v>ALDEMAR  BERMEO</v>
          </cell>
          <cell r="M1151">
            <v>31</v>
          </cell>
          <cell r="N1151" t="str">
            <v>RESOLUCION</v>
          </cell>
          <cell r="O1151">
            <v>137</v>
          </cell>
          <cell r="P1151">
            <v>43136</v>
          </cell>
          <cell r="Q1151" t="str">
            <v>AYUDA TEMPORAL A LAS FAMILIAS DE VARIAS LOCALIDADES, PARA RELOCALIZACIÓN DE HOGARES LOCALIZADOS EN ZONAS DE ALTO RIESGO NO MITIGABLE ID:2016-08-14842, LOCALIDAD:08 KENNEDY, UPZ:82 PATIO BONITO, SECTOR:PALMITAS</v>
          </cell>
          <cell r="R1151">
            <v>5274672</v>
          </cell>
          <cell r="S1151">
            <v>0</v>
          </cell>
          <cell r="T1151">
            <v>0</v>
          </cell>
          <cell r="U1151">
            <v>5274672</v>
          </cell>
          <cell r="V1151">
            <v>2840208</v>
          </cell>
        </row>
        <row r="1152">
          <cell r="J1152">
            <v>676</v>
          </cell>
          <cell r="K1152">
            <v>43136</v>
          </cell>
          <cell r="L1152" t="str">
            <v>MARCELA  CHACON GAONA</v>
          </cell>
          <cell r="M1152">
            <v>31</v>
          </cell>
          <cell r="N1152" t="str">
            <v>RESOLUCION</v>
          </cell>
          <cell r="O1152">
            <v>138</v>
          </cell>
          <cell r="P1152">
            <v>43136</v>
          </cell>
          <cell r="Q1152" t="str">
            <v>AYUDA TEMPORAL A LAS FAMILIAS DE VARIAS LOCALIDADES, PARA RELOCALIZACIÓN DE HOGARES LOCALIZADOS EN ZONAS DE ALTO RIESGO NO MITIGABLE ID:2014-Q04-01188, LOCALIDAD:19 CIUDAD BOLÍVAR, UPZ:67 LUCERO, SECTOR:PEÑA COLORADA</v>
          </cell>
          <cell r="R1152">
            <v>3157315</v>
          </cell>
          <cell r="S1152">
            <v>0</v>
          </cell>
          <cell r="T1152">
            <v>0</v>
          </cell>
          <cell r="U1152">
            <v>3157315</v>
          </cell>
          <cell r="V1152">
            <v>2255225</v>
          </cell>
        </row>
        <row r="1153">
          <cell r="J1153">
            <v>677</v>
          </cell>
          <cell r="K1153">
            <v>43136</v>
          </cell>
          <cell r="L1153" t="str">
            <v>PATRICIA  D ORTA CAMACHO</v>
          </cell>
          <cell r="M1153">
            <v>31</v>
          </cell>
          <cell r="N1153" t="str">
            <v>RESOLUCION</v>
          </cell>
          <cell r="O1153">
            <v>139</v>
          </cell>
          <cell r="P1153">
            <v>43136</v>
          </cell>
          <cell r="Q1153" t="str">
            <v>AYUDA TEMPORAL A LAS FAMILIAS DE VARIAS LOCALIDADES, PARA RELOCALIZACIÓN DE HOGARES LOCALIZADOS EN ZONAS DE ALTO RIESGO NO MITIGABLE ID:2012-4-14531, LOCALIDAD:04 SAN CRISTÓBAL, UPZ:32 SAN BLAS</v>
          </cell>
          <cell r="R1153">
            <v>6367530</v>
          </cell>
          <cell r="S1153">
            <v>0</v>
          </cell>
          <cell r="T1153">
            <v>0</v>
          </cell>
          <cell r="U1153">
            <v>6367530</v>
          </cell>
          <cell r="V1153">
            <v>3428670</v>
          </cell>
        </row>
        <row r="1154">
          <cell r="J1154">
            <v>678</v>
          </cell>
          <cell r="K1154">
            <v>43136</v>
          </cell>
          <cell r="L1154" t="str">
            <v>EUDORO  HERNANDEZ TORRES</v>
          </cell>
          <cell r="M1154">
            <v>31</v>
          </cell>
          <cell r="N1154" t="str">
            <v>RESOLUCION</v>
          </cell>
          <cell r="O1154">
            <v>140</v>
          </cell>
          <cell r="P1154">
            <v>43136</v>
          </cell>
          <cell r="Q1154" t="str">
            <v>AYUDA TEMPORAL A LAS FAMILIAS DE VARIAS LOCALIDADES, PARA RELOCALIZACIÓN DE HOGARES LOCALIZADOS EN ZONAS DE ALTO RIESGO NO MITIGABLE ID:2015-ALES-537, LOCALIDAD:19 CIUDAD BOLÍVAR, UPZ:69 ISMAEL PERDOMO, SECTOR:ALTOS DE LA ESTANCIA</v>
          </cell>
          <cell r="R1154">
            <v>3718092</v>
          </cell>
          <cell r="S1154">
            <v>531156</v>
          </cell>
          <cell r="T1154">
            <v>0</v>
          </cell>
          <cell r="U1154">
            <v>3186936</v>
          </cell>
          <cell r="V1154">
            <v>3186936</v>
          </cell>
        </row>
        <row r="1155">
          <cell r="J1155">
            <v>679</v>
          </cell>
          <cell r="K1155">
            <v>43136</v>
          </cell>
          <cell r="L1155" t="str">
            <v>NIDIA  RODRIGUEZ ALONSO</v>
          </cell>
          <cell r="M1155">
            <v>31</v>
          </cell>
          <cell r="N1155" t="str">
            <v>RESOLUCION</v>
          </cell>
          <cell r="O1155">
            <v>141</v>
          </cell>
          <cell r="P1155">
            <v>43136</v>
          </cell>
          <cell r="Q1155" t="str">
            <v>AYUDA TEMPORAL A LAS FAMILIAS DE VARIAS LOCALIDADES, PARA RELOCALIZACIÓN DE HOGARES LOCALIZADOS EN ZONAS DE ALTO RIESGO NO MITIGABLE ID:2010-4-11938, LOCALIDAD:04 SAN CRISTÓBAL, UPZ:32 SAN BLAS, SECTOR:OLA INVERNAL 2010 FOPAE</v>
          </cell>
          <cell r="R1155">
            <v>2788569</v>
          </cell>
          <cell r="S1155">
            <v>398367</v>
          </cell>
          <cell r="T1155">
            <v>0</v>
          </cell>
          <cell r="U1155">
            <v>2390202</v>
          </cell>
          <cell r="V1155">
            <v>2390202</v>
          </cell>
        </row>
        <row r="1156">
          <cell r="J1156">
            <v>680</v>
          </cell>
          <cell r="K1156">
            <v>43136</v>
          </cell>
          <cell r="L1156" t="str">
            <v>MARIA DEL CARMEN MANCILLA LADINO</v>
          </cell>
          <cell r="M1156">
            <v>31</v>
          </cell>
          <cell r="N1156" t="str">
            <v>RESOLUCION</v>
          </cell>
          <cell r="O1156">
            <v>142</v>
          </cell>
          <cell r="P1156">
            <v>43136</v>
          </cell>
          <cell r="Q1156" t="str">
            <v>AYUDA TEMPORAL A LAS FAMILIAS DE VARIAS LOCALIDADES, PARA RELOCALIZACIÓN DE HOGARES LOCALIZADOS EN ZONAS DE ALTO RIESGO NO MITIGABLE ID:2013-Q04-00299, LOCALIDAD:19 CIUDAD BOLÍVAR, UPZ:67 LUCERO, SECTOR:PEÑA COLORADA</v>
          </cell>
          <cell r="R1156">
            <v>3017000</v>
          </cell>
          <cell r="S1156">
            <v>431000</v>
          </cell>
          <cell r="T1156">
            <v>0</v>
          </cell>
          <cell r="U1156">
            <v>2586000</v>
          </cell>
          <cell r="V1156">
            <v>2586000</v>
          </cell>
        </row>
        <row r="1157">
          <cell r="J1157">
            <v>681</v>
          </cell>
          <cell r="K1157">
            <v>43136</v>
          </cell>
          <cell r="L1157" t="str">
            <v>JOSE ANTONIO BAÑOL</v>
          </cell>
          <cell r="M1157">
            <v>31</v>
          </cell>
          <cell r="N1157" t="str">
            <v>RESOLUCION</v>
          </cell>
          <cell r="O1157">
            <v>143</v>
          </cell>
          <cell r="P1157">
            <v>43136</v>
          </cell>
          <cell r="Q1157" t="str">
            <v>AYUDA TEMPORAL A LAS FAMILIAS DE VARIAS LOCALIDADES, PARA RELOCALIZACIÓN DE HOGARES LOCALIZADOS EN ZONAS DE ALTO RIESGO NO MITIGABLE ID:2016-08-14839, LOCALIDAD:08 KENNEDY, UPZ:82 PATIO BONITO, SECTOR:PALMITAS</v>
          </cell>
          <cell r="R1157">
            <v>6722183</v>
          </cell>
          <cell r="S1157">
            <v>0</v>
          </cell>
          <cell r="T1157">
            <v>0</v>
          </cell>
          <cell r="U1157">
            <v>6722183</v>
          </cell>
          <cell r="V1157">
            <v>3619637</v>
          </cell>
        </row>
        <row r="1158">
          <cell r="J1158">
            <v>682</v>
          </cell>
          <cell r="K1158">
            <v>43136</v>
          </cell>
          <cell r="L1158" t="str">
            <v>LEIDY YISELA REYES SANHABRIA</v>
          </cell>
          <cell r="M1158">
            <v>31</v>
          </cell>
          <cell r="N1158" t="str">
            <v>RESOLUCION</v>
          </cell>
          <cell r="O1158">
            <v>144</v>
          </cell>
          <cell r="P1158">
            <v>43136</v>
          </cell>
          <cell r="Q1158" t="str">
            <v>AYUDA TEMPORAL A LAS FAMILIAS DE VARIAS LOCALIDADES, PARA RELOCALIZACIÓN DE HOGARES LOCALIZADOS EN ZONAS DE ALTO RIESGO NO MITIGABLE ID:2014-OTR-00959, LOCALIDAD:19 CIUDAD BOLÍVAR, UPZ:67 LUCERO, SECTOR:TABOR ALTALOMA</v>
          </cell>
          <cell r="R1158">
            <v>3017000</v>
          </cell>
          <cell r="S1158">
            <v>0</v>
          </cell>
          <cell r="T1158">
            <v>0</v>
          </cell>
          <cell r="U1158">
            <v>3017000</v>
          </cell>
          <cell r="V1158">
            <v>1724000</v>
          </cell>
        </row>
        <row r="1159">
          <cell r="J1159">
            <v>683</v>
          </cell>
          <cell r="K1159">
            <v>43136</v>
          </cell>
          <cell r="L1159" t="str">
            <v>OLGA LUCIA VARGAS ARCHILA</v>
          </cell>
          <cell r="M1159">
            <v>31</v>
          </cell>
          <cell r="N1159" t="str">
            <v>RESOLUCION</v>
          </cell>
          <cell r="O1159">
            <v>145</v>
          </cell>
          <cell r="P1159">
            <v>43136</v>
          </cell>
          <cell r="Q1159" t="str">
            <v>AYUDA TEMPORAL A LAS FAMILIAS DE VARIAS LOCALIDADES, PARA RELOCALIZACIÓN DE HOGARES LOCALIZADOS EN ZONAS DE ALTO RIESGO NO MITIGABLE ID:2014-4-14714, LOCALIDAD:04 SAN CRISTÓBAL, UPZ:50 LA GLORIA</v>
          </cell>
          <cell r="R1159">
            <v>3022327</v>
          </cell>
          <cell r="S1159">
            <v>0</v>
          </cell>
          <cell r="T1159">
            <v>0</v>
          </cell>
          <cell r="U1159">
            <v>3022327</v>
          </cell>
          <cell r="V1159">
            <v>1727044</v>
          </cell>
        </row>
        <row r="1160">
          <cell r="J1160">
            <v>684</v>
          </cell>
          <cell r="K1160">
            <v>43136</v>
          </cell>
          <cell r="L1160" t="str">
            <v>JENNY CAROLINA ADAMES TAUTA</v>
          </cell>
          <cell r="M1160">
            <v>31</v>
          </cell>
          <cell r="N1160" t="str">
            <v>RESOLUCION</v>
          </cell>
          <cell r="O1160">
            <v>146</v>
          </cell>
          <cell r="P1160">
            <v>43136</v>
          </cell>
          <cell r="Q1160" t="str">
            <v>AYUDA TEMPORAL A LAS FAMILIAS DE VARIAS LOCALIDADES, PARA RELOCALIZACIÓN DE HOGARES LOCALIZADOS EN ZONAS DE ALTO RIESGO NO MITIGABLE ID:2016-08-14853, LOCALIDAD:08 KENNEDY, UPZ:82 PATIO BONITO, SECTOR:PALMITAS</v>
          </cell>
          <cell r="R1160">
            <v>6905028</v>
          </cell>
          <cell r="S1160">
            <v>0</v>
          </cell>
          <cell r="T1160">
            <v>0</v>
          </cell>
          <cell r="U1160">
            <v>6905028</v>
          </cell>
          <cell r="V1160">
            <v>3718092</v>
          </cell>
        </row>
        <row r="1161">
          <cell r="J1161">
            <v>685</v>
          </cell>
          <cell r="K1161">
            <v>43136</v>
          </cell>
          <cell r="L1161" t="str">
            <v>MARIA ISLANDA LOPEZ GRACIA</v>
          </cell>
          <cell r="M1161">
            <v>31</v>
          </cell>
          <cell r="N1161" t="str">
            <v>RESOLUCION</v>
          </cell>
          <cell r="O1161">
            <v>147</v>
          </cell>
          <cell r="P1161">
            <v>43136</v>
          </cell>
          <cell r="Q1161" t="str">
            <v>AYUDA TEMPORAL A LAS FAMILIAS DE VARIAS LOCALIDADES, PARA RELOCALIZACIÓN DE HOGARES LOCALIZADOS EN ZONAS DE ALTO RIESGO NO MITIGABLE ID:2003-19-5161, LOCALIDAD:19 CIUDAD BOLÍVAR, UPZ:69 ISMAEL PERDOMO, SECTOR:ALTOS DE LA ESTANCIA</v>
          </cell>
          <cell r="R1161">
            <v>3374280</v>
          </cell>
          <cell r="S1161">
            <v>2410200</v>
          </cell>
          <cell r="T1161">
            <v>0</v>
          </cell>
          <cell r="U1161">
            <v>964080</v>
          </cell>
          <cell r="V1161">
            <v>964080</v>
          </cell>
        </row>
        <row r="1162">
          <cell r="J1162">
            <v>686</v>
          </cell>
          <cell r="K1162">
            <v>43136</v>
          </cell>
          <cell r="L1162" t="str">
            <v>JOSE AUGUSTO MARTINEZ BAENA</v>
          </cell>
          <cell r="M1162">
            <v>31</v>
          </cell>
          <cell r="N1162" t="str">
            <v>RESOLUCION</v>
          </cell>
          <cell r="O1162">
            <v>148</v>
          </cell>
          <cell r="P1162">
            <v>43136</v>
          </cell>
          <cell r="Q1162" t="str">
            <v>AYUDA TEMPORAL A LAS FAMILIAS DE VARIAS LOCALIDADES, PARA RELOCALIZACIÓN DE HOGARES LOCALIZADOS EN ZONAS DE ALTO RIESGO NO MITIGABLE ID:2015-D227-00007, LOCALIDAD:04 SAN CRISTÓBAL, UPZ:51 LOS LIBERTADORES, SECTOR:SANTA TERESITA</v>
          </cell>
          <cell r="R1162">
            <v>6617325</v>
          </cell>
          <cell r="S1162">
            <v>0</v>
          </cell>
          <cell r="T1162">
            <v>0</v>
          </cell>
          <cell r="U1162">
            <v>6617325</v>
          </cell>
          <cell r="V1162">
            <v>3563175</v>
          </cell>
        </row>
        <row r="1163">
          <cell r="J1163">
            <v>687</v>
          </cell>
          <cell r="K1163">
            <v>43136</v>
          </cell>
          <cell r="L1163" t="str">
            <v>JOSE ALBERTO REINA SICUA</v>
          </cell>
          <cell r="M1163">
            <v>31</v>
          </cell>
          <cell r="N1163" t="str">
            <v>RESOLUCION</v>
          </cell>
          <cell r="O1163">
            <v>149</v>
          </cell>
          <cell r="P1163">
            <v>43136</v>
          </cell>
          <cell r="Q1163" t="str">
            <v>AYUDA TEMPORAL A LAS FAMILIAS DE VARIAS LOCALIDADES, PARA RELOCALIZACIÓN DE HOGARES LOCALIZADOS EN ZONAS DE ALTO RIESGO NO MITIGABLE ID:2013000376, LOCALIDAD:19 CIUDAD BOLÍVAR, UPZ:67 LUCERO, SECTOR:PEÑA COLORADA</v>
          </cell>
          <cell r="R1163">
            <v>3017000</v>
          </cell>
          <cell r="S1163">
            <v>431000</v>
          </cell>
          <cell r="T1163">
            <v>0</v>
          </cell>
          <cell r="U1163">
            <v>2586000</v>
          </cell>
          <cell r="V1163">
            <v>2586000</v>
          </cell>
        </row>
        <row r="1164">
          <cell r="J1164">
            <v>688</v>
          </cell>
          <cell r="K1164">
            <v>43136</v>
          </cell>
          <cell r="L1164" t="str">
            <v>MARIA ADELIA LOPEZ QUINTERO</v>
          </cell>
          <cell r="M1164">
            <v>31</v>
          </cell>
          <cell r="N1164" t="str">
            <v>RESOLUCION</v>
          </cell>
          <cell r="O1164">
            <v>150</v>
          </cell>
          <cell r="P1164">
            <v>43136</v>
          </cell>
          <cell r="Q1164" t="str">
            <v>AYUDA TEMPORAL A LAS FAMILIAS DE VARIAS LOCALIDADES, PARA RELOCALIZACIÓN DE HOGARES LOCALIZADOS EN ZONAS DE ALTO RIESGO NO MITIGABLE ID:2012-19-13791, LOCALIDAD:19 CIUDAD BOLÍVAR, UPZ:67 LUCERO</v>
          </cell>
          <cell r="R1164">
            <v>2924376</v>
          </cell>
          <cell r="S1164">
            <v>417768</v>
          </cell>
          <cell r="T1164">
            <v>0</v>
          </cell>
          <cell r="U1164">
            <v>2506608</v>
          </cell>
          <cell r="V1164">
            <v>2506608</v>
          </cell>
        </row>
        <row r="1165">
          <cell r="J1165">
            <v>689</v>
          </cell>
          <cell r="K1165">
            <v>43136</v>
          </cell>
          <cell r="L1165" t="str">
            <v>GRECIA VERONICA PACHON GUTIERREZ</v>
          </cell>
          <cell r="M1165">
            <v>31</v>
          </cell>
          <cell r="N1165" t="str">
            <v>RESOLUCION</v>
          </cell>
          <cell r="O1165">
            <v>151</v>
          </cell>
          <cell r="P1165">
            <v>43136</v>
          </cell>
          <cell r="Q1165" t="str">
            <v>AYUDA TEMPORAL A LAS FAMILIAS DE VARIAS LOCALIDADES, PARA RELOCALIZACIÓN DE HOGARES LOCALIZADOS EN ZONAS DE ALTO RIESGO NO MITIGABLE ID:2014-OTR-00968, LOCALIDAD:19 CIUDAD BOLÍVAR, UPZ:67 LUCERO, SECTOR:TABOR ALTALOMA</v>
          </cell>
          <cell r="R1165">
            <v>3614814</v>
          </cell>
          <cell r="S1165">
            <v>0</v>
          </cell>
          <cell r="T1165">
            <v>0</v>
          </cell>
          <cell r="U1165">
            <v>3614814</v>
          </cell>
          <cell r="V1165">
            <v>1549206</v>
          </cell>
        </row>
        <row r="1166">
          <cell r="J1166">
            <v>690</v>
          </cell>
          <cell r="K1166">
            <v>43136</v>
          </cell>
          <cell r="L1166" t="str">
            <v>JOSE HERMINSO MENDOZA GUISA</v>
          </cell>
          <cell r="M1166">
            <v>31</v>
          </cell>
          <cell r="N1166" t="str">
            <v>RESOLUCION</v>
          </cell>
          <cell r="O1166">
            <v>152</v>
          </cell>
          <cell r="P1166">
            <v>43136</v>
          </cell>
          <cell r="Q1166" t="str">
            <v>AYUDA TEMPORAL A LAS FAMILIAS DE VARIAS LOCALIDADES, PARA RELOCALIZACIÓN DE HOGARES LOCALIZADOS EN ZONAS DE ALTO RIESGO NO MITIGABLE ID:2007-4-10150, LOCALIDAD:04 SAN CRISTÓBAL, UPZ:32 SAN BLAS</v>
          </cell>
          <cell r="R1166">
            <v>2788569</v>
          </cell>
          <cell r="S1166">
            <v>398367</v>
          </cell>
          <cell r="T1166">
            <v>0</v>
          </cell>
          <cell r="U1166">
            <v>2390202</v>
          </cell>
          <cell r="V1166">
            <v>2390202</v>
          </cell>
        </row>
        <row r="1167">
          <cell r="J1167">
            <v>691</v>
          </cell>
          <cell r="K1167">
            <v>43136</v>
          </cell>
          <cell r="L1167" t="str">
            <v>JOSE GREGORIO MARTINEZ ACOSTA</v>
          </cell>
          <cell r="M1167">
            <v>31</v>
          </cell>
          <cell r="N1167" t="str">
            <v>RESOLUCION</v>
          </cell>
          <cell r="O1167">
            <v>153</v>
          </cell>
          <cell r="P1167">
            <v>43136</v>
          </cell>
          <cell r="Q1167" t="str">
            <v>AYUDA TEMPORAL A LAS FAMILIAS DE VARIAS LOCALIDADES, PARA RELOCALIZACIÓN DE HOGARES LOCALIZADOS EN ZONAS DE ALTO RIESGO NO MITIGABLE ID:2016-08-14808, LOCALIDAD:08 KENNEDY, UPZ:82 PATIO BONITO, SECTOR:PALMITAS</v>
          </cell>
          <cell r="R1167">
            <v>2992227</v>
          </cell>
          <cell r="S1167">
            <v>2137305</v>
          </cell>
          <cell r="T1167">
            <v>0</v>
          </cell>
          <cell r="U1167">
            <v>854922</v>
          </cell>
          <cell r="V1167">
            <v>854922</v>
          </cell>
        </row>
        <row r="1168">
          <cell r="J1168">
            <v>692</v>
          </cell>
          <cell r="K1168">
            <v>43136</v>
          </cell>
          <cell r="L1168" t="str">
            <v>SANDRA PATRICIA CARILLO VILLOTA</v>
          </cell>
          <cell r="M1168">
            <v>31</v>
          </cell>
          <cell r="N1168" t="str">
            <v>RESOLUCION</v>
          </cell>
          <cell r="O1168">
            <v>154</v>
          </cell>
          <cell r="P1168">
            <v>43136</v>
          </cell>
          <cell r="Q1168" t="str">
            <v>AYUDA TEMPORAL A LAS FAMILIAS DE VARIAS LOCALIDADES, PARA RELOCALIZACIÓN DE HOGARES LOCALIZADOS EN ZONAS DE ALTO RIESGO NO MITIGABLE ID:2014-Q04-01105, LOCALIDAD:19 CIUDAD BOLÍVAR, UPZ:67 LUCERO, SECTOR:PEÑA COLORADA</v>
          </cell>
          <cell r="R1168">
            <v>3157315</v>
          </cell>
          <cell r="S1168">
            <v>451045</v>
          </cell>
          <cell r="T1168">
            <v>0</v>
          </cell>
          <cell r="U1168">
            <v>2706270</v>
          </cell>
          <cell r="V1168">
            <v>2706270</v>
          </cell>
        </row>
        <row r="1169">
          <cell r="J1169">
            <v>693</v>
          </cell>
          <cell r="K1169">
            <v>43136</v>
          </cell>
          <cell r="L1169" t="str">
            <v>LUZ ANGELA GARCIA</v>
          </cell>
          <cell r="M1169">
            <v>31</v>
          </cell>
          <cell r="N1169" t="str">
            <v>RESOLUCION</v>
          </cell>
          <cell r="O1169">
            <v>155</v>
          </cell>
          <cell r="P1169">
            <v>43136</v>
          </cell>
          <cell r="Q1169" t="str">
            <v>AYUDA TEMPORAL A LAS FAMILIAS DE VARIAS LOCALIDADES, PARA RELOCALIZACIÓN DE HOGARES LOCALIZADOS EN ZONAS DE ALTO RIESGO NO MITIGABLE ID:2010-19-11755, LOCALIDAD:19 CIUDAD BOLÍVAR, UPZ:69 ISMAEL PERDOMO, SECTOR:ALTOS DE LA ESTANCIA - OLA INVERNAL 2010 FOPAE</v>
          </cell>
          <cell r="R1169">
            <v>5430984</v>
          </cell>
          <cell r="S1169">
            <v>0</v>
          </cell>
          <cell r="T1169">
            <v>0</v>
          </cell>
          <cell r="U1169">
            <v>5430984</v>
          </cell>
          <cell r="V1169">
            <v>2924376</v>
          </cell>
        </row>
        <row r="1170">
          <cell r="J1170">
            <v>694</v>
          </cell>
          <cell r="K1170">
            <v>43136</v>
          </cell>
          <cell r="L1170" t="str">
            <v>LIGIA MARYELY SANHABRIA ZAPATA</v>
          </cell>
          <cell r="M1170">
            <v>31</v>
          </cell>
          <cell r="N1170" t="str">
            <v>RESOLUCION</v>
          </cell>
          <cell r="O1170">
            <v>156</v>
          </cell>
          <cell r="P1170">
            <v>43136</v>
          </cell>
          <cell r="Q1170" t="str">
            <v>AYUDA TEMPORAL A LAS FAMILIAS DE VARIAS LOCALIDADES, PARA RELOCALIZACIÓN DE HOGARES LOCALIZADOS EN ZONAS DE ALTO RIESGO NO MITIGABLE ID:2015-OTR-01295, LOCALIDAD:19 CIUDAD BOLÍVAR, UPZ:67 LUCERO, SECTOR:TABOR ALTALOMA</v>
          </cell>
          <cell r="R1170">
            <v>3157315</v>
          </cell>
          <cell r="S1170">
            <v>0</v>
          </cell>
          <cell r="T1170">
            <v>0</v>
          </cell>
          <cell r="U1170">
            <v>3157315</v>
          </cell>
          <cell r="V1170">
            <v>1804180</v>
          </cell>
        </row>
        <row r="1171">
          <cell r="J1171">
            <v>695</v>
          </cell>
          <cell r="K1171">
            <v>43136</v>
          </cell>
          <cell r="L1171" t="str">
            <v>MARIA ISABEL VELASQUEZ GARCIA</v>
          </cell>
          <cell r="M1171">
            <v>31</v>
          </cell>
          <cell r="N1171" t="str">
            <v>RESOLUCION</v>
          </cell>
          <cell r="O1171">
            <v>332</v>
          </cell>
          <cell r="P1171">
            <v>43136</v>
          </cell>
          <cell r="Q1171" t="str">
            <v>AYUDA TEMPORAL A LAS FAMILIAS DE VARIAS LOCALIDADES, PARA RELOCALIZACIÓN DE HOGARES LOCALIZADOS EN ZONAS DE ALTO RIESGO NO MITIGABLE ID:2014-OTR-00977, LOCALIDAD:19 CIUDAD BOLÍVAR, UPZ:67 LUCERO, SECTOR:TABOR ALTALOMA</v>
          </cell>
          <cell r="R1171">
            <v>4986969</v>
          </cell>
          <cell r="S1171">
            <v>0</v>
          </cell>
          <cell r="T1171">
            <v>0</v>
          </cell>
          <cell r="U1171">
            <v>4986969</v>
          </cell>
          <cell r="V1171">
            <v>2685291</v>
          </cell>
        </row>
        <row r="1172">
          <cell r="J1172">
            <v>696</v>
          </cell>
          <cell r="K1172">
            <v>43136</v>
          </cell>
          <cell r="L1172" t="str">
            <v>ROSA YOHANA DELGADO LOPEZ</v>
          </cell>
          <cell r="M1172">
            <v>31</v>
          </cell>
          <cell r="N1172" t="str">
            <v>RESOLUCION</v>
          </cell>
          <cell r="O1172">
            <v>325</v>
          </cell>
          <cell r="P1172">
            <v>43136</v>
          </cell>
          <cell r="Q1172" t="str">
            <v>AYUDA TEMPORAL A LAS FAMILIAS DE VARIAS LOCALIDADES, PARA RELOCALIZACIÓN DE HOGARES LOCALIZADOS EN ZONAS DE ALTO RIESGO NO MITIGABLE ID:2014-OTR-00881, LOCALIDAD:03 SANTA FE, UPZ:96 LOURDES, SECTOR:CASA 2</v>
          </cell>
          <cell r="R1172">
            <v>2551518</v>
          </cell>
          <cell r="S1172">
            <v>425253</v>
          </cell>
          <cell r="T1172">
            <v>0</v>
          </cell>
          <cell r="U1172">
            <v>2126265</v>
          </cell>
          <cell r="V1172">
            <v>2126265</v>
          </cell>
        </row>
        <row r="1173">
          <cell r="J1173">
            <v>697</v>
          </cell>
          <cell r="K1173">
            <v>43136</v>
          </cell>
          <cell r="L1173" t="str">
            <v>ROSA AIDE OSORIO SOTO</v>
          </cell>
          <cell r="M1173">
            <v>31</v>
          </cell>
          <cell r="N1173" t="str">
            <v>RESOLUCION</v>
          </cell>
          <cell r="O1173">
            <v>326</v>
          </cell>
          <cell r="P1173">
            <v>43136</v>
          </cell>
          <cell r="Q1173" t="str">
            <v>AYUDA TEMPORAL A LAS FAMILIAS DE VARIAS LOCALIDADES, PARA RELOCALIZACIÓN DE HOGARES LOCALIZADOS EN ZONAS DE ALTO RIESGO NO MITIGABLE ID:2011-4-12638, LOCALIDAD:04 SAN CRISTÓBAL, UPZ:32 SAN BLAS</v>
          </cell>
          <cell r="R1173">
            <v>2213148</v>
          </cell>
          <cell r="S1173">
            <v>368858</v>
          </cell>
          <cell r="T1173">
            <v>0</v>
          </cell>
          <cell r="U1173">
            <v>1844290</v>
          </cell>
          <cell r="V1173">
            <v>1844290</v>
          </cell>
        </row>
        <row r="1174">
          <cell r="J1174">
            <v>698</v>
          </cell>
          <cell r="K1174">
            <v>43136</v>
          </cell>
          <cell r="L1174" t="str">
            <v>OSCAR ALEXANDER BARRERA GROSSO</v>
          </cell>
          <cell r="M1174">
            <v>31</v>
          </cell>
          <cell r="N1174" t="str">
            <v>RESOLUCION</v>
          </cell>
          <cell r="O1174">
            <v>273</v>
          </cell>
          <cell r="P1174">
            <v>43136</v>
          </cell>
          <cell r="Q1174" t="str">
            <v>AYUDA TEMPORAL A LAS FAMILIAS DE VARIAS LOCALIDADES, PARA RELOCALIZACIÓN DE HOGARES LOCALIZADOS EN ZONAS DE ALTO RIESGO NO MITIGABLE ID:2013-3-14686, LOCALIDAD:03 SANTA FE, UPZ:94 LA CANDELARIA</v>
          </cell>
          <cell r="R1174">
            <v>2845920</v>
          </cell>
          <cell r="S1174">
            <v>0</v>
          </cell>
          <cell r="T1174">
            <v>0</v>
          </cell>
          <cell r="U1174">
            <v>2845920</v>
          </cell>
          <cell r="V1174">
            <v>1219680</v>
          </cell>
        </row>
        <row r="1175">
          <cell r="J1175">
            <v>699</v>
          </cell>
          <cell r="K1175">
            <v>43136</v>
          </cell>
          <cell r="L1175" t="str">
            <v>INGRIT PAOLA PARADA RUEDA</v>
          </cell>
          <cell r="M1175">
            <v>31</v>
          </cell>
          <cell r="N1175" t="str">
            <v>RESOLUCION</v>
          </cell>
          <cell r="O1175">
            <v>274</v>
          </cell>
          <cell r="P1175">
            <v>43136</v>
          </cell>
          <cell r="Q1175" t="str">
            <v>AYUDA TEMPORAL A LAS FAMILIAS DE VARIAS LOCALIDADES, PARA RELOCALIZACIÓN DE HOGARES LOCALIZADOS EN ZONAS DE ALTO RIESGO NO MITIGABLE ID:2014-OTR-01246, LOCALIDAD:11 SUBA, UPZ:71 TIBABUYES, SECTOR:GAVILANES</v>
          </cell>
          <cell r="R1175">
            <v>7672262</v>
          </cell>
          <cell r="S1175">
            <v>0</v>
          </cell>
          <cell r="T1175">
            <v>0</v>
          </cell>
          <cell r="U1175">
            <v>7672262</v>
          </cell>
          <cell r="V1175">
            <v>4131218</v>
          </cell>
        </row>
        <row r="1176">
          <cell r="J1176">
            <v>700</v>
          </cell>
          <cell r="K1176">
            <v>43136</v>
          </cell>
          <cell r="L1176" t="str">
            <v>GLADYS  MUÑOZ SANTUARIO</v>
          </cell>
          <cell r="M1176">
            <v>31</v>
          </cell>
          <cell r="N1176" t="str">
            <v>RESOLUCION</v>
          </cell>
          <cell r="O1176">
            <v>275</v>
          </cell>
          <cell r="P1176">
            <v>43136</v>
          </cell>
          <cell r="Q1176" t="str">
            <v>AYUDA TEMPORAL A LAS FAMILIAS DE VARIAS LOCALIDADES, PARA LA RELOCALIZACIÓN DE HOGARES LOCALIZADOS EN ZONAS DE ALTO RIESGO NO MITIGABLE</v>
          </cell>
          <cell r="R1176">
            <v>3112599</v>
          </cell>
          <cell r="S1176">
            <v>3112599</v>
          </cell>
          <cell r="T1176">
            <v>0</v>
          </cell>
          <cell r="U1176">
            <v>0</v>
          </cell>
          <cell r="V1176">
            <v>0</v>
          </cell>
        </row>
        <row r="1177">
          <cell r="J1177">
            <v>701</v>
          </cell>
          <cell r="K1177">
            <v>43136</v>
          </cell>
          <cell r="L1177" t="str">
            <v>DIEGO  CABEZON MERCAZA</v>
          </cell>
          <cell r="M1177">
            <v>31</v>
          </cell>
          <cell r="N1177" t="str">
            <v>RESOLUCION</v>
          </cell>
          <cell r="O1177">
            <v>276</v>
          </cell>
          <cell r="P1177">
            <v>43136</v>
          </cell>
          <cell r="Q1177" t="str">
            <v>AYUDA TEMPORAL A LAS FAMILIAS DE VARIAS LOCALIDADES, PARA RELOCALIZACIÓN DE HOGARES LOCALIZADOS EN ZONAS DE ALTO RIESGO NO MITIGABLE ID:2014-W166-041, LOCALIDAD:19 CIUDAD BOLÍVAR, UPZ:68 EL TESORO, SECTOR:WOUNAAN</v>
          </cell>
          <cell r="R1177">
            <v>5285280</v>
          </cell>
          <cell r="S1177">
            <v>0</v>
          </cell>
          <cell r="T1177">
            <v>0</v>
          </cell>
          <cell r="U1177">
            <v>5285280</v>
          </cell>
          <cell r="V1177">
            <v>2845920</v>
          </cell>
        </row>
        <row r="1178">
          <cell r="J1178">
            <v>702</v>
          </cell>
          <cell r="K1178">
            <v>43136</v>
          </cell>
          <cell r="L1178" t="str">
            <v>RAUL DARIO AREVALO SALINAS</v>
          </cell>
          <cell r="M1178">
            <v>31</v>
          </cell>
          <cell r="N1178" t="str">
            <v>RESOLUCION</v>
          </cell>
          <cell r="O1178">
            <v>277</v>
          </cell>
          <cell r="P1178">
            <v>43136</v>
          </cell>
          <cell r="Q1178" t="str">
            <v>AYUDA TEMPORAL A LAS FAMILIAS DE VARIAS LOCALIDADES, PARA RELOCALIZACIÓN DE HOGARES LOCALIZADOS EN ZONAS DE ALTO RIESGO NO MITIGABLE ID:2012-4-14198, LOCALIDAD:04 SAN CRISTÓBAL, UPZ:32 SAN BLAS</v>
          </cell>
          <cell r="R1178">
            <v>6483048</v>
          </cell>
          <cell r="S1178">
            <v>0</v>
          </cell>
          <cell r="T1178">
            <v>0</v>
          </cell>
          <cell r="U1178">
            <v>6483048</v>
          </cell>
          <cell r="V1178">
            <v>3490872</v>
          </cell>
        </row>
        <row r="1179">
          <cell r="J1179">
            <v>703</v>
          </cell>
          <cell r="K1179">
            <v>43136</v>
          </cell>
          <cell r="L1179" t="str">
            <v>CANDIDA GLORIA BERNAL DE RICO</v>
          </cell>
          <cell r="M1179">
            <v>31</v>
          </cell>
          <cell r="N1179" t="str">
            <v>RESOLUCION</v>
          </cell>
          <cell r="O1179">
            <v>278</v>
          </cell>
          <cell r="P1179">
            <v>43136</v>
          </cell>
          <cell r="Q1179" t="str">
            <v>AYUDA TEMPORAL A LAS FAMILIAS DE VARIAS LOCALIDADES, PARA RELOCALIZACIÓN DE HOGARES LOCALIZADOS EN ZONAS DE ALTO RIESGO NO MITIGABLE ID:2012-4-14202, LOCALIDAD:04 SAN CRISTÓBAL, UPZ:32 SAN BLAS</v>
          </cell>
          <cell r="R1179">
            <v>5746338</v>
          </cell>
          <cell r="S1179">
            <v>0</v>
          </cell>
          <cell r="T1179">
            <v>0</v>
          </cell>
          <cell r="U1179">
            <v>5746338</v>
          </cell>
          <cell r="V1179">
            <v>2652156</v>
          </cell>
        </row>
        <row r="1180">
          <cell r="J1180">
            <v>704</v>
          </cell>
          <cell r="K1180">
            <v>43136</v>
          </cell>
          <cell r="L1180" t="str">
            <v>GLORIA INES ESPINOSA DE OCAMPO</v>
          </cell>
          <cell r="M1180">
            <v>31</v>
          </cell>
          <cell r="N1180" t="str">
            <v>RESOLUCION</v>
          </cell>
          <cell r="O1180">
            <v>279</v>
          </cell>
          <cell r="P1180">
            <v>43136</v>
          </cell>
          <cell r="Q1180" t="str">
            <v>AYUDA TEMPORAL A LAS FAMILIAS DE VARIAS LOCALIDADES, PARA RELOCALIZACIÓN DE HOGARES LOCALIZADOS EN ZONAS DE ALTO RIESGO NO MITIGABLE ID:2013000562, LOCALIDAD:05 USME, UPZ:56 DANUBIO, SECTOR:HOYA DEL RAMO</v>
          </cell>
          <cell r="R1180">
            <v>3201695</v>
          </cell>
          <cell r="S1180">
            <v>457385</v>
          </cell>
          <cell r="T1180">
            <v>0</v>
          </cell>
          <cell r="U1180">
            <v>2744310</v>
          </cell>
          <cell r="V1180">
            <v>2744310</v>
          </cell>
        </row>
        <row r="1181">
          <cell r="J1181">
            <v>705</v>
          </cell>
          <cell r="K1181">
            <v>43136</v>
          </cell>
          <cell r="L1181" t="str">
            <v>LIBIA YANETH VARELA ROJAS</v>
          </cell>
          <cell r="M1181">
            <v>31</v>
          </cell>
          <cell r="N1181" t="str">
            <v>RESOLUCION</v>
          </cell>
          <cell r="O1181">
            <v>280</v>
          </cell>
          <cell r="P1181">
            <v>43136</v>
          </cell>
          <cell r="Q1181" t="str">
            <v>AYUDA TEMPORAL A LAS FAMILIAS DE VARIAS LOCALIDADES, PARA RELOCALIZACIÓN DE HOGARES LOCALIZADOS EN ZONAS DE ALTO RIESGO NO MITIGABLE ID:2010-4-11976, LOCALIDAD:04 SAN CRISTÓBAL, UPZ:32 SAN BLAS, SECTOR:OLA INVERNAL 2010 FOPAE</v>
          </cell>
          <cell r="R1181">
            <v>5754190</v>
          </cell>
          <cell r="S1181">
            <v>0</v>
          </cell>
          <cell r="T1181">
            <v>0</v>
          </cell>
          <cell r="U1181">
            <v>5754190</v>
          </cell>
          <cell r="V1181">
            <v>3098410</v>
          </cell>
        </row>
        <row r="1182">
          <cell r="J1182">
            <v>706</v>
          </cell>
          <cell r="K1182">
            <v>43136</v>
          </cell>
          <cell r="L1182" t="str">
            <v>LEIDY SUSANA OSORIO QUINTERO</v>
          </cell>
          <cell r="M1182">
            <v>31</v>
          </cell>
          <cell r="N1182" t="str">
            <v>RESOLUCION</v>
          </cell>
          <cell r="O1182">
            <v>281</v>
          </cell>
          <cell r="P1182">
            <v>43136</v>
          </cell>
          <cell r="Q1182" t="str">
            <v>AYUDA TEMPORAL A LAS FAMILIAS DE VARIAS LOCALIDADES, PARA RELOCALIZACIÓN DE HOGARES LOCALIZADOS EN ZONAS DE ALTO RIESGO NO MITIGABLE ID:2016-08-14780, LOCALIDAD:08 KENNEDY, UPZ:82 PATIO BONITO, SECTOR:PALMITAS</v>
          </cell>
          <cell r="R1182">
            <v>5946005</v>
          </cell>
          <cell r="S1182">
            <v>0</v>
          </cell>
          <cell r="T1182">
            <v>0</v>
          </cell>
          <cell r="U1182">
            <v>5946005</v>
          </cell>
          <cell r="V1182">
            <v>3201695</v>
          </cell>
        </row>
        <row r="1183">
          <cell r="J1183">
            <v>707</v>
          </cell>
          <cell r="K1183">
            <v>43136</v>
          </cell>
          <cell r="L1183" t="str">
            <v>BLANCA INES REINA PRIETO</v>
          </cell>
          <cell r="M1183">
            <v>31</v>
          </cell>
          <cell r="N1183" t="str">
            <v>RESOLUCION</v>
          </cell>
          <cell r="O1183">
            <v>282</v>
          </cell>
          <cell r="P1183">
            <v>43136</v>
          </cell>
          <cell r="Q1183" t="str">
            <v>AYUDA TEMPORAL A LAS FAMILIAS DE VARIAS LOCALIDADES, PARA RELOCALIZACIÓN DE HOGARES LOCALIZADOS EN ZONAS DE ALTO RIESGO NO MITIGABLE ID:2013-4-14607, LOCALIDAD:04 SAN CRISTÓBAL, UPZ:32 SAN BLAS</v>
          </cell>
          <cell r="R1183">
            <v>4795154</v>
          </cell>
          <cell r="S1183">
            <v>0</v>
          </cell>
          <cell r="T1183">
            <v>0</v>
          </cell>
          <cell r="U1183">
            <v>4795154</v>
          </cell>
          <cell r="V1183">
            <v>2582006</v>
          </cell>
        </row>
        <row r="1184">
          <cell r="J1184">
            <v>708</v>
          </cell>
          <cell r="K1184">
            <v>43136</v>
          </cell>
          <cell r="L1184" t="str">
            <v>MARCO TULIO PRIAS VILLABON</v>
          </cell>
          <cell r="M1184">
            <v>31</v>
          </cell>
          <cell r="N1184" t="str">
            <v>RESOLUCION</v>
          </cell>
          <cell r="O1184">
            <v>283</v>
          </cell>
          <cell r="P1184">
            <v>43136</v>
          </cell>
          <cell r="Q1184" t="str">
            <v>AYUDA TEMPORAL A LAS FAMILIAS DE VARIAS LOCALIDADES, PARA RELOCALIZACIÓN DE HOGARES LOCALIZADOS EN ZONAS DE ALTO RIESGO NO MITIGABLE ID:2014-OTR-00955, LOCALIDAD:19 CIUDAD BOLÍVAR, UPZ:67 LUCERO, SECTOR:TABOR ALTALOMA</v>
          </cell>
          <cell r="R1184">
            <v>3017000</v>
          </cell>
          <cell r="S1184">
            <v>431000</v>
          </cell>
          <cell r="T1184">
            <v>0</v>
          </cell>
          <cell r="U1184">
            <v>2586000</v>
          </cell>
          <cell r="V1184">
            <v>2586000</v>
          </cell>
        </row>
        <row r="1185">
          <cell r="J1185">
            <v>709</v>
          </cell>
          <cell r="K1185">
            <v>43136</v>
          </cell>
          <cell r="L1185" t="str">
            <v>BRANDON CAMILO VILLALOBOS HIGUERA</v>
          </cell>
          <cell r="M1185">
            <v>31</v>
          </cell>
          <cell r="N1185" t="str">
            <v>RESOLUCION</v>
          </cell>
          <cell r="O1185">
            <v>284</v>
          </cell>
          <cell r="P1185">
            <v>43136</v>
          </cell>
          <cell r="Q1185" t="str">
            <v>AYUDA TEMPORAL A LAS FAMILIAS DE VARIAS LOCALIDADES, PARA RELOCALIZACIÓN DE HOGARES LOCALIZADOS EN ZONAS DE ALTO RIESGO NO MITIGABLE ID:2016-08-14821, LOCALIDAD:08 KENNEDY, UPZ:82 PATIO BONITO, SECTOR:PALMITAS</v>
          </cell>
          <cell r="R1185">
            <v>7192744</v>
          </cell>
          <cell r="S1185">
            <v>0</v>
          </cell>
          <cell r="T1185">
            <v>0</v>
          </cell>
          <cell r="U1185">
            <v>7192744</v>
          </cell>
          <cell r="V1185">
            <v>3873016</v>
          </cell>
        </row>
        <row r="1186">
          <cell r="J1186">
            <v>710</v>
          </cell>
          <cell r="K1186">
            <v>43136</v>
          </cell>
          <cell r="L1186" t="str">
            <v>NORBERTO  GARCIA VILLEGAS</v>
          </cell>
          <cell r="M1186">
            <v>31</v>
          </cell>
          <cell r="N1186" t="str">
            <v>RESOLUCION</v>
          </cell>
          <cell r="O1186">
            <v>285</v>
          </cell>
          <cell r="P1186">
            <v>43136</v>
          </cell>
          <cell r="Q1186" t="str">
            <v>AYUDA TEMPORAL A LAS FAMILIAS DE VARIAS LOCALIDADES, PARA RELOCALIZACIÓN DE HOGARES LOCALIZADOS EN ZONAS DE ALTO RIESGO NO MITIGABLE ID:2003-19-4838, LOCALIDAD:19 CIUDAD BOLÍVAR, UPZ:69 ISMAEL PERDOMO, SECTOR:ALTOS DE LA ESTANCIA</v>
          </cell>
          <cell r="R1186">
            <v>4795154</v>
          </cell>
          <cell r="S1186">
            <v>0</v>
          </cell>
          <cell r="T1186">
            <v>0</v>
          </cell>
          <cell r="U1186">
            <v>4795154</v>
          </cell>
          <cell r="V1186">
            <v>2582006</v>
          </cell>
        </row>
        <row r="1187">
          <cell r="J1187">
            <v>711</v>
          </cell>
          <cell r="K1187">
            <v>43136</v>
          </cell>
          <cell r="L1187" t="str">
            <v>LEIDY JOHANA GUTIERREZ ABELLO</v>
          </cell>
          <cell r="M1187">
            <v>31</v>
          </cell>
          <cell r="N1187" t="str">
            <v>RESOLUCION</v>
          </cell>
          <cell r="O1187">
            <v>286</v>
          </cell>
          <cell r="P1187">
            <v>43136</v>
          </cell>
          <cell r="Q1187" t="str">
            <v>AYUDA TEMPORAL A LAS FAMILIAS DE VARIAS LOCALIDADES, PARA RELOCALIZACIÓN DE HOGARES LOCALIZADOS EN ZONAS DE ALTO RIESGO NO MITIGABLE ID:2010-19-11937, LOCALIDAD:19 CIUDAD BOLÍVAR, UPZ:67 LUCERO, SECTOR:LIMAS</v>
          </cell>
          <cell r="R1187">
            <v>2845920</v>
          </cell>
          <cell r="S1187">
            <v>406560</v>
          </cell>
          <cell r="T1187">
            <v>0</v>
          </cell>
          <cell r="U1187">
            <v>2439360</v>
          </cell>
          <cell r="V1187">
            <v>2439360</v>
          </cell>
        </row>
        <row r="1188">
          <cell r="J1188">
            <v>712</v>
          </cell>
          <cell r="K1188">
            <v>43136</v>
          </cell>
          <cell r="L1188" t="str">
            <v>JOSE ALIRIO CHIRIMIA ISMARY</v>
          </cell>
          <cell r="M1188">
            <v>31</v>
          </cell>
          <cell r="N1188" t="str">
            <v>RESOLUCION</v>
          </cell>
          <cell r="O1188">
            <v>287</v>
          </cell>
          <cell r="P1188">
            <v>43136</v>
          </cell>
          <cell r="Q1188" t="str">
            <v>AYUDA TEMPORAL A LAS FAMILIAS DE VARIAS LOCALIDADES, PARA RELOCALIZACIÓN DE HOGARES LOCALIZADOS EN ZONAS DE ALTO RIESGO NO MITIGABLE ID:2015-W166-215, LOCALIDAD:04 SAN CRISTÓBAL, UPZ:33 SOSIEGO, SECTOR:EPERARA</v>
          </cell>
          <cell r="R1188">
            <v>5525975</v>
          </cell>
          <cell r="S1188">
            <v>0</v>
          </cell>
          <cell r="T1188">
            <v>0</v>
          </cell>
          <cell r="U1188">
            <v>5525975</v>
          </cell>
          <cell r="V1188">
            <v>2975525</v>
          </cell>
        </row>
        <row r="1189">
          <cell r="J1189">
            <v>713</v>
          </cell>
          <cell r="K1189">
            <v>43136</v>
          </cell>
          <cell r="L1189" t="str">
            <v>MARIA ESMERALDA MARTINEZ</v>
          </cell>
          <cell r="M1189">
            <v>31</v>
          </cell>
          <cell r="N1189" t="str">
            <v>RESOLUCION</v>
          </cell>
          <cell r="O1189">
            <v>288</v>
          </cell>
          <cell r="P1189">
            <v>43136</v>
          </cell>
          <cell r="Q1189" t="str">
            <v>AYUDA TEMPORAL A LAS FAMILIAS DE VARIAS LOCALIDADES, PARA RELOCALIZACIÓN DE HOGARES LOCALIZADOS EN ZONAS DE ALTO RIESGO NO MITIGABLE ID:2013-Q10-00306, LOCALIDAD:19 CIUDAD BOLÍVAR, UPZ:67 LUCERO, SECTOR:PEÑA COLORADA</v>
          </cell>
          <cell r="R1189">
            <v>5361707</v>
          </cell>
          <cell r="S1189">
            <v>0</v>
          </cell>
          <cell r="T1189">
            <v>0</v>
          </cell>
          <cell r="U1189">
            <v>5361707</v>
          </cell>
          <cell r="V1189">
            <v>2474634</v>
          </cell>
        </row>
        <row r="1190">
          <cell r="J1190">
            <v>714</v>
          </cell>
          <cell r="K1190">
            <v>43136</v>
          </cell>
          <cell r="L1190" t="str">
            <v>ALBEIRO  OSORIO SARCO</v>
          </cell>
          <cell r="M1190">
            <v>31</v>
          </cell>
          <cell r="N1190" t="str">
            <v>RESOLUCION</v>
          </cell>
          <cell r="O1190">
            <v>289</v>
          </cell>
          <cell r="P1190">
            <v>43136</v>
          </cell>
          <cell r="Q1190" t="str">
            <v>AYUDA TEMPORAL A LAS FAMILIAS DE VARIAS LOCALIDADES, PARA RELOCALIZACIÓN DE HOGARES LOCALIZADOS EN ZONAS DE ALTO RIESGO NO MITIGABLE ID:2014-W166-009, LOCALIDAD:19 CIUDAD BOLÍVAR, UPZ:67 LUCERO, SECTOR:WOUNAAN</v>
          </cell>
          <cell r="R1190">
            <v>6274034</v>
          </cell>
          <cell r="S1190">
            <v>0</v>
          </cell>
          <cell r="T1190">
            <v>0</v>
          </cell>
          <cell r="U1190">
            <v>6274034</v>
          </cell>
          <cell r="V1190">
            <v>3378326</v>
          </cell>
        </row>
        <row r="1191">
          <cell r="J1191">
            <v>715</v>
          </cell>
          <cell r="K1191">
            <v>43136</v>
          </cell>
          <cell r="L1191" t="str">
            <v>JHON JAIRO MOYA PIRAZA</v>
          </cell>
          <cell r="M1191">
            <v>31</v>
          </cell>
          <cell r="N1191" t="str">
            <v>RESOLUCION</v>
          </cell>
          <cell r="O1191">
            <v>290</v>
          </cell>
          <cell r="P1191">
            <v>43136</v>
          </cell>
          <cell r="Q1191" t="str">
            <v>AYUDA TEMPORAL A LAS FAMILIAS DE VARIAS LOCALIDADES, PARA RELOCALIZACIÓN DE HOGARES LOCALIZADOS EN ZONAS DE ALTO RIESGO NO MITIGABLE ID:2014-W166-068, LOCALIDAD:19 CIUDAD BOLÍVAR, UPZ:68 EL TESORO, SECTOR:WOUNAAN</v>
          </cell>
          <cell r="R1191">
            <v>6274034</v>
          </cell>
          <cell r="S1191">
            <v>0</v>
          </cell>
          <cell r="T1191">
            <v>0</v>
          </cell>
          <cell r="U1191">
            <v>6274034</v>
          </cell>
          <cell r="V1191">
            <v>3378326</v>
          </cell>
        </row>
        <row r="1192">
          <cell r="J1192">
            <v>716</v>
          </cell>
          <cell r="K1192">
            <v>43136</v>
          </cell>
          <cell r="L1192" t="str">
            <v>MARIA NILSA GRUESO DURA</v>
          </cell>
          <cell r="M1192">
            <v>31</v>
          </cell>
          <cell r="N1192" t="str">
            <v>RESOLUCION</v>
          </cell>
          <cell r="O1192">
            <v>291</v>
          </cell>
          <cell r="P1192">
            <v>43136</v>
          </cell>
          <cell r="Q1192" t="str">
            <v>AYUDA TEMPORAL A LAS FAMILIAS DE VARIAS LOCALIDADES, PARA RELOCALIZACIÓN DE HOGARES LOCALIZADOS EN ZONAS DE ALTO RIESGO NO MITIGABLE ID:2015-W166-214, LOCALIDAD:04 SAN CRISTÓBAL, UPZ:33 SOSIEGO, SECTOR:EPERARA</v>
          </cell>
          <cell r="R1192">
            <v>5825885</v>
          </cell>
          <cell r="S1192">
            <v>0</v>
          </cell>
          <cell r="T1192">
            <v>0</v>
          </cell>
          <cell r="U1192">
            <v>5825885</v>
          </cell>
          <cell r="V1192">
            <v>3137015</v>
          </cell>
        </row>
        <row r="1193">
          <cell r="J1193">
            <v>717</v>
          </cell>
          <cell r="K1193">
            <v>43136</v>
          </cell>
          <cell r="L1193" t="str">
            <v>LIDIA RUTH DAZA BUSTOS</v>
          </cell>
          <cell r="M1193">
            <v>31</v>
          </cell>
          <cell r="N1193" t="str">
            <v>RESOLUCION</v>
          </cell>
          <cell r="O1193">
            <v>292</v>
          </cell>
          <cell r="P1193">
            <v>43136</v>
          </cell>
          <cell r="Q1193" t="str">
            <v>AYUDA TEMPORAL A LAS FAMILIAS DE VARIAS LOCALIDADES, PARA RELOCALIZACIÓN DE HOGARES LOCALIZADOS EN ZONAS DE ALTO RIESGO NO MITIGABLE ID:2014-Q04-00915, LOCALIDAD:19 CIUDAD BOLÍVAR, UPZ:67 LUCERO, SECTOR:PEÑA COLORADA</v>
          </cell>
          <cell r="R1193">
            <v>3098403</v>
          </cell>
          <cell r="S1193">
            <v>442629</v>
          </cell>
          <cell r="T1193">
            <v>0</v>
          </cell>
          <cell r="U1193">
            <v>2655774</v>
          </cell>
          <cell r="V1193">
            <v>2655774</v>
          </cell>
        </row>
        <row r="1194">
          <cell r="J1194">
            <v>718</v>
          </cell>
          <cell r="K1194">
            <v>43136</v>
          </cell>
          <cell r="L1194" t="str">
            <v>DAVID  MOÑA ISMARE</v>
          </cell>
          <cell r="M1194">
            <v>31</v>
          </cell>
          <cell r="N1194" t="str">
            <v>RESOLUCION</v>
          </cell>
          <cell r="O1194">
            <v>293</v>
          </cell>
          <cell r="P1194">
            <v>43136</v>
          </cell>
          <cell r="Q1194" t="str">
            <v>AYUDA TEMPORAL A LAS FAMILIAS DE VARIAS LOCALIDADES, PARA RELOCALIZACIÓN DE HOGARES LOCALIZADOS EN ZONAS DE ALTO RIESGO NO MITIGABLE ID:2015-W166-512, LOCALIDAD:19 CIUDAD BOLÍVAR, UPZ:67 LUCERO, SECTOR:WOUNAAN</v>
          </cell>
          <cell r="R1194">
            <v>6868797</v>
          </cell>
          <cell r="S1194">
            <v>0</v>
          </cell>
          <cell r="T1194">
            <v>0</v>
          </cell>
          <cell r="U1194">
            <v>6868797</v>
          </cell>
          <cell r="V1194">
            <v>3698583</v>
          </cell>
        </row>
        <row r="1195">
          <cell r="J1195">
            <v>719</v>
          </cell>
          <cell r="K1195">
            <v>43136</v>
          </cell>
          <cell r="L1195" t="str">
            <v>GLADYS  MUÑOZ SANTUARIO</v>
          </cell>
          <cell r="M1195">
            <v>31</v>
          </cell>
          <cell r="N1195" t="str">
            <v>RESOLUCION</v>
          </cell>
          <cell r="O1195">
            <v>275</v>
          </cell>
          <cell r="P1195">
            <v>43136</v>
          </cell>
          <cell r="Q1195" t="str">
            <v>AYUDA TEMPORAL A LAS FAMILIAS DE VARIAS LOCALIDADES, PARA RELOCALIZACIÓN DE HOGARES LOCALIZADOS EN ZONAS DE ALTO RIESGO NO MITIGABLE ID:2012-19-13937, LOCALIDAD:19 CIUDAD BOLÍVAR, UPZ:67 LUCERO</v>
          </cell>
          <cell r="R1195">
            <v>3112599</v>
          </cell>
          <cell r="S1195">
            <v>444657</v>
          </cell>
          <cell r="T1195">
            <v>0</v>
          </cell>
          <cell r="U1195">
            <v>2667942</v>
          </cell>
          <cell r="V1195">
            <v>2667942</v>
          </cell>
        </row>
        <row r="1196">
          <cell r="J1196">
            <v>720</v>
          </cell>
          <cell r="K1196">
            <v>43136</v>
          </cell>
          <cell r="L1196" t="str">
            <v>MILENA ESTELA CETINA CADENA</v>
          </cell>
          <cell r="M1196">
            <v>31</v>
          </cell>
          <cell r="N1196" t="str">
            <v>RESOLUCION</v>
          </cell>
          <cell r="O1196">
            <v>294</v>
          </cell>
          <cell r="P1196">
            <v>43136</v>
          </cell>
          <cell r="Q1196" t="str">
            <v>AYUDA TEMPORAL A LAS FAMILIAS DE VARIAS LOCALIDADES, PARA RELOCALIZACIÓN DE HOGARES LOCALIZADOS EN ZONAS DE ALTO RIESGO NO MITIGABLE ID:2013-Q09-00178, LOCALIDAD:19 CIUDAD BOLÍVAR, UPZ:67 LUCERO, SECTOR:QUEBRADA TROMPETA</v>
          </cell>
          <cell r="R1196">
            <v>5603000</v>
          </cell>
          <cell r="S1196">
            <v>4310000</v>
          </cell>
          <cell r="T1196">
            <v>0</v>
          </cell>
          <cell r="U1196">
            <v>1293000</v>
          </cell>
          <cell r="V1196">
            <v>1293000</v>
          </cell>
        </row>
        <row r="1197">
          <cell r="J1197">
            <v>721</v>
          </cell>
          <cell r="K1197">
            <v>43136</v>
          </cell>
          <cell r="L1197" t="str">
            <v>GONZALO  ROCHA</v>
          </cell>
          <cell r="M1197">
            <v>31</v>
          </cell>
          <cell r="N1197" t="str">
            <v>RESOLUCION</v>
          </cell>
          <cell r="O1197">
            <v>295</v>
          </cell>
          <cell r="P1197">
            <v>43136</v>
          </cell>
          <cell r="Q1197" t="str">
            <v>AYUDA TEMPORAL A LAS FAMILIAS DE VARIAS LOCALIDADES, PARA RELOCALIZACIÓN DE HOGARES LOCALIZADOS EN ZONAS DE ALTO RIESGO NO MITIGABLE ID:2011-18-13554, LOCALIDAD:18 RAFAEL URIBE URIBE, UPZ:54 MARRUECOS</v>
          </cell>
          <cell r="R1197">
            <v>4795154</v>
          </cell>
          <cell r="S1197">
            <v>0</v>
          </cell>
          <cell r="T1197">
            <v>0</v>
          </cell>
          <cell r="U1197">
            <v>4795154</v>
          </cell>
          <cell r="V1197">
            <v>2582006</v>
          </cell>
        </row>
        <row r="1198">
          <cell r="J1198">
            <v>722</v>
          </cell>
          <cell r="K1198">
            <v>43136</v>
          </cell>
          <cell r="L1198" t="str">
            <v>MARIA ADELA LESMES PALACIOS</v>
          </cell>
          <cell r="M1198">
            <v>31</v>
          </cell>
          <cell r="N1198" t="str">
            <v>RESOLUCION</v>
          </cell>
          <cell r="O1198">
            <v>296</v>
          </cell>
          <cell r="P1198">
            <v>43136</v>
          </cell>
          <cell r="Q1198" t="str">
            <v>AYUDA TEMPORAL A LAS FAMILIAS DE VARIAS LOCALIDADES, PARA RELOCALIZACIÓN DE HOGARES LOCALIZADOS EN ZONAS DE ALTO RIESGO NO MITIGABLE ID:2011-18-13660, LOCALIDAD:18 RAFAEL URIBE URIBE, UPZ:54 MARRUECOS</v>
          </cell>
          <cell r="R1198">
            <v>3299296</v>
          </cell>
          <cell r="S1198">
            <v>0</v>
          </cell>
          <cell r="T1198">
            <v>0</v>
          </cell>
          <cell r="U1198">
            <v>3299296</v>
          </cell>
          <cell r="V1198">
            <v>942656</v>
          </cell>
        </row>
        <row r="1199">
          <cell r="J1199">
            <v>724</v>
          </cell>
          <cell r="K1199">
            <v>43136</v>
          </cell>
          <cell r="L1199" t="str">
            <v>YUDY MARCELA CIFUENTES RODRIGUEZ</v>
          </cell>
          <cell r="M1199">
            <v>31</v>
          </cell>
          <cell r="N1199" t="str">
            <v>RESOLUCION</v>
          </cell>
          <cell r="O1199">
            <v>297</v>
          </cell>
          <cell r="P1199">
            <v>43136</v>
          </cell>
          <cell r="Q1199" t="str">
            <v>AYUDA TEMPORAL A LAS FAMILIAS DE VARIAS LOCALIDADES, PARA RELOCALIZACIÓN DE HOGARES LOCALIZADOS EN ZONAS DE ALTO RIESGO NO MITIGABLE ID:2016-08-14879, LOCALIDAD:08 KENNEDY, UPZ:82 PATIO BONITO, SECTOR:PALMITAS</v>
          </cell>
          <cell r="R1199">
            <v>5946005</v>
          </cell>
          <cell r="S1199">
            <v>0</v>
          </cell>
          <cell r="T1199">
            <v>0</v>
          </cell>
          <cell r="U1199">
            <v>5946005</v>
          </cell>
          <cell r="V1199">
            <v>2744310</v>
          </cell>
        </row>
        <row r="1200">
          <cell r="J1200">
            <v>725</v>
          </cell>
          <cell r="K1200">
            <v>43136</v>
          </cell>
          <cell r="L1200" t="str">
            <v>LAURY  CAICEDO MEJIA</v>
          </cell>
          <cell r="M1200">
            <v>31</v>
          </cell>
          <cell r="N1200" t="str">
            <v>RESOLUCION</v>
          </cell>
          <cell r="O1200">
            <v>298</v>
          </cell>
          <cell r="P1200">
            <v>43136</v>
          </cell>
          <cell r="Q1200" t="str">
            <v>AYUDA TEMPORAL A LAS FAMILIAS DE VARIAS LOCALIDADES, PARA RELOCALIZACIÓN DE HOGARES LOCALIZADOS EN ZONAS DE ALTO RIESGO NO MITIGABLE ID:2015-W166-523, LOCALIDAD:03 SANTA FE, UPZ:95 LAS CRUCES, SECTOR:UITOTO</v>
          </cell>
          <cell r="R1200">
            <v>7287618</v>
          </cell>
          <cell r="S1200">
            <v>0</v>
          </cell>
          <cell r="T1200">
            <v>0</v>
          </cell>
          <cell r="U1200">
            <v>7287618</v>
          </cell>
          <cell r="V1200">
            <v>3924102</v>
          </cell>
        </row>
        <row r="1201">
          <cell r="J1201">
            <v>726</v>
          </cell>
          <cell r="K1201">
            <v>43136</v>
          </cell>
          <cell r="L1201" t="str">
            <v>JAIME ALBERTO FANDIÑO FORERO</v>
          </cell>
          <cell r="M1201">
            <v>31</v>
          </cell>
          <cell r="N1201" t="str">
            <v>RESOLUCION</v>
          </cell>
          <cell r="O1201">
            <v>299</v>
          </cell>
          <cell r="P1201">
            <v>43136</v>
          </cell>
          <cell r="Q1201" t="str">
            <v>AYUDA TEMPORAL A LAS FAMILIAS DE VARIAS LOCALIDADES, PARA RELOCALIZACIÓN DE HOGARES LOCALIZADOS EN ZONAS DE ALTO RIESGO NO MITIGABLE ID:2007-4-9372, LOCALIDAD:04 SAN CRISTÓBAL, UPZ:32 SAN BLAS</v>
          </cell>
          <cell r="R1201">
            <v>5658289</v>
          </cell>
          <cell r="S1201">
            <v>0</v>
          </cell>
          <cell r="T1201">
            <v>0</v>
          </cell>
          <cell r="U1201">
            <v>5658289</v>
          </cell>
          <cell r="V1201">
            <v>3046771</v>
          </cell>
        </row>
        <row r="1202">
          <cell r="J1202">
            <v>727</v>
          </cell>
          <cell r="K1202">
            <v>43136</v>
          </cell>
          <cell r="L1202" t="str">
            <v>DIANA CAROLINA CACERES PEÑALOZA</v>
          </cell>
          <cell r="M1202">
            <v>31</v>
          </cell>
          <cell r="N1202" t="str">
            <v>RESOLUCION</v>
          </cell>
          <cell r="O1202">
            <v>300</v>
          </cell>
          <cell r="P1202">
            <v>43136</v>
          </cell>
          <cell r="Q1202" t="str">
            <v>AYUDA TEMPORAL A LAS FAMILIAS DE VARIAS LOCALIDADES, PARA RELOCALIZACIÓN DE HOGARES LOCALIZADOS EN ZONAS DE ALTO RIESGO NO MITIGABLE ID:2016-08-14788, LOCALIDAD:08 KENNEDY, UPZ:82 PATIO BONITO, SECTOR:PALMITAS</v>
          </cell>
          <cell r="R1202">
            <v>7672262</v>
          </cell>
          <cell r="S1202">
            <v>0</v>
          </cell>
          <cell r="T1202">
            <v>0</v>
          </cell>
          <cell r="U1202">
            <v>7672262</v>
          </cell>
          <cell r="V1202">
            <v>4131218</v>
          </cell>
        </row>
        <row r="1203">
          <cell r="J1203">
            <v>728</v>
          </cell>
          <cell r="K1203">
            <v>43136</v>
          </cell>
          <cell r="L1203" t="str">
            <v>BLANCA CECILIA BENAVIDES</v>
          </cell>
          <cell r="M1203">
            <v>31</v>
          </cell>
          <cell r="N1203" t="str">
            <v>RESOLUCION</v>
          </cell>
          <cell r="O1203">
            <v>301</v>
          </cell>
          <cell r="P1203">
            <v>43136</v>
          </cell>
          <cell r="Q1203" t="str">
            <v>AYUDA TEMPORAL A LAS FAMILIAS DE VARIAS LOCALIDADES, PARA RELOCALIZACIÓN DE HOGARES LOCALIZADOS EN ZONAS DE ALTO RIESGO NO MITIGABLE ID:2011-4-12708, LOCALIDAD:04 SAN CRISTÓBAL, UPZ:32 SAN BLAS</v>
          </cell>
          <cell r="R1203">
            <v>2213148</v>
          </cell>
          <cell r="S1203">
            <v>368858</v>
          </cell>
          <cell r="T1203">
            <v>0</v>
          </cell>
          <cell r="U1203">
            <v>1844290</v>
          </cell>
          <cell r="V1203">
            <v>1844290</v>
          </cell>
        </row>
        <row r="1204">
          <cell r="J1204">
            <v>729</v>
          </cell>
          <cell r="K1204">
            <v>43136</v>
          </cell>
          <cell r="L1204" t="str">
            <v>LUIS  CRUZ DELGADO</v>
          </cell>
          <cell r="M1204">
            <v>31</v>
          </cell>
          <cell r="N1204" t="str">
            <v>RESOLUCION</v>
          </cell>
          <cell r="O1204">
            <v>302</v>
          </cell>
          <cell r="P1204">
            <v>43136</v>
          </cell>
          <cell r="Q1204" t="str">
            <v>AYUDA TEMPORAL A LAS FAMILIAS DE VARIAS LOCALIDADES, PARA RELOCALIZACIÓN DE HOGARES LOCALIZADOS EN ZONAS DE ALTO RIESGO NO MITIGABLE ID:2003-19-5136, LOCALIDAD:19 CIUDAD BOLÍVAR, UPZ:69 ISMAEL PERDOMO, SECTOR:ALTOS DE LA ESTANCIA</v>
          </cell>
          <cell r="R1204">
            <v>3098412</v>
          </cell>
          <cell r="S1204">
            <v>516402</v>
          </cell>
          <cell r="T1204">
            <v>0</v>
          </cell>
          <cell r="U1204">
            <v>2582010</v>
          </cell>
          <cell r="V1204">
            <v>2582010</v>
          </cell>
        </row>
        <row r="1205">
          <cell r="J1205">
            <v>730</v>
          </cell>
          <cell r="K1205">
            <v>43136</v>
          </cell>
          <cell r="L1205" t="str">
            <v>GLORIA  SANCHEZ DE SANCHEZ</v>
          </cell>
          <cell r="M1205">
            <v>31</v>
          </cell>
          <cell r="N1205" t="str">
            <v>RESOLUCION</v>
          </cell>
          <cell r="O1205">
            <v>303</v>
          </cell>
          <cell r="P1205">
            <v>43136</v>
          </cell>
          <cell r="Q1205" t="str">
            <v>AYUDA TEMPORAL A LAS FAMILIAS DE VARIAS LOCALIDADES, PARA RELOCALIZACIÓN DE HOGARES LOCALIZADOS EN ZONAS DE ALTO RIESGO NO MITIGABLE ID:2011-4-12684, LOCALIDAD:04 SAN CRISTÓBAL, UPZ:32 SAN BLAS</v>
          </cell>
          <cell r="R1205">
            <v>2706492</v>
          </cell>
          <cell r="S1205">
            <v>451082</v>
          </cell>
          <cell r="T1205">
            <v>0</v>
          </cell>
          <cell r="U1205">
            <v>2255410</v>
          </cell>
          <cell r="V1205">
            <v>2255410</v>
          </cell>
        </row>
        <row r="1206">
          <cell r="J1206">
            <v>731</v>
          </cell>
          <cell r="K1206">
            <v>43136</v>
          </cell>
          <cell r="L1206" t="str">
            <v>ANA MILENA JIMENEZ VARGAS</v>
          </cell>
          <cell r="M1206">
            <v>31</v>
          </cell>
          <cell r="N1206" t="str">
            <v>RESOLUCION</v>
          </cell>
          <cell r="O1206">
            <v>304</v>
          </cell>
          <cell r="P1206">
            <v>43136</v>
          </cell>
          <cell r="Q1206" t="str">
            <v>AYUDA TEMPORAL A LAS FAMILIAS DE VARIAS LOCALIDADES, PARA RELOCALIZACIÓN DE HOGARES LOCALIZADOS EN ZONAS DE ALTO RIESGO NO MITIGABLE ID:2014-OTR-00867, LOCALIDAD:03 SANTA FE, UPZ:96 LOURDES, SECTOR:CASA 1</v>
          </cell>
          <cell r="R1206">
            <v>2550450</v>
          </cell>
          <cell r="S1206">
            <v>425075</v>
          </cell>
          <cell r="T1206">
            <v>0</v>
          </cell>
          <cell r="U1206">
            <v>2125375</v>
          </cell>
          <cell r="V1206">
            <v>2125375</v>
          </cell>
        </row>
        <row r="1207">
          <cell r="J1207">
            <v>732</v>
          </cell>
          <cell r="K1207">
            <v>43136</v>
          </cell>
          <cell r="L1207" t="str">
            <v>MARTHA LILIANA SANCHEZ SANCHEZ</v>
          </cell>
          <cell r="M1207">
            <v>31</v>
          </cell>
          <cell r="N1207" t="str">
            <v>RESOLUCION</v>
          </cell>
          <cell r="O1207">
            <v>305</v>
          </cell>
          <cell r="P1207">
            <v>43136</v>
          </cell>
          <cell r="Q1207" t="str">
            <v>AYUDA TEMPORAL A LAS FAMILIAS DE VARIAS LOCALIDADES, PARA RELOCALIZACIÓN DE HOGARES LOCALIZADOS EN ZONAS DE ALTO RIESGO NO MITIGABLE ID:2011-4-12673, LOCALIDAD:04 SAN CRISTÓBAL, UPZ:32 SAN BLAS</v>
          </cell>
          <cell r="R1207">
            <v>2397348</v>
          </cell>
          <cell r="S1207">
            <v>399558</v>
          </cell>
          <cell r="T1207">
            <v>0</v>
          </cell>
          <cell r="U1207">
            <v>1997790</v>
          </cell>
          <cell r="V1207">
            <v>1997790</v>
          </cell>
        </row>
        <row r="1208">
          <cell r="J1208">
            <v>733</v>
          </cell>
          <cell r="K1208">
            <v>43136</v>
          </cell>
          <cell r="L1208" t="str">
            <v>KAREN NATHALIA RODRIGUEZ MORALES</v>
          </cell>
          <cell r="M1208">
            <v>31</v>
          </cell>
          <cell r="N1208" t="str">
            <v>RESOLUCION</v>
          </cell>
          <cell r="O1208">
            <v>514</v>
          </cell>
          <cell r="P1208">
            <v>43136</v>
          </cell>
          <cell r="Q1208" t="str">
            <v>Asignacion del instrumento financiero a las familias ocupantes del predio que hayan superado la fase de verificacion dentro  del marco del Decreto 457 de 2017. LOCALIDAD: KENNEDY; BARRIO: VEREDITAS; ID: 2017-8-383893</v>
          </cell>
          <cell r="R1208">
            <v>54686940</v>
          </cell>
          <cell r="S1208">
            <v>0</v>
          </cell>
          <cell r="T1208">
            <v>0</v>
          </cell>
          <cell r="U1208">
            <v>54686940</v>
          </cell>
          <cell r="V1208">
            <v>0</v>
          </cell>
        </row>
        <row r="1209">
          <cell r="J1209">
            <v>734</v>
          </cell>
          <cell r="K1209">
            <v>43137</v>
          </cell>
          <cell r="L1209" t="str">
            <v>ORLANDO  COTRINA COTRINA</v>
          </cell>
          <cell r="M1209">
            <v>31</v>
          </cell>
          <cell r="N1209" t="str">
            <v>RESOLUCION</v>
          </cell>
          <cell r="O1209">
            <v>306</v>
          </cell>
          <cell r="P1209">
            <v>43137</v>
          </cell>
          <cell r="Q1209" t="str">
            <v>AYUDA TEMPORAL A LAS FAMILIAS DE VARIAS LOCALIDADES, PARA RELOCALIZACIÓN DE HOGARES LOCALIZADOS EN ZONAS DE ALTO RIESGO NO MITIGABLE ID:2015-Q03-03408, LOCALIDAD:19 CIUDAD BOLÍVAR, UPZ:66 SAN FRANCISCO, SECTOR:LIMAS</v>
          </cell>
          <cell r="R1209">
            <v>2301678</v>
          </cell>
          <cell r="S1209">
            <v>0</v>
          </cell>
          <cell r="T1209">
            <v>0</v>
          </cell>
          <cell r="U1209">
            <v>2301678</v>
          </cell>
          <cell r="V1209">
            <v>1918065</v>
          </cell>
        </row>
        <row r="1210">
          <cell r="J1210">
            <v>735</v>
          </cell>
          <cell r="K1210">
            <v>43137</v>
          </cell>
          <cell r="L1210" t="str">
            <v>SANDRA PATRICIA ADAN</v>
          </cell>
          <cell r="M1210">
            <v>31</v>
          </cell>
          <cell r="N1210" t="str">
            <v>RESOLUCION</v>
          </cell>
          <cell r="O1210">
            <v>307</v>
          </cell>
          <cell r="P1210">
            <v>43137</v>
          </cell>
          <cell r="Q1210" t="str">
            <v>AYUDA TEMPORAL A LAS FAMILIAS DE VARIAS LOCALIDADES, PARA RELOCALIZACIÓN DE HOGARES LOCALIZADOS EN ZONAS DE ALTO RIESGO NO MITIGABLE ID:2014-OTR-00870, LOCALIDAD:03 SANTA FE, UPZ:96 LOURDES, SECTOR:CASA 1</v>
          </cell>
          <cell r="R1210">
            <v>3091308</v>
          </cell>
          <cell r="S1210">
            <v>515218</v>
          </cell>
          <cell r="T1210">
            <v>0</v>
          </cell>
          <cell r="U1210">
            <v>2576090</v>
          </cell>
          <cell r="V1210">
            <v>2576090</v>
          </cell>
        </row>
        <row r="1211">
          <cell r="J1211">
            <v>736</v>
          </cell>
          <cell r="K1211">
            <v>43137</v>
          </cell>
          <cell r="L1211" t="str">
            <v>DAINA JASMIN NAVARRETE</v>
          </cell>
          <cell r="M1211">
            <v>31</v>
          </cell>
          <cell r="N1211" t="str">
            <v>RESOLUCION</v>
          </cell>
          <cell r="O1211">
            <v>308</v>
          </cell>
          <cell r="P1211">
            <v>43137</v>
          </cell>
          <cell r="Q1211" t="str">
            <v>AYUDA TEMPORAL A LAS FAMILIAS DE VARIAS LOCALIDADES, PARA RELOCALIZACIÓN DE HOGARES LOCALIZADOS EN ZONAS DE ALTO RIESGO NO MITIGABLE ID:2014-OTR-00892, LOCALIDAD:03 SANTA FE, UPZ:96 LOURDES, SECTOR:CASA 3</v>
          </cell>
          <cell r="R1211">
            <v>2550450</v>
          </cell>
          <cell r="S1211">
            <v>425075</v>
          </cell>
          <cell r="T1211">
            <v>0</v>
          </cell>
          <cell r="U1211">
            <v>2125375</v>
          </cell>
          <cell r="V1211">
            <v>2125375</v>
          </cell>
        </row>
        <row r="1212">
          <cell r="J1212">
            <v>737</v>
          </cell>
          <cell r="K1212">
            <v>43137</v>
          </cell>
          <cell r="L1212" t="str">
            <v>DORYS MIREYA CAMARGO BUITRAGO</v>
          </cell>
          <cell r="M1212">
            <v>31</v>
          </cell>
          <cell r="N1212" t="str">
            <v>RESOLUCION</v>
          </cell>
          <cell r="O1212">
            <v>309</v>
          </cell>
          <cell r="P1212">
            <v>43137</v>
          </cell>
          <cell r="Q1212" t="str">
            <v>AYUDA TEMPORAL A LAS FAMILIAS DE VARIAS LOCALIDADES, PARA RELOCALIZACIÓN DE HOGARES LOCALIZADOS EN ZONAS DE ALTO RIESGO NO MITIGABLE ID:2011-4-12630, LOCALIDAD:04 SAN CRISTÓBAL, UPZ:32 SAN BLAS</v>
          </cell>
          <cell r="R1212">
            <v>2213148</v>
          </cell>
          <cell r="S1212">
            <v>368858</v>
          </cell>
          <cell r="T1212">
            <v>0</v>
          </cell>
          <cell r="U1212">
            <v>1844290</v>
          </cell>
          <cell r="V1212">
            <v>1844290</v>
          </cell>
        </row>
        <row r="1213">
          <cell r="J1213">
            <v>738</v>
          </cell>
          <cell r="K1213">
            <v>43137</v>
          </cell>
          <cell r="L1213" t="str">
            <v>ANGEL IGNACIO GARZON HERNANDEZ</v>
          </cell>
          <cell r="M1213">
            <v>31</v>
          </cell>
          <cell r="N1213" t="str">
            <v>RESOLUCION</v>
          </cell>
          <cell r="O1213">
            <v>310</v>
          </cell>
          <cell r="P1213">
            <v>43137</v>
          </cell>
          <cell r="Q1213" t="str">
            <v>AYUDA TEMPORAL A LAS FAMILIAS DE VARIAS LOCALIDADES, PARA RELOCALIZACIÓN DE HOGARES LOCALIZADOS EN ZONAS DE ALTO RIESGO NO MITIGABLE ID:2011-4-12704, LOCALIDAD:04 SAN CRISTÓBAL, UPZ:32 SAN BLAS</v>
          </cell>
          <cell r="R1213">
            <v>2213148</v>
          </cell>
          <cell r="S1213">
            <v>368858</v>
          </cell>
          <cell r="T1213">
            <v>0</v>
          </cell>
          <cell r="U1213">
            <v>1844290</v>
          </cell>
          <cell r="V1213">
            <v>1844290</v>
          </cell>
        </row>
        <row r="1214">
          <cell r="J1214">
            <v>739</v>
          </cell>
          <cell r="K1214">
            <v>43137</v>
          </cell>
          <cell r="L1214" t="str">
            <v>MABEL YADIRA ABRIL</v>
          </cell>
          <cell r="M1214">
            <v>31</v>
          </cell>
          <cell r="N1214" t="str">
            <v>RESOLUCION</v>
          </cell>
          <cell r="O1214">
            <v>311</v>
          </cell>
          <cell r="P1214">
            <v>43137</v>
          </cell>
          <cell r="Q1214" t="str">
            <v>AYUDA TEMPORAL A LAS FAMILIAS DE VARIAS LOCALIDADES, PARA RELOCALIZACIÓN DE HOGARES LOCALIZADOS EN ZONAS DE ALTO RIESGO NO MITIGABLE ID:2015-OTR-01307, LOCALIDAD:19 CIUDAD BOLÍVAR, UPZ:68 EL TESORO, SECTOR:QUEBRADA TROMPETA</v>
          </cell>
          <cell r="R1214">
            <v>2975382</v>
          </cell>
          <cell r="S1214">
            <v>495897</v>
          </cell>
          <cell r="T1214">
            <v>0</v>
          </cell>
          <cell r="U1214">
            <v>2479485</v>
          </cell>
          <cell r="V1214">
            <v>2479485</v>
          </cell>
        </row>
        <row r="1215">
          <cell r="J1215">
            <v>740</v>
          </cell>
          <cell r="K1215">
            <v>43137</v>
          </cell>
          <cell r="L1215" t="str">
            <v>YURI ALEJANDRA VISCAYA COPAJITA</v>
          </cell>
          <cell r="M1215">
            <v>31</v>
          </cell>
          <cell r="N1215" t="str">
            <v>RESOLUCION</v>
          </cell>
          <cell r="O1215">
            <v>312</v>
          </cell>
          <cell r="P1215">
            <v>43137</v>
          </cell>
          <cell r="Q1215" t="str">
            <v>AYUDA TEMPORAL A LAS FAMILIAS DE VARIAS LOCALIDADES, PARA RELOCALIZACIÓN DE HOGARES LOCALIZADOS EN ZONAS DE ALTO RIESGO NO MITIGABLE ID:2014-OTR-01214, LOCALIDAD:11 SUBA, UPZ:71 TIBABUYES, SECTOR:GAVILANES</v>
          </cell>
          <cell r="R1215">
            <v>2550450</v>
          </cell>
          <cell r="S1215">
            <v>425075</v>
          </cell>
          <cell r="T1215">
            <v>0</v>
          </cell>
          <cell r="U1215">
            <v>2125375</v>
          </cell>
          <cell r="V1215">
            <v>2125375</v>
          </cell>
        </row>
        <row r="1216">
          <cell r="J1216">
            <v>741</v>
          </cell>
          <cell r="K1216">
            <v>43137</v>
          </cell>
          <cell r="L1216" t="str">
            <v>DIEGO FERNANDO TOCANCIPA CORREA</v>
          </cell>
          <cell r="M1216">
            <v>31</v>
          </cell>
          <cell r="N1216" t="str">
            <v>RESOLUCION</v>
          </cell>
          <cell r="O1216">
            <v>313</v>
          </cell>
          <cell r="P1216">
            <v>43137</v>
          </cell>
          <cell r="Q1216" t="str">
            <v>AYUDA TEMPORAL A LAS FAMILIAS DE VARIAS LOCALIDADES, PARA RELOCALIZACIÓN DE HOGARES LOCALIZADOS EN ZONAS DE ALTO RIESGO NO MITIGABLE ID:2016-4-00007, LOCALIDAD:04 SAN CRISTÓBAL, UPZ:32 SAN BLAS, SECTOR:TRIANGULO ALTO</v>
          </cell>
          <cell r="R1216">
            <v>2788572</v>
          </cell>
          <cell r="S1216">
            <v>0</v>
          </cell>
          <cell r="T1216">
            <v>0</v>
          </cell>
          <cell r="U1216">
            <v>2788572</v>
          </cell>
          <cell r="V1216">
            <v>2323810</v>
          </cell>
        </row>
        <row r="1217">
          <cell r="J1217">
            <v>742</v>
          </cell>
          <cell r="K1217">
            <v>43137</v>
          </cell>
          <cell r="L1217" t="str">
            <v>LEONARDO FABIO ROJAS PEREZ</v>
          </cell>
          <cell r="M1217">
            <v>31</v>
          </cell>
          <cell r="N1217" t="str">
            <v>RESOLUCION</v>
          </cell>
          <cell r="O1217">
            <v>314</v>
          </cell>
          <cell r="P1217">
            <v>43137</v>
          </cell>
          <cell r="Q1217" t="str">
            <v>AYUDA TEMPORAL A LAS FAMILIAS DE VARIAS LOCALIDADES, PARA RELOCALIZACIÓN DE HOGARES LOCALIZADOS EN ZONAS DE ALTO RIESGO NO MITIGABLE ID:2014-OTR-00894, LOCALIDAD:03 SANTA FE, UPZ:96 LOURDES, SECTOR:CASA 3</v>
          </cell>
          <cell r="R1217">
            <v>3183744</v>
          </cell>
          <cell r="S1217">
            <v>530624</v>
          </cell>
          <cell r="T1217">
            <v>0</v>
          </cell>
          <cell r="U1217">
            <v>2653120</v>
          </cell>
          <cell r="V1217">
            <v>2653120</v>
          </cell>
        </row>
        <row r="1218">
          <cell r="J1218">
            <v>743</v>
          </cell>
          <cell r="K1218">
            <v>43137</v>
          </cell>
          <cell r="L1218" t="str">
            <v>CAMPO ELIAS VELASCO DUARTE</v>
          </cell>
          <cell r="M1218">
            <v>31</v>
          </cell>
          <cell r="N1218" t="str">
            <v>RESOLUCION</v>
          </cell>
          <cell r="O1218">
            <v>315</v>
          </cell>
          <cell r="P1218">
            <v>43137</v>
          </cell>
          <cell r="Q1218" t="str">
            <v>AYUDA TEMPORAL A LAS FAMILIAS DE VARIAS LOCALIDADES, PARA RELOCALIZACIÓN DE HOGARES LOCALIZADOS EN ZONAS DE ALTO RIESGO NO MITIGABLE ID:2014-OTR-01213, LOCALIDAD:11 SUBA, UPZ:71 TIBABUYES, SECTOR:GAVILANES</v>
          </cell>
          <cell r="R1218">
            <v>2586000</v>
          </cell>
          <cell r="S1218">
            <v>431000</v>
          </cell>
          <cell r="T1218">
            <v>0</v>
          </cell>
          <cell r="U1218">
            <v>2155000</v>
          </cell>
          <cell r="V1218">
            <v>2155000</v>
          </cell>
        </row>
        <row r="1219">
          <cell r="J1219">
            <v>744</v>
          </cell>
          <cell r="K1219">
            <v>43137</v>
          </cell>
          <cell r="L1219" t="str">
            <v>ROSA CECILIA LOPEZ PATARROYO</v>
          </cell>
          <cell r="M1219">
            <v>31</v>
          </cell>
          <cell r="N1219" t="str">
            <v>RESOLUCION</v>
          </cell>
          <cell r="O1219">
            <v>316</v>
          </cell>
          <cell r="P1219">
            <v>43137</v>
          </cell>
          <cell r="Q1219" t="str">
            <v>AYUDA TEMPORAL A LAS FAMILIAS DE VARIAS LOCALIDADES, PARA RELOCALIZACIÓN DE HOGARES LOCALIZADOS EN ZONAS DE ALTO RIESGO NO MITIGABLE ID:2014-OTR-00885, LOCALIDAD:03 SANTA FE, UPZ:96 LOURDES, SECTOR:CASA 2</v>
          </cell>
          <cell r="R1219">
            <v>2551518</v>
          </cell>
          <cell r="S1219">
            <v>425253</v>
          </cell>
          <cell r="T1219">
            <v>0</v>
          </cell>
          <cell r="U1219">
            <v>2126265</v>
          </cell>
          <cell r="V1219">
            <v>2126265</v>
          </cell>
        </row>
        <row r="1220">
          <cell r="J1220">
            <v>745</v>
          </cell>
          <cell r="K1220">
            <v>43137</v>
          </cell>
          <cell r="L1220" t="str">
            <v>MARTHA PATRICIA JIMENEZ</v>
          </cell>
          <cell r="M1220">
            <v>31</v>
          </cell>
          <cell r="N1220" t="str">
            <v>RESOLUCION</v>
          </cell>
          <cell r="O1220">
            <v>317</v>
          </cell>
          <cell r="P1220">
            <v>43137</v>
          </cell>
          <cell r="Q1220" t="str">
            <v>AYUDA TEMPORAL A LAS FAMILIAS DE VARIAS LOCALIDADES, PARA RELOCALIZACIÓN DE HOGARES LOCALIZADOS EN ZONAS DE ALTO RIESGO NO MITIGABLE ID:2007-2-10155, LOCALIDAD:02 CHAPINERO, UPZ:89 SAN ISIDRO PATIOS</v>
          </cell>
          <cell r="R1220">
            <v>2586000</v>
          </cell>
          <cell r="S1220">
            <v>431000</v>
          </cell>
          <cell r="T1220">
            <v>0</v>
          </cell>
          <cell r="U1220">
            <v>2155000</v>
          </cell>
          <cell r="V1220">
            <v>2155000</v>
          </cell>
        </row>
        <row r="1221">
          <cell r="J1221">
            <v>746</v>
          </cell>
          <cell r="K1221">
            <v>43137</v>
          </cell>
          <cell r="L1221" t="str">
            <v>MORELIA  CANO</v>
          </cell>
          <cell r="M1221">
            <v>31</v>
          </cell>
          <cell r="N1221" t="str">
            <v>RESOLUCION</v>
          </cell>
          <cell r="O1221">
            <v>318</v>
          </cell>
          <cell r="P1221">
            <v>43137</v>
          </cell>
          <cell r="Q1221" t="str">
            <v>AYUDA TEMPORAL A LAS FAMILIAS DE VARIAS LOCALIDADES, PARA RELOCALIZACIÓN DE HOGARES LOCALIZADOS EN ZONAS DE ALTO RIESGO NO MITIGABLE ID:2011-4-12639, LOCALIDAD:04 SAN CRISTÓBAL, UPZ:32 SAN BLAS</v>
          </cell>
          <cell r="R1221">
            <v>2213148</v>
          </cell>
          <cell r="S1221">
            <v>368858</v>
          </cell>
          <cell r="T1221">
            <v>0</v>
          </cell>
          <cell r="U1221">
            <v>1844290</v>
          </cell>
          <cell r="V1221">
            <v>1844290</v>
          </cell>
        </row>
        <row r="1222">
          <cell r="J1222">
            <v>747</v>
          </cell>
          <cell r="K1222">
            <v>43137</v>
          </cell>
          <cell r="L1222" t="str">
            <v>DORIS ALICIA MARIÑO URIBE</v>
          </cell>
          <cell r="M1222">
            <v>31</v>
          </cell>
          <cell r="N1222" t="str">
            <v>RESOLUCION</v>
          </cell>
          <cell r="O1222">
            <v>319</v>
          </cell>
          <cell r="P1222">
            <v>43137</v>
          </cell>
          <cell r="Q1222" t="str">
            <v>AYUDA TEMPORAL A LAS FAMILIAS DE VARIAS LOCALIDADES, PARA RELOCALIZACIÓN DE HOGARES LOCALIZADOS EN ZONAS DE ALTO RIESGO NO MITIGABLE ID:2005-4-6467, LOCALIDAD:04 SAN CRISTÓBAL, UPZ:51 LOS LIBERTADORES</v>
          </cell>
          <cell r="R1222">
            <v>2301678</v>
          </cell>
          <cell r="S1222">
            <v>383613</v>
          </cell>
          <cell r="T1222">
            <v>0</v>
          </cell>
          <cell r="U1222">
            <v>1918065</v>
          </cell>
          <cell r="V1222">
            <v>1918065</v>
          </cell>
        </row>
        <row r="1223">
          <cell r="J1223">
            <v>748</v>
          </cell>
          <cell r="K1223">
            <v>43137</v>
          </cell>
          <cell r="L1223" t="str">
            <v>ANGELINA  CARRILLO LASSO</v>
          </cell>
          <cell r="M1223">
            <v>31</v>
          </cell>
          <cell r="N1223" t="str">
            <v>RESOLUCION</v>
          </cell>
          <cell r="O1223">
            <v>320</v>
          </cell>
          <cell r="P1223">
            <v>43137</v>
          </cell>
          <cell r="Q1223" t="str">
            <v>AYUDA TEMPORAL A LAS FAMILIAS DE VARIAS LOCALIDADES, PARA RELOCALIZACIÓN DE HOGARES LOCALIZADOS EN ZONAS DE ALTO RIESGO NO MITIGABLE ID:2014-Q03-01007, LOCALIDAD:19 CIUDAD BOLÍVAR, UPZ:66 SAN FRANCISCO, SECTOR:LIMAS</v>
          </cell>
          <cell r="R1223">
            <v>2706270</v>
          </cell>
          <cell r="S1223">
            <v>451045</v>
          </cell>
          <cell r="T1223">
            <v>0</v>
          </cell>
          <cell r="U1223">
            <v>2255225</v>
          </cell>
          <cell r="V1223">
            <v>2255225</v>
          </cell>
        </row>
        <row r="1224">
          <cell r="J1224">
            <v>749</v>
          </cell>
          <cell r="K1224">
            <v>43137</v>
          </cell>
          <cell r="L1224" t="str">
            <v>LUIS ALFREDO RODRIGUEZ GAVILAN</v>
          </cell>
          <cell r="M1224">
            <v>31</v>
          </cell>
          <cell r="N1224" t="str">
            <v>RESOLUCION</v>
          </cell>
          <cell r="O1224">
            <v>321</v>
          </cell>
          <cell r="P1224">
            <v>43137</v>
          </cell>
          <cell r="Q1224" t="str">
            <v>AYUDA TEMPORAL A LAS FAMILIAS DE VARIAS LOCALIDADES, PARA RELOCALIZACIÓN DE HOGARES LOCALIZADOS EN ZONAS DE ALTO RIESGO NO MITIGABLE ID:2015-OTR-01446, LOCALIDAD:02 CHAPINERO, UPZ:90 PARDO RUBIO</v>
          </cell>
          <cell r="R1224">
            <v>2586000</v>
          </cell>
          <cell r="S1224">
            <v>0</v>
          </cell>
          <cell r="T1224">
            <v>0</v>
          </cell>
          <cell r="U1224">
            <v>2586000</v>
          </cell>
          <cell r="V1224">
            <v>1724000</v>
          </cell>
        </row>
        <row r="1225">
          <cell r="J1225">
            <v>750</v>
          </cell>
          <cell r="K1225">
            <v>43137</v>
          </cell>
          <cell r="L1225" t="str">
            <v>HUMBERTO  VELANDIA</v>
          </cell>
          <cell r="M1225">
            <v>31</v>
          </cell>
          <cell r="N1225" t="str">
            <v>RESOLUCION</v>
          </cell>
          <cell r="O1225">
            <v>331</v>
          </cell>
          <cell r="P1225">
            <v>43137</v>
          </cell>
          <cell r="Q1225" t="str">
            <v>AYUDA TEMPORAL A LAS FAMILIAS DE VARIAS LOCALIDADES, PARA RELOCALIZACIÓN DE HOGARES LOCALIZADOS EN ZONAS DE ALTO RIESGO NO MITIGABLE ID:2013000176, LOCALIDAD:04 SAN CRISTÓBAL, UPZ:51 LOS LIBERTADORES, SECTOR:QUEBRADA VEREJONES</v>
          </cell>
          <cell r="R1225">
            <v>3563175</v>
          </cell>
          <cell r="S1225">
            <v>0</v>
          </cell>
          <cell r="T1225">
            <v>0</v>
          </cell>
          <cell r="U1225">
            <v>3563175</v>
          </cell>
          <cell r="V1225">
            <v>2036100</v>
          </cell>
        </row>
        <row r="1226">
          <cell r="J1226">
            <v>751</v>
          </cell>
          <cell r="K1226">
            <v>43137</v>
          </cell>
          <cell r="L1226" t="str">
            <v>GLADYS  JOAQUI DIAZ</v>
          </cell>
          <cell r="M1226">
            <v>31</v>
          </cell>
          <cell r="N1226" t="str">
            <v>RESOLUCION</v>
          </cell>
          <cell r="O1226">
            <v>322</v>
          </cell>
          <cell r="P1226">
            <v>43137</v>
          </cell>
          <cell r="Q1226" t="str">
            <v>AYUDA TEMPORAL A LAS FAMILIAS DE VARIAS LOCALIDADES, PARA RELOCALIZACIÓN DE HOGARES LOCALIZADOS EN ZONAS DE ALTO RIESGO NO MITIGABLE ID:2002-4-2711, LOCALIDAD:04 SAN CRISTÓBAL, UPZ:32 SAN BLAS</v>
          </cell>
          <cell r="R1226">
            <v>2899932</v>
          </cell>
          <cell r="S1226">
            <v>483322</v>
          </cell>
          <cell r="T1226">
            <v>0</v>
          </cell>
          <cell r="U1226">
            <v>2416610</v>
          </cell>
          <cell r="V1226">
            <v>2416610</v>
          </cell>
        </row>
        <row r="1227">
          <cell r="J1227">
            <v>752</v>
          </cell>
          <cell r="K1227">
            <v>43137</v>
          </cell>
          <cell r="L1227" t="str">
            <v>JOSE IGNACIO TORRES HORTA</v>
          </cell>
          <cell r="M1227">
            <v>31</v>
          </cell>
          <cell r="N1227" t="str">
            <v>RESOLUCION</v>
          </cell>
          <cell r="O1227">
            <v>520</v>
          </cell>
          <cell r="P1227">
            <v>43137</v>
          </cell>
          <cell r="Q1227" t="str">
            <v>VUR de la actual vigencia de acuerdo con el Decreto 255 de 2013. LOCALIDAD: CIUDAD BOLIVAR; BARRIO:EL MIRADOR 3; ID: 2017-19-14976</v>
          </cell>
          <cell r="R1227">
            <v>39062100</v>
          </cell>
          <cell r="S1227">
            <v>0</v>
          </cell>
          <cell r="T1227">
            <v>0</v>
          </cell>
          <cell r="U1227">
            <v>39062100</v>
          </cell>
          <cell r="V1227">
            <v>39062100</v>
          </cell>
        </row>
        <row r="1228">
          <cell r="J1228">
            <v>759</v>
          </cell>
          <cell r="K1228">
            <v>43137</v>
          </cell>
          <cell r="L1228" t="str">
            <v>FRANKLIN HUMBERTO LEON CASTAÑEDA</v>
          </cell>
          <cell r="M1228">
            <v>31</v>
          </cell>
          <cell r="N1228" t="str">
            <v>RESOLUCION</v>
          </cell>
          <cell r="O1228">
            <v>425</v>
          </cell>
          <cell r="P1228">
            <v>43137</v>
          </cell>
          <cell r="Q1228" t="str">
            <v>AYUDA TEMPORAL A LAS FAMILIAS DE VARIAS LOCALIDADES, PARA RELOCALIZACIÓN DE HOGARES LOCALIZADOS EN ZONAS DE ALTO RIESGO NO MITIGABLE ID:2015-D227-00034, LOCALIDAD:04 SAN CRISTÓBAL, UPZ:51 LOS LIBERTADORES, SECTOR:SANTA TERESITA</v>
          </cell>
          <cell r="R1228">
            <v>4687452</v>
          </cell>
          <cell r="S1228">
            <v>0</v>
          </cell>
          <cell r="T1228">
            <v>0</v>
          </cell>
          <cell r="U1228">
            <v>4687452</v>
          </cell>
          <cell r="V1228">
            <v>2343726</v>
          </cell>
        </row>
        <row r="1229">
          <cell r="J1229">
            <v>760</v>
          </cell>
          <cell r="K1229">
            <v>43137</v>
          </cell>
          <cell r="L1229" t="str">
            <v>MARIA EUGENIA BELTRAN HERNANDEZ</v>
          </cell>
          <cell r="M1229">
            <v>31</v>
          </cell>
          <cell r="N1229" t="str">
            <v>RESOLUCION</v>
          </cell>
          <cell r="O1229">
            <v>426</v>
          </cell>
          <cell r="P1229">
            <v>43137</v>
          </cell>
          <cell r="Q1229" t="str">
            <v>AYUDA TEMPORAL A LAS FAMILIAS DE VARIAS LOCALIDADES, PARA RELOCALIZACIÓN DE HOGARES LOCALIZADOS EN ZONAS DE ALTO RIESGO NO MITIGABLE ID:2011-4-12654, LOCALIDAD:04 SAN CRISTÓBAL, UPZ:32 SAN BLAS</v>
          </cell>
          <cell r="R1229">
            <v>3233538</v>
          </cell>
          <cell r="S1229">
            <v>461934</v>
          </cell>
          <cell r="T1229">
            <v>0</v>
          </cell>
          <cell r="U1229">
            <v>2771604</v>
          </cell>
          <cell r="V1229">
            <v>2771604</v>
          </cell>
        </row>
        <row r="1230">
          <cell r="J1230">
            <v>761</v>
          </cell>
          <cell r="K1230">
            <v>43137</v>
          </cell>
          <cell r="L1230" t="str">
            <v>JEISSON EDUARDO ESPITIA SAGANOME</v>
          </cell>
          <cell r="M1230">
            <v>31</v>
          </cell>
          <cell r="N1230" t="str">
            <v>RESOLUCION</v>
          </cell>
          <cell r="O1230">
            <v>427</v>
          </cell>
          <cell r="P1230">
            <v>43137</v>
          </cell>
          <cell r="Q1230" t="str">
            <v>AYUDA TEMPORAL A LAS FAMILIAS DE VARIAS LOCALIDADES, PARA RELOCALIZACIÓN DE HOGARES LOCALIZADOS EN ZONAS DE ALTO RIESGO NO MITIGABLE ID:2014-OTR-01132, LOCALIDAD:11 SUBA, UPZ:71 TIBABUYES, SECTOR:GAVILANES</v>
          </cell>
          <cell r="R1230">
            <v>2582006</v>
          </cell>
          <cell r="S1230">
            <v>0</v>
          </cell>
          <cell r="T1230">
            <v>0</v>
          </cell>
          <cell r="U1230">
            <v>2582006</v>
          </cell>
          <cell r="V1230">
            <v>1106574</v>
          </cell>
        </row>
        <row r="1231">
          <cell r="J1231">
            <v>762</v>
          </cell>
          <cell r="K1231">
            <v>43137</v>
          </cell>
          <cell r="L1231" t="str">
            <v>RUBELIA  JARAMILLO ATEHORTUA</v>
          </cell>
          <cell r="M1231">
            <v>31</v>
          </cell>
          <cell r="N1231" t="str">
            <v>RESOLUCION</v>
          </cell>
          <cell r="O1231">
            <v>428</v>
          </cell>
          <cell r="P1231">
            <v>43137</v>
          </cell>
          <cell r="Q1231" t="str">
            <v>AYUDA TEMPORAL A LAS FAMILIAS DE VARIAS LOCALIDADES, PARA RELOCALIZACIÓN DE HOGARES LOCALIZADOS EN ZONAS DE ALTO RIESGO NO MITIGABLE ID:2014-C01-00687, LOCALIDAD:19 CIUDAD BOLÍVAR, UPZ:68 EL TESORO</v>
          </cell>
          <cell r="R1231">
            <v>2846046</v>
          </cell>
          <cell r="S1231">
            <v>406578</v>
          </cell>
          <cell r="T1231">
            <v>0</v>
          </cell>
          <cell r="U1231">
            <v>2439468</v>
          </cell>
          <cell r="V1231">
            <v>2439468</v>
          </cell>
        </row>
        <row r="1232">
          <cell r="J1232">
            <v>763</v>
          </cell>
          <cell r="K1232">
            <v>43137</v>
          </cell>
          <cell r="L1232" t="str">
            <v>EDWAR DAVID CANDUCHO TAPIERO</v>
          </cell>
          <cell r="M1232">
            <v>31</v>
          </cell>
          <cell r="N1232" t="str">
            <v>RESOLUCION</v>
          </cell>
          <cell r="O1232">
            <v>429</v>
          </cell>
          <cell r="P1232">
            <v>43137</v>
          </cell>
          <cell r="Q1232" t="str">
            <v>AYUDA TEMPORAL A LAS FAMILIAS DE VARIAS LOCALIDADES, PARA RELOCALIZACIÓN DE HOGARES LOCALIZADOS EN ZONAS DE ALTO RIESGO NO MITIGABLE ID:2006-19-8409, LOCALIDAD:19 CIUDAD BOLÍVAR, UPZ:67 LUCERO</v>
          </cell>
          <cell r="R1232">
            <v>6032013</v>
          </cell>
          <cell r="S1232">
            <v>0</v>
          </cell>
          <cell r="T1232">
            <v>0</v>
          </cell>
          <cell r="U1232">
            <v>6032013</v>
          </cell>
          <cell r="V1232">
            <v>3248007</v>
          </cell>
        </row>
        <row r="1233">
          <cell r="J1233">
            <v>764</v>
          </cell>
          <cell r="K1233">
            <v>43137</v>
          </cell>
          <cell r="L1233" t="str">
            <v>SANDRA JAKELINE FORERO</v>
          </cell>
          <cell r="M1233">
            <v>31</v>
          </cell>
          <cell r="N1233" t="str">
            <v>RESOLUCION</v>
          </cell>
          <cell r="O1233">
            <v>372</v>
          </cell>
          <cell r="P1233">
            <v>43137</v>
          </cell>
          <cell r="Q1233" t="str">
            <v>AYUDA TEMPORAL A LAS FAMILIAS DE VARIAS LOCALIDADES, PARA RELOCALIZACIÓN DE HOGARES LOCALIZADOS EN ZONAS DE ALTO RIESGO NO MITIGABLE ID:2016-08-14822, LOCALIDAD:08 KENNEDY, UPZ:82 PATIO BONITO, SECTOR:PALMITAS</v>
          </cell>
          <cell r="R1233">
            <v>6086168</v>
          </cell>
          <cell r="S1233">
            <v>0</v>
          </cell>
          <cell r="T1233">
            <v>0</v>
          </cell>
          <cell r="U1233">
            <v>6086168</v>
          </cell>
          <cell r="V1233">
            <v>3873016</v>
          </cell>
        </row>
        <row r="1234">
          <cell r="J1234">
            <v>765</v>
          </cell>
          <cell r="K1234">
            <v>43137</v>
          </cell>
          <cell r="L1234" t="str">
            <v>PASTOR  ALBARRACIN ALBARRACIN</v>
          </cell>
          <cell r="M1234">
            <v>31</v>
          </cell>
          <cell r="N1234" t="str">
            <v>RESOLUCION</v>
          </cell>
          <cell r="O1234">
            <v>373</v>
          </cell>
          <cell r="P1234">
            <v>43137</v>
          </cell>
          <cell r="Q1234" t="str">
            <v>AYUDA TEMPORAL A LAS FAMILIAS DE VARIAS LOCALIDADES, PARA RELOCALIZACIÓN DE HOGARES LOCALIZADOS EN ZONAS DE ALTO RIESGO NO MITIGABLE ID:2011-19-13698, LOCALIDAD:19 CIUDAD BOLÍVAR, UPZ:67 LUCERO</v>
          </cell>
          <cell r="R1234">
            <v>5108857</v>
          </cell>
          <cell r="S1234">
            <v>0</v>
          </cell>
          <cell r="T1234">
            <v>0</v>
          </cell>
          <cell r="U1234">
            <v>5108857</v>
          </cell>
          <cell r="V1234">
            <v>2750923</v>
          </cell>
        </row>
        <row r="1235">
          <cell r="J1235">
            <v>766</v>
          </cell>
          <cell r="K1235">
            <v>43137</v>
          </cell>
          <cell r="L1235" t="str">
            <v>FLOR MYRIAM CORREA CORREA</v>
          </cell>
          <cell r="M1235">
            <v>31</v>
          </cell>
          <cell r="N1235" t="str">
            <v>RESOLUCION</v>
          </cell>
          <cell r="O1235">
            <v>374</v>
          </cell>
          <cell r="P1235">
            <v>43137</v>
          </cell>
          <cell r="Q1235" t="str">
            <v>AYUDA TEMPORAL A LAS FAMILIAS DE VARIAS LOCALIDADES, PARA RELOCALIZACIÓN DE HOGARES LOCALIZADOS EN ZONAS DE ALTO RIESGO NO MITIGABLE ID:2013-Q04-00757, LOCALIDAD:19 CIUDAD BOLÍVAR, UPZ:67 LUCERO, SECTOR:PEÑA COLORADA</v>
          </cell>
          <cell r="R1235">
            <v>3619000</v>
          </cell>
          <cell r="S1235">
            <v>517000</v>
          </cell>
          <cell r="T1235">
            <v>0</v>
          </cell>
          <cell r="U1235">
            <v>3102000</v>
          </cell>
          <cell r="V1235">
            <v>3102000</v>
          </cell>
        </row>
        <row r="1236">
          <cell r="J1236">
            <v>767</v>
          </cell>
          <cell r="K1236">
            <v>43137</v>
          </cell>
          <cell r="L1236" t="str">
            <v>JUAN DAVID LOPEZ</v>
          </cell>
          <cell r="M1236">
            <v>31</v>
          </cell>
          <cell r="N1236" t="str">
            <v>RESOLUCION</v>
          </cell>
          <cell r="O1236">
            <v>375</v>
          </cell>
          <cell r="P1236">
            <v>43137</v>
          </cell>
          <cell r="Q1236" t="str">
            <v>AYUDA TEMPORAL A LAS FAMILIAS DE VARIAS LOCALIDADES, PARA RELOCALIZACIÓN DE HOGARES LOCALIZADOS EN ZONAS DE ALTO RIESGO NO MITIGABLE ID:2012-19-13786, LOCALIDAD:19 CIUDAD BOLÍVAR, UPZ:67 LUCERO</v>
          </cell>
          <cell r="R1236">
            <v>2924376</v>
          </cell>
          <cell r="S1236">
            <v>417768</v>
          </cell>
          <cell r="T1236">
            <v>0</v>
          </cell>
          <cell r="U1236">
            <v>2506608</v>
          </cell>
          <cell r="V1236">
            <v>2506608</v>
          </cell>
        </row>
        <row r="1237">
          <cell r="J1237">
            <v>768</v>
          </cell>
          <cell r="K1237">
            <v>43137</v>
          </cell>
          <cell r="L1237" t="str">
            <v>ORFILIA  LEON BAQUERO</v>
          </cell>
          <cell r="M1237">
            <v>31</v>
          </cell>
          <cell r="N1237" t="str">
            <v>RESOLUCION</v>
          </cell>
          <cell r="O1237">
            <v>376</v>
          </cell>
          <cell r="P1237">
            <v>43137</v>
          </cell>
          <cell r="Q1237" t="str">
            <v>AYUDA TEMPORAL A LAS FAMILIAS DE VARIAS LOCALIDADES, PARA RELOCALIZACIÓN DE HOGARES LOCALIZADOS EN ZONAS DE ALTO RIESGO NO MITIGABLE ID:2016-08-14816, LOCALIDAD:08 KENNEDY, UPZ:82 PATIO BONITO, SECTOR:PALMITAS</v>
          </cell>
          <cell r="R1237">
            <v>2840208</v>
          </cell>
          <cell r="S1237">
            <v>0</v>
          </cell>
          <cell r="T1237">
            <v>0</v>
          </cell>
          <cell r="U1237">
            <v>2840208</v>
          </cell>
          <cell r="V1237">
            <v>2434464</v>
          </cell>
        </row>
        <row r="1238">
          <cell r="J1238">
            <v>769</v>
          </cell>
          <cell r="K1238">
            <v>43137</v>
          </cell>
          <cell r="L1238" t="str">
            <v>ADRIANA  BARRANTES GONZALEZ</v>
          </cell>
          <cell r="M1238">
            <v>31</v>
          </cell>
          <cell r="N1238" t="str">
            <v>RESOLUCION</v>
          </cell>
          <cell r="O1238">
            <v>377</v>
          </cell>
          <cell r="P1238">
            <v>43137</v>
          </cell>
          <cell r="Q1238" t="str">
            <v>AYUDA TEMPORAL A LAS FAMILIAS DE VARIAS LOCALIDADES, PARA RELOCALIZACIÓN DE HOGARES LOCALIZADOS EN ZONAS DE ALTO RIESGO NO MITIGABLE ID:2008-4-10899, LOCALIDAD:04 SAN CRISTÓBAL, UPZ:32 SAN BLAS</v>
          </cell>
          <cell r="R1238">
            <v>6713226</v>
          </cell>
          <cell r="S1238">
            <v>0</v>
          </cell>
          <cell r="T1238">
            <v>0</v>
          </cell>
          <cell r="U1238">
            <v>6713226</v>
          </cell>
          <cell r="V1238">
            <v>3614814</v>
          </cell>
        </row>
        <row r="1239">
          <cell r="J1239">
            <v>770</v>
          </cell>
          <cell r="K1239">
            <v>43137</v>
          </cell>
          <cell r="L1239" t="str">
            <v>CLARA INES ARGUELLO CAMARGO</v>
          </cell>
          <cell r="M1239">
            <v>31</v>
          </cell>
          <cell r="N1239" t="str">
            <v>RESOLUCION</v>
          </cell>
          <cell r="O1239">
            <v>378</v>
          </cell>
          <cell r="P1239">
            <v>43137</v>
          </cell>
          <cell r="Q1239" t="str">
            <v>AYUDA TEMPORAL A LAS FAMILIAS DE VARIAS LOCALIDADES, PARA RELOCALIZACIÓN DE HOGARES LOCALIZADOS EN ZONAS DE ALTO RIESGO NO MITIGABLE ID:2015-Q09-03240, LOCALIDAD:19 CIUDAD BOLÍVAR, UPZ:68 EL TESORO, SECTOR:LA TROMPETA</v>
          </cell>
          <cell r="R1239">
            <v>4382037</v>
          </cell>
          <cell r="S1239">
            <v>0</v>
          </cell>
          <cell r="T1239">
            <v>0</v>
          </cell>
          <cell r="U1239">
            <v>4382037</v>
          </cell>
          <cell r="V1239">
            <v>2788569</v>
          </cell>
        </row>
        <row r="1240">
          <cell r="J1240">
            <v>771</v>
          </cell>
          <cell r="K1240">
            <v>43137</v>
          </cell>
          <cell r="L1240" t="str">
            <v>KATERINE  ROMERO GALLEGO</v>
          </cell>
          <cell r="M1240">
            <v>31</v>
          </cell>
          <cell r="N1240" t="str">
            <v>RESOLUCION</v>
          </cell>
          <cell r="O1240">
            <v>379</v>
          </cell>
          <cell r="P1240">
            <v>43137</v>
          </cell>
          <cell r="Q1240" t="str">
            <v>AYUDA TEMPORAL A LAS FAMILIAS DE VARIAS LOCALIDADES, PARA RELOCALIZACIÓN DE HOGARES LOCALIZADOS EN ZONAS DE ALTO RIESGO NO MITIGABLE ID:2016-08-14826, LOCALIDAD:08 KENNEDY, UPZ:82 PATIO BONITO, SECTOR:PALMITAS</v>
          </cell>
          <cell r="R1240">
            <v>3614814</v>
          </cell>
          <cell r="S1240">
            <v>0</v>
          </cell>
          <cell r="T1240">
            <v>0</v>
          </cell>
          <cell r="U1240">
            <v>3614814</v>
          </cell>
          <cell r="V1240">
            <v>3098412</v>
          </cell>
        </row>
        <row r="1241">
          <cell r="J1241">
            <v>772</v>
          </cell>
          <cell r="K1241">
            <v>43137</v>
          </cell>
          <cell r="L1241" t="str">
            <v>MARTHA LUCIA MARTIN RESTREPO</v>
          </cell>
          <cell r="M1241">
            <v>31</v>
          </cell>
          <cell r="N1241" t="str">
            <v>RESOLUCION</v>
          </cell>
          <cell r="O1241">
            <v>380</v>
          </cell>
          <cell r="P1241">
            <v>43137</v>
          </cell>
          <cell r="Q1241" t="str">
            <v>AYUDA TEMPORAL A LAS FAMILIAS DE VARIAS LOCALIDADES, PARA RELOCALIZACIÓN DE HOGARES LOCALIZADOS EN ZONAS DE ALTO RIESGO NO MITIGABLE ID:2013000534, LOCALIDAD:19 CIUDAD BOLÍVAR, UPZ:67 LUCERO, SECTOR:QUEBRADA TROMPETA</v>
          </cell>
          <cell r="R1241">
            <v>5285280</v>
          </cell>
          <cell r="S1241">
            <v>0</v>
          </cell>
          <cell r="T1241">
            <v>0</v>
          </cell>
          <cell r="U1241">
            <v>5285280</v>
          </cell>
          <cell r="V1241">
            <v>2845920</v>
          </cell>
        </row>
        <row r="1242">
          <cell r="J1242">
            <v>773</v>
          </cell>
          <cell r="K1242">
            <v>43137</v>
          </cell>
          <cell r="L1242" t="str">
            <v>JOSE MILCIADES SALCEDO</v>
          </cell>
          <cell r="M1242">
            <v>31</v>
          </cell>
          <cell r="N1242" t="str">
            <v>RESOLUCION</v>
          </cell>
          <cell r="O1242">
            <v>381</v>
          </cell>
          <cell r="P1242">
            <v>43137</v>
          </cell>
          <cell r="Q1242" t="str">
            <v>AYUDA TEMPORAL A LAS FAMILIAS DE VARIAS LOCALIDADES, PARA RELOCALIZACIÓN DE HOGARES LOCALIZADOS EN ZONAS DE ALTO RIESGO NO MITIGABLE ID:2013000301, LOCALIDAD:19 CIUDAD BOLÍVAR, UPZ:67 LUCERO, SECTOR:QUEBRADA TROMPETA</v>
          </cell>
          <cell r="R1242">
            <v>5603000</v>
          </cell>
          <cell r="S1242">
            <v>0</v>
          </cell>
          <cell r="T1242">
            <v>0</v>
          </cell>
          <cell r="U1242">
            <v>5603000</v>
          </cell>
          <cell r="V1242">
            <v>3017000</v>
          </cell>
        </row>
        <row r="1243">
          <cell r="J1243">
            <v>774</v>
          </cell>
          <cell r="K1243">
            <v>43137</v>
          </cell>
          <cell r="L1243" t="str">
            <v>CARMENZA  GIL OLAYA</v>
          </cell>
          <cell r="M1243">
            <v>31</v>
          </cell>
          <cell r="N1243" t="str">
            <v>RESOLUCION</v>
          </cell>
          <cell r="O1243">
            <v>382</v>
          </cell>
          <cell r="P1243">
            <v>43137</v>
          </cell>
          <cell r="Q1243" t="str">
            <v>AYUDA TEMPORAL A LAS FAMILIAS DE VARIAS LOCALIDADES, PARA RELOCALIZACIÓN DE HOGARES LOCALIZADOS EN ZONAS DE ALTO RIESGO NO MITIGABLE ID:2016-08-14848, LOCALIDAD:08 KENNEDY, UPZ:82 PATIO BONITO, SECTOR:PALMITAS</v>
          </cell>
          <cell r="R1243">
            <v>7672262</v>
          </cell>
          <cell r="S1243">
            <v>0</v>
          </cell>
          <cell r="T1243">
            <v>0</v>
          </cell>
          <cell r="U1243">
            <v>7672262</v>
          </cell>
          <cell r="V1243">
            <v>4131218</v>
          </cell>
        </row>
        <row r="1244">
          <cell r="J1244">
            <v>775</v>
          </cell>
          <cell r="K1244">
            <v>43137</v>
          </cell>
          <cell r="L1244" t="str">
            <v>MARIELA  BARRAGAN</v>
          </cell>
          <cell r="M1244">
            <v>31</v>
          </cell>
          <cell r="N1244" t="str">
            <v>RESOLUCION</v>
          </cell>
          <cell r="O1244">
            <v>383</v>
          </cell>
          <cell r="P1244">
            <v>43137</v>
          </cell>
          <cell r="Q1244" t="str">
            <v>AYUDA TEMPORAL A LAS FAMILIAS DE VARIAS LOCALIDADES, PARA RELOCALIZACIÓN DE HOGARES LOCALIZADOS EN ZONAS DE ALTO RIESGO NO MITIGABLE ID:1999-2-3027, LOCALIDAD:02 CHAPINERO, UPZ:89 SAN ISIDRO PATIOS</v>
          </cell>
          <cell r="R1244">
            <v>5285280</v>
          </cell>
          <cell r="S1244">
            <v>0</v>
          </cell>
          <cell r="T1244">
            <v>0</v>
          </cell>
          <cell r="U1244">
            <v>5285280</v>
          </cell>
          <cell r="V1244">
            <v>2845920</v>
          </cell>
        </row>
        <row r="1245">
          <cell r="J1245">
            <v>776</v>
          </cell>
          <cell r="K1245">
            <v>43137</v>
          </cell>
          <cell r="L1245" t="str">
            <v>LUZ ANGELA SUAREZ MUNZA</v>
          </cell>
          <cell r="M1245">
            <v>31</v>
          </cell>
          <cell r="N1245" t="str">
            <v>RESOLUCION</v>
          </cell>
          <cell r="O1245">
            <v>384</v>
          </cell>
          <cell r="P1245">
            <v>43137</v>
          </cell>
          <cell r="Q1245" t="str">
            <v>AYUDA TEMPORAL A LAS FAMILIAS DE VARIAS LOCALIDADES, PARA RELOCALIZACIÓN DE HOGARES LOCALIZADOS EN ZONAS DE ALTO RIESGO NO MITIGABLE ID:2016-08-14895, LOCALIDAD:08 KENNEDY, UPZ:82 PATIO BONITO, SECTOR:PALMITAS</v>
          </cell>
          <cell r="R1245">
            <v>9110803</v>
          </cell>
          <cell r="S1245">
            <v>0</v>
          </cell>
          <cell r="T1245">
            <v>0</v>
          </cell>
          <cell r="U1245">
            <v>9110803</v>
          </cell>
          <cell r="V1245">
            <v>4905817</v>
          </cell>
        </row>
        <row r="1246">
          <cell r="J1246">
            <v>777</v>
          </cell>
          <cell r="K1246">
            <v>43137</v>
          </cell>
          <cell r="L1246" t="str">
            <v>LUZ ALBA PLATA MARTINEZ</v>
          </cell>
          <cell r="M1246">
            <v>31</v>
          </cell>
          <cell r="N1246" t="str">
            <v>RESOLUCION</v>
          </cell>
          <cell r="O1246">
            <v>385</v>
          </cell>
          <cell r="P1246">
            <v>43137</v>
          </cell>
          <cell r="Q1246" t="str">
            <v>AYUDA TEMPORAL A LAS FAMILIAS DE VARIAS LOCALIDADES, PARA RELOCALIZACIÓN DE HOGARES LOCALIZADOS EN ZONAS DE ALTO RIESGO NO MITIGABLE ID:2003-19-5342, LOCALIDAD:19 CIUDAD BOLÍVAR, UPZ:69 ISMAEL PERDOMO, SECTOR:ALTOS DE LA ESTANCIA</v>
          </cell>
          <cell r="R1246">
            <v>6701825</v>
          </cell>
          <cell r="S1246">
            <v>0</v>
          </cell>
          <cell r="T1246">
            <v>0</v>
          </cell>
          <cell r="U1246">
            <v>6701825</v>
          </cell>
          <cell r="V1246">
            <v>3608675</v>
          </cell>
        </row>
        <row r="1247">
          <cell r="J1247">
            <v>778</v>
          </cell>
          <cell r="K1247">
            <v>43138</v>
          </cell>
          <cell r="L1247" t="str">
            <v>ORLANDO  ESTRADA VALENCIA</v>
          </cell>
          <cell r="M1247">
            <v>31</v>
          </cell>
          <cell r="N1247" t="str">
            <v>RESOLUCION</v>
          </cell>
          <cell r="O1247">
            <v>386</v>
          </cell>
          <cell r="P1247">
            <v>43138</v>
          </cell>
          <cell r="Q1247" t="str">
            <v>AYUDA TEMPORAL A LAS FAMILIAS DE VARIAS LOCALIDADES, PARA RELOCALIZACIÓN DE HOGARES LOCALIZADOS EN ZONAS DE ALTO RIESGO NO MITIGABLE ID:2012-ALES-445, LOCALIDAD:19 CIUDAD BOLÍVAR, UPZ:69 ISMAEL PERDOMO, SECTOR:ALTOS DE LA ESTANCIA</v>
          </cell>
          <cell r="R1247">
            <v>6721000</v>
          </cell>
          <cell r="S1247">
            <v>0</v>
          </cell>
          <cell r="T1247">
            <v>0</v>
          </cell>
          <cell r="U1247">
            <v>6721000</v>
          </cell>
          <cell r="V1247">
            <v>3619000</v>
          </cell>
        </row>
        <row r="1248">
          <cell r="J1248">
            <v>779</v>
          </cell>
          <cell r="K1248">
            <v>43138</v>
          </cell>
          <cell r="L1248" t="str">
            <v>ALEXANDER  MERCASA BARCORIZO</v>
          </cell>
          <cell r="M1248">
            <v>31</v>
          </cell>
          <cell r="N1248" t="str">
            <v>RESOLUCION</v>
          </cell>
          <cell r="O1248">
            <v>387</v>
          </cell>
          <cell r="P1248">
            <v>43138</v>
          </cell>
          <cell r="Q1248" t="str">
            <v>AYUDA TEMPORAL A LAS FAMILIAS DE VARIAS LOCALIDADES, PARA RELOCALIZACIÓN DE HOGARES LOCALIZADOS EN ZONAS DE ALTO RIESGO NO MITIGABLE ID:2014-W166-019, LOCALIDAD:19 CIUDAD BOLÍVAR, UPZ:68 EL TESORO, SECTOR:WOUNAAN</v>
          </cell>
          <cell r="R1248">
            <v>7207200</v>
          </cell>
          <cell r="S1248">
            <v>0</v>
          </cell>
          <cell r="T1248">
            <v>0</v>
          </cell>
          <cell r="U1248">
            <v>7207200</v>
          </cell>
          <cell r="V1248">
            <v>3880800</v>
          </cell>
        </row>
        <row r="1249">
          <cell r="J1249">
            <v>780</v>
          </cell>
          <cell r="K1249">
            <v>43138</v>
          </cell>
          <cell r="L1249" t="str">
            <v>ENCARNACION  PEREZ SEGRERA</v>
          </cell>
          <cell r="M1249">
            <v>31</v>
          </cell>
          <cell r="N1249" t="str">
            <v>RESOLUCION</v>
          </cell>
          <cell r="O1249">
            <v>388</v>
          </cell>
          <cell r="P1249">
            <v>43138</v>
          </cell>
          <cell r="Q1249" t="str">
            <v>AYUDA TEMPORAL A LAS FAMILIAS DE VARIAS LOCALIDADES, PARA RELOCALIZACIÓN DE HOGARES LOCALIZADOS EN ZONAS DE ALTO RIESGO NO MITIGABLE ID:2012-19-13839, LOCALIDAD:19 CIUDAD BOLÍVAR, UPZ:67 LUCERO</v>
          </cell>
          <cell r="R1249">
            <v>4942301</v>
          </cell>
          <cell r="S1249">
            <v>0</v>
          </cell>
          <cell r="T1249">
            <v>0</v>
          </cell>
          <cell r="U1249">
            <v>4942301</v>
          </cell>
          <cell r="V1249">
            <v>2661239</v>
          </cell>
        </row>
        <row r="1250">
          <cell r="J1250">
            <v>781</v>
          </cell>
          <cell r="K1250">
            <v>43138</v>
          </cell>
          <cell r="L1250" t="str">
            <v>CLAUDIA MILENA RINCON RICO</v>
          </cell>
          <cell r="M1250">
            <v>31</v>
          </cell>
          <cell r="N1250" t="str">
            <v>RESOLUCION</v>
          </cell>
          <cell r="O1250">
            <v>389</v>
          </cell>
          <cell r="P1250">
            <v>43138</v>
          </cell>
          <cell r="Q1250" t="str">
            <v>AYUDA TEMPORAL A LAS FAMILIAS DE VARIAS LOCALIDADES, PARA RELOCALIZACIÓN DE HOGARES LOCALIZADOS EN ZONAS DE ALTO RIESGO NO MITIGABLE ID:2012-4-14206, LOCALIDAD:04 SAN CRISTÓBAL, UPZ:32 SAN BLAS</v>
          </cell>
          <cell r="R1250">
            <v>4523467</v>
          </cell>
          <cell r="S1250">
            <v>0</v>
          </cell>
          <cell r="T1250">
            <v>0</v>
          </cell>
          <cell r="U1250">
            <v>4523467</v>
          </cell>
          <cell r="V1250">
            <v>2435713</v>
          </cell>
        </row>
        <row r="1251">
          <cell r="J1251">
            <v>782</v>
          </cell>
          <cell r="K1251">
            <v>43138</v>
          </cell>
          <cell r="L1251" t="str">
            <v>LUIS ELIZARDO QUIROGA PEÑA</v>
          </cell>
          <cell r="M1251">
            <v>31</v>
          </cell>
          <cell r="N1251" t="str">
            <v>RESOLUCION</v>
          </cell>
          <cell r="O1251">
            <v>390</v>
          </cell>
          <cell r="P1251">
            <v>43138</v>
          </cell>
          <cell r="Q1251" t="str">
            <v>AYUDA TEMPORAL A LAS FAMILIAS DE VARIAS LOCALIDADES, PARA RELOCALIZACIÓN DE HOGARES LOCALIZADOS EN ZONAS DE ALTO RIESGO NO MITIGABLE ID:2012-18-14355, LOCALIDAD:18 RAFAEL URIBE URIBE, UPZ:55 DIANA TURBAY</v>
          </cell>
          <cell r="R1251">
            <v>2618154</v>
          </cell>
          <cell r="S1251">
            <v>374022</v>
          </cell>
          <cell r="T1251">
            <v>0</v>
          </cell>
          <cell r="U1251">
            <v>2244132</v>
          </cell>
          <cell r="V1251">
            <v>2244132</v>
          </cell>
        </row>
        <row r="1252">
          <cell r="J1252">
            <v>783</v>
          </cell>
          <cell r="K1252">
            <v>43138</v>
          </cell>
          <cell r="L1252" t="str">
            <v>ESTHER JULIA SALAZAR RAMOS</v>
          </cell>
          <cell r="M1252">
            <v>31</v>
          </cell>
          <cell r="N1252" t="str">
            <v>RESOLUCION</v>
          </cell>
          <cell r="O1252">
            <v>391</v>
          </cell>
          <cell r="P1252">
            <v>43138</v>
          </cell>
          <cell r="Q1252" t="str">
            <v>AYUDA TEMPORAL A LAS FAMILIAS DE VARIAS LOCALIDADES, PARA RELOCALIZACIÓN DE HOGARES LOCALIZADOS EN ZONAS DE ALTO RIESGO NO MITIGABLE ID:2011-19-12418, LOCALIDAD:19 CIUDAD BOLÍVAR, UPZ:68 EL TESORO</v>
          </cell>
          <cell r="R1252">
            <v>2919000</v>
          </cell>
          <cell r="S1252">
            <v>417000</v>
          </cell>
          <cell r="T1252">
            <v>0</v>
          </cell>
          <cell r="U1252">
            <v>2502000</v>
          </cell>
          <cell r="V1252">
            <v>2502000</v>
          </cell>
        </row>
        <row r="1253">
          <cell r="J1253">
            <v>784</v>
          </cell>
          <cell r="K1253">
            <v>43138</v>
          </cell>
          <cell r="L1253" t="str">
            <v>NELSON JAVIER REINA DURAN</v>
          </cell>
          <cell r="M1253">
            <v>31</v>
          </cell>
          <cell r="N1253" t="str">
            <v>RESOLUCION</v>
          </cell>
          <cell r="O1253">
            <v>392</v>
          </cell>
          <cell r="P1253">
            <v>43138</v>
          </cell>
          <cell r="Q1253" t="str">
            <v>AYUDA TEMPORAL A LAS FAMILIAS DE VARIAS LOCALIDADES, PARA RELOCALIZACIÓN DE HOGARES LOCALIZADOS EN ZONAS DE ALTO RIESGO NO MITIGABLE ID:2013000325, LOCALIDAD:19 CIUDAD BOLÍVAR, UPZ:67 LUCERO, SECTOR:PEÑA COLORADA</v>
          </cell>
          <cell r="R1253">
            <v>2846046</v>
          </cell>
          <cell r="S1253">
            <v>406578</v>
          </cell>
          <cell r="T1253">
            <v>0</v>
          </cell>
          <cell r="U1253">
            <v>2439468</v>
          </cell>
          <cell r="V1253">
            <v>2439468</v>
          </cell>
        </row>
        <row r="1254">
          <cell r="J1254">
            <v>785</v>
          </cell>
          <cell r="K1254">
            <v>43138</v>
          </cell>
          <cell r="L1254" t="str">
            <v>DILCIA  VALDERRAMA BALLEN</v>
          </cell>
          <cell r="M1254">
            <v>31</v>
          </cell>
          <cell r="N1254" t="str">
            <v>RESOLUCION</v>
          </cell>
          <cell r="O1254">
            <v>393</v>
          </cell>
          <cell r="P1254">
            <v>43138</v>
          </cell>
          <cell r="Q1254" t="str">
            <v>AYUDA TEMPORAL A LAS FAMILIAS DE VARIAS LOCALIDADES, PARA RELOCALIZACIÓN DE HOGARES LOCALIZADOS EN ZONAS DE ALTO RIESGO NO MITIGABLE ID:2007-19-9544, LOCALIDAD:19 CIUDAD BOLÍVAR, UPZ:69 ISMAEL PERDOMO</v>
          </cell>
          <cell r="R1254">
            <v>2845920</v>
          </cell>
          <cell r="S1254">
            <v>406560</v>
          </cell>
          <cell r="T1254">
            <v>0</v>
          </cell>
          <cell r="U1254">
            <v>2439360</v>
          </cell>
          <cell r="V1254">
            <v>2439360</v>
          </cell>
        </row>
        <row r="1255">
          <cell r="J1255">
            <v>786</v>
          </cell>
          <cell r="K1255">
            <v>43138</v>
          </cell>
          <cell r="L1255" t="str">
            <v>SILVIA  GUZMAN PINEDA</v>
          </cell>
          <cell r="M1255">
            <v>31</v>
          </cell>
          <cell r="N1255" t="str">
            <v>RESOLUCION</v>
          </cell>
          <cell r="O1255">
            <v>394</v>
          </cell>
          <cell r="P1255">
            <v>43138</v>
          </cell>
          <cell r="Q1255" t="str">
            <v>AYUDA TEMPORAL A LAS FAMILIAS DE VARIAS LOCALIDADES, PARA RELOCALIZACIÓN DE HOGARES LOCALIZADOS EN ZONAS DE ALTO RIESGO NO MITIGABLE ID:2012-18-14354, LOCALIDAD:18 RAFAEL URIBE URIBE, UPZ:55 DIANA TURBAY</v>
          </cell>
          <cell r="R1255">
            <v>3094182</v>
          </cell>
          <cell r="S1255">
            <v>0</v>
          </cell>
          <cell r="T1255">
            <v>0</v>
          </cell>
          <cell r="U1255">
            <v>3094182</v>
          </cell>
          <cell r="V1255">
            <v>1768104</v>
          </cell>
        </row>
        <row r="1256">
          <cell r="J1256">
            <v>787</v>
          </cell>
          <cell r="K1256">
            <v>43138</v>
          </cell>
          <cell r="L1256" t="str">
            <v>OMAR EDUARDO AREVALO SALINAS</v>
          </cell>
          <cell r="M1256">
            <v>31</v>
          </cell>
          <cell r="N1256" t="str">
            <v>RESOLUCION</v>
          </cell>
          <cell r="O1256">
            <v>395</v>
          </cell>
          <cell r="P1256">
            <v>43138</v>
          </cell>
          <cell r="Q1256" t="str">
            <v>AYUDA TEMPORAL A LAS FAMILIAS DE VARIAS LOCALIDADES, PARA RELOCALIZACIÓN DE HOGARES LOCALIZADOS EN ZONAS DE ALTO RIESGO NO MITIGABLE ID:2012-4-14200, LOCALIDAD:04 SAN CRISTÓBAL, UPZ:32 SAN BLAS</v>
          </cell>
          <cell r="R1256">
            <v>3452517</v>
          </cell>
          <cell r="S1256">
            <v>0</v>
          </cell>
          <cell r="T1256">
            <v>0</v>
          </cell>
          <cell r="U1256">
            <v>3452517</v>
          </cell>
          <cell r="V1256">
            <v>2685291</v>
          </cell>
        </row>
        <row r="1257">
          <cell r="J1257">
            <v>788</v>
          </cell>
          <cell r="K1257">
            <v>43138</v>
          </cell>
          <cell r="L1257" t="str">
            <v>RAFAEL  AREVALO NIÑO</v>
          </cell>
          <cell r="M1257">
            <v>31</v>
          </cell>
          <cell r="N1257" t="str">
            <v>RESOLUCION</v>
          </cell>
          <cell r="O1257">
            <v>396</v>
          </cell>
          <cell r="P1257">
            <v>43138</v>
          </cell>
          <cell r="Q1257" t="str">
            <v>AYUDA TEMPORAL A LAS FAMILIAS DE VARIAS LOCALIDADES, PARA RELOCALIZACIÓN DE HOGARES LOCALIZADOS EN ZONAS DE ALTO RIESGO NO MITIGABLE ID:2011-4-13289, LOCALIDAD:04 SAN CRISTÓBAL, UPZ:32 SAN BLAS</v>
          </cell>
          <cell r="R1257">
            <v>4182858</v>
          </cell>
          <cell r="S1257">
            <v>0</v>
          </cell>
          <cell r="T1257">
            <v>0</v>
          </cell>
          <cell r="U1257">
            <v>4182858</v>
          </cell>
          <cell r="V1257">
            <v>3253334</v>
          </cell>
        </row>
        <row r="1258">
          <cell r="J1258">
            <v>789</v>
          </cell>
          <cell r="K1258">
            <v>43138</v>
          </cell>
          <cell r="L1258" t="str">
            <v>SANDRA PAOLA AREVALO SALINAS</v>
          </cell>
          <cell r="M1258">
            <v>31</v>
          </cell>
          <cell r="N1258" t="str">
            <v>RESOLUCION</v>
          </cell>
          <cell r="O1258">
            <v>397</v>
          </cell>
          <cell r="P1258">
            <v>43138</v>
          </cell>
          <cell r="Q1258" t="str">
            <v>AYUDA TEMPORAL A LAS FAMILIAS DE VARIAS LOCALIDADES, PARA RELOCALIZACIÓN DE HOGARES LOCALIZADOS EN ZONAS DE ALTO RIESGO NO MITIGABLE ID:2012-4-14207, LOCALIDAD:04 SAN CRISTÓBAL, UPZ:32 SAN BLAS</v>
          </cell>
          <cell r="R1258">
            <v>4488264</v>
          </cell>
          <cell r="S1258">
            <v>0</v>
          </cell>
          <cell r="T1258">
            <v>0</v>
          </cell>
          <cell r="U1258">
            <v>4488264</v>
          </cell>
          <cell r="V1258">
            <v>3490872</v>
          </cell>
        </row>
        <row r="1259">
          <cell r="J1259">
            <v>790</v>
          </cell>
          <cell r="K1259">
            <v>43138</v>
          </cell>
          <cell r="L1259" t="str">
            <v>BLANCA LIBIA VANEGAS MARTINEZ</v>
          </cell>
          <cell r="M1259">
            <v>31</v>
          </cell>
          <cell r="N1259" t="str">
            <v>RESOLUCION</v>
          </cell>
          <cell r="O1259">
            <v>398</v>
          </cell>
          <cell r="P1259">
            <v>43138</v>
          </cell>
          <cell r="Q1259" t="str">
            <v>AYUDA TEMPORAL A LAS FAMILIAS DE VARIAS LOCALIDADES, PARA RELOCALIZACIÓN DE HOGARES LOCALIZADOS EN ZONAS DE ALTO RIESGO NO MITIGABLE ID:2013000185, LOCALIDAD:04 SAN CRISTÓBAL, UPZ:51 LOS LIBERTADORES, SECTOR:QUEBRADA VEREJONES</v>
          </cell>
          <cell r="R1259">
            <v>4324320</v>
          </cell>
          <cell r="S1259">
            <v>0</v>
          </cell>
          <cell r="T1259">
            <v>0</v>
          </cell>
          <cell r="U1259">
            <v>4324320</v>
          </cell>
          <cell r="V1259">
            <v>3363360</v>
          </cell>
        </row>
        <row r="1260">
          <cell r="J1260">
            <v>791</v>
          </cell>
          <cell r="K1260">
            <v>43138</v>
          </cell>
          <cell r="L1260" t="str">
            <v>MARIA DEISSY CRUZ VARON</v>
          </cell>
          <cell r="M1260">
            <v>31</v>
          </cell>
          <cell r="N1260" t="str">
            <v>RESOLUCION</v>
          </cell>
          <cell r="O1260">
            <v>399</v>
          </cell>
          <cell r="P1260">
            <v>43138</v>
          </cell>
          <cell r="Q1260" t="str">
            <v>AYUDA TEMPORAL A LAS FAMILIAS DE VARIAS LOCALIDADES, PARA RELOCALIZACIÓN DE HOGARES LOCALIZADOS EN ZONAS DE ALTO RIESGO NO MITIGABLE ID:2014-OTR-00957, LOCALIDAD:19 CIUDAD BOLÍVAR, UPZ:67 LUCERO, SECTOR:TABOR ALTALOMA</v>
          </cell>
          <cell r="R1260">
            <v>3382995</v>
          </cell>
          <cell r="S1260">
            <v>483285</v>
          </cell>
          <cell r="T1260">
            <v>0</v>
          </cell>
          <cell r="U1260">
            <v>2899710</v>
          </cell>
          <cell r="V1260">
            <v>2899710</v>
          </cell>
        </row>
        <row r="1261">
          <cell r="J1261">
            <v>792</v>
          </cell>
          <cell r="K1261">
            <v>43138</v>
          </cell>
          <cell r="L1261" t="str">
            <v>JOSE JOAQUIN MONROY RODRIGUEZ</v>
          </cell>
          <cell r="M1261">
            <v>31</v>
          </cell>
          <cell r="N1261" t="str">
            <v>RESOLUCION</v>
          </cell>
          <cell r="O1261">
            <v>400</v>
          </cell>
          <cell r="P1261">
            <v>43138</v>
          </cell>
          <cell r="Q1261" t="str">
            <v>AYUDA TEMPORAL A LAS FAMILIAS DE VARIAS LOCALIDADES, PARA RELOCALIZACIÓN DE HOGARES LOCALIZADOS EN ZONAS DE ALTO RIESGO NO MITIGABLE ID:2013-4-14662, LOCALIDAD:04 SAN CRISTÓBAL, UPZ:32 SAN BLAS</v>
          </cell>
          <cell r="R1261">
            <v>3363507</v>
          </cell>
          <cell r="S1261">
            <v>480501</v>
          </cell>
          <cell r="T1261">
            <v>0</v>
          </cell>
          <cell r="U1261">
            <v>2883006</v>
          </cell>
          <cell r="V1261">
            <v>2883006</v>
          </cell>
        </row>
        <row r="1262">
          <cell r="J1262">
            <v>793</v>
          </cell>
          <cell r="K1262">
            <v>43138</v>
          </cell>
          <cell r="L1262" t="str">
            <v>DIOMEDES  PINEDA CERVANTES</v>
          </cell>
          <cell r="M1262">
            <v>31</v>
          </cell>
          <cell r="N1262" t="str">
            <v>RESOLUCION</v>
          </cell>
          <cell r="O1262">
            <v>343</v>
          </cell>
          <cell r="P1262">
            <v>42773</v>
          </cell>
          <cell r="Q1262" t="str">
            <v>AYUDA TEMPORAL A LAS FAMILIAS DE VARIAS LOCALIDADES, PARA RELOCALIZACIÓN DE HOGARES LOCALIZADOS EN ZONAS DE ALTO RIESGO NO MITIGABLE ID:2011-3-12896, LOCALIDAD:03 SANTA FE, UPZ:96 LOURDES</v>
          </cell>
          <cell r="R1262">
            <v>7065760</v>
          </cell>
          <cell r="S1262">
            <v>0</v>
          </cell>
          <cell r="T1262">
            <v>0</v>
          </cell>
          <cell r="U1262">
            <v>7065760</v>
          </cell>
          <cell r="V1262">
            <v>3804640</v>
          </cell>
        </row>
        <row r="1263">
          <cell r="J1263">
            <v>794</v>
          </cell>
          <cell r="K1263">
            <v>43138</v>
          </cell>
          <cell r="L1263" t="str">
            <v>DAIRO NILSON CAÑAS RINCON</v>
          </cell>
          <cell r="M1263">
            <v>31</v>
          </cell>
          <cell r="N1263" t="str">
            <v>RESOLUCION</v>
          </cell>
          <cell r="O1263">
            <v>344</v>
          </cell>
          <cell r="P1263">
            <v>43138</v>
          </cell>
          <cell r="Q1263" t="str">
            <v>AYUDA TEMPORAL A LAS FAMILIAS DE VARIAS LOCALIDADES, PARA RELOCALIZACIÓN DE HOGARES LOCALIZADOS EN ZONAS DE ALTO RIESGO NO MITIGABLE ID:2003-19-4535, LOCALIDAD:19 CIUDAD BOLÍVAR, UPZ:69 ISMAEL PERDOMO, SECTOR:ALTOS DE LA ESTANCIA</v>
          </cell>
          <cell r="R1263">
            <v>2706270</v>
          </cell>
          <cell r="S1263">
            <v>451045</v>
          </cell>
          <cell r="T1263">
            <v>0</v>
          </cell>
          <cell r="U1263">
            <v>2255225</v>
          </cell>
          <cell r="V1263">
            <v>2255225</v>
          </cell>
        </row>
        <row r="1264">
          <cell r="J1264">
            <v>795</v>
          </cell>
          <cell r="K1264">
            <v>43138</v>
          </cell>
          <cell r="L1264" t="str">
            <v>MARIA JASIBE ANGEL BERMUDEZ</v>
          </cell>
          <cell r="M1264">
            <v>31</v>
          </cell>
          <cell r="N1264" t="str">
            <v>RESOLUCION</v>
          </cell>
          <cell r="O1264">
            <v>345</v>
          </cell>
          <cell r="P1264">
            <v>43138</v>
          </cell>
          <cell r="Q1264" t="str">
            <v>AYUDA TEMPORAL A LAS FAMILIAS DE VARIAS LOCALIDADES, PARA RELOCALIZACIÓN DE HOGARES LOCALIZADOS EN ZONAS DE ALTO RIESGO NO MITIGABLE ID:2015-Q20-04127, LOCALIDAD:04 SAN CRISTÓBAL, UPZ:50 LA GLORIA, SECTOR:LA CHIGUAZA</v>
          </cell>
          <cell r="R1264">
            <v>4986969</v>
          </cell>
          <cell r="S1264">
            <v>0</v>
          </cell>
          <cell r="T1264">
            <v>0</v>
          </cell>
          <cell r="U1264">
            <v>4986969</v>
          </cell>
          <cell r="V1264">
            <v>2685291</v>
          </cell>
        </row>
        <row r="1265">
          <cell r="J1265">
            <v>796</v>
          </cell>
          <cell r="K1265">
            <v>43138</v>
          </cell>
          <cell r="L1265" t="str">
            <v>ANGEL ALBERTO JIMENEZ</v>
          </cell>
          <cell r="M1265">
            <v>31</v>
          </cell>
          <cell r="N1265" t="str">
            <v>RESOLUCION</v>
          </cell>
          <cell r="O1265">
            <v>346</v>
          </cell>
          <cell r="P1265">
            <v>43138</v>
          </cell>
          <cell r="Q1265" t="str">
            <v>AYUDA TEMPORAL A LAS FAMILIAS DE VARIAS LOCALIDADES, PARA RELOCALIZACIÓN DE HOGARES LOCALIZADOS EN ZONAS DE ALTO RIESGO NO MITIGABLE ID:2013-4-14631, LOCALIDAD:04 SAN CRISTÓBAL, UPZ:32 SAN BLAS</v>
          </cell>
          <cell r="R1265">
            <v>3363360</v>
          </cell>
          <cell r="S1265">
            <v>0</v>
          </cell>
          <cell r="T1265">
            <v>0</v>
          </cell>
          <cell r="U1265">
            <v>3363360</v>
          </cell>
          <cell r="V1265">
            <v>1441440</v>
          </cell>
        </row>
        <row r="1266">
          <cell r="J1266">
            <v>797</v>
          </cell>
          <cell r="K1266">
            <v>43138</v>
          </cell>
          <cell r="L1266" t="str">
            <v>ANGELA MILENA GOMEZ BRAVO</v>
          </cell>
          <cell r="M1266">
            <v>31</v>
          </cell>
          <cell r="N1266" t="str">
            <v>RESOLUCION</v>
          </cell>
          <cell r="O1266">
            <v>347</v>
          </cell>
          <cell r="P1266">
            <v>43138</v>
          </cell>
          <cell r="Q1266" t="str">
            <v>AYUDA TEMPORAL A LAS FAMILIAS DE VARIAS LOCALIDADES, PARA RELOCALIZACIÓN DE HOGARES LOCALIZADOS EN ZONAS DE ALTO RIESGO NO MITIGABLE ID:2016-08-14841, LOCALIDAD:08 KENNEDY, UPZ:82 PATIO BONITO, SECTOR:PALMITAS</v>
          </cell>
          <cell r="R1266">
            <v>6542913</v>
          </cell>
          <cell r="S1266">
            <v>0</v>
          </cell>
          <cell r="T1266">
            <v>0</v>
          </cell>
          <cell r="U1266">
            <v>6542913</v>
          </cell>
          <cell r="V1266">
            <v>2516505</v>
          </cell>
        </row>
        <row r="1267">
          <cell r="J1267">
            <v>798</v>
          </cell>
          <cell r="K1267">
            <v>43138</v>
          </cell>
          <cell r="L1267" t="str">
            <v>JOSE NIVER MERCAZA PIRAZA</v>
          </cell>
          <cell r="M1267">
            <v>31</v>
          </cell>
          <cell r="N1267" t="str">
            <v>RESOLUCION</v>
          </cell>
          <cell r="O1267">
            <v>348</v>
          </cell>
          <cell r="P1267">
            <v>43138</v>
          </cell>
          <cell r="Q1267" t="str">
            <v>AYUDA TEMPORAL A LAS FAMILIAS DE VARIAS LOCALIDADES, PARA RELOCALIZACIÓN DE HOGARES LOCALIZADOS EN ZONAS DE ALTO RIESGO NO MITIGABLE ID:2015-W166-429, LOCALIDAD:19 CIUDAD BOLÍVAR, UPZ:68 EL TESORO, SECTOR:WOUNAAN</v>
          </cell>
          <cell r="R1267">
            <v>7672262</v>
          </cell>
          <cell r="S1267">
            <v>0</v>
          </cell>
          <cell r="T1267">
            <v>0</v>
          </cell>
          <cell r="U1267">
            <v>7672262</v>
          </cell>
          <cell r="V1267">
            <v>4131218</v>
          </cell>
        </row>
        <row r="1268">
          <cell r="J1268">
            <v>799</v>
          </cell>
          <cell r="K1268">
            <v>43138</v>
          </cell>
          <cell r="L1268" t="str">
            <v>MISAEL  CASTRILLON JIMENEZ</v>
          </cell>
          <cell r="M1268">
            <v>31</v>
          </cell>
          <cell r="N1268" t="str">
            <v>RESOLUCION</v>
          </cell>
          <cell r="O1268">
            <v>349</v>
          </cell>
          <cell r="P1268">
            <v>43138</v>
          </cell>
          <cell r="Q1268" t="str">
            <v>AYUDA TEMPORAL A LAS FAMILIAS DE VARIAS LOCALIDADES, PARA RELOCALIZACIÓN DE HOGARES LOCALIZADOS EN ZONAS DE ALTO RIESGO NO MITIGABLE ID:2013-Q21-00600, LOCALIDAD:19 CIUDAD BOLÍVAR, UPZ:67 LUCERO, SECTOR:BRAZO DERECHO DE LIMAS</v>
          </cell>
          <cell r="R1268">
            <v>5274672</v>
          </cell>
          <cell r="S1268">
            <v>0</v>
          </cell>
          <cell r="T1268">
            <v>0</v>
          </cell>
          <cell r="U1268">
            <v>5274672</v>
          </cell>
          <cell r="V1268">
            <v>2840208</v>
          </cell>
        </row>
        <row r="1269">
          <cell r="J1269">
            <v>800</v>
          </cell>
          <cell r="K1269">
            <v>43138</v>
          </cell>
          <cell r="L1269" t="str">
            <v>AGUSTIN ENRIQUE GONZALEZ RAMOS</v>
          </cell>
          <cell r="M1269">
            <v>31</v>
          </cell>
          <cell r="N1269" t="str">
            <v>RESOLUCION</v>
          </cell>
          <cell r="O1269">
            <v>350</v>
          </cell>
          <cell r="P1269">
            <v>43138</v>
          </cell>
          <cell r="Q1269" t="str">
            <v>AYUDA TEMPORAL A LAS FAMILIAS DE VARIAS LOCALIDADES, PARA RELOCALIZACIÓN DE HOGARES LOCALIZADOS EN ZONAS DE ALTO RIESGO NO MITIGABLE ID:2010-19-11689, LOCALIDAD:19 CIUDAD BOLÍVAR, UPZ:69 ISMAEL PERDOMO, SECTOR:OLA INVERNAL 2010 FOPAE</v>
          </cell>
          <cell r="R1269">
            <v>2582006</v>
          </cell>
          <cell r="S1269">
            <v>368858</v>
          </cell>
          <cell r="T1269">
            <v>0</v>
          </cell>
          <cell r="U1269">
            <v>2213148</v>
          </cell>
          <cell r="V1269">
            <v>2213148</v>
          </cell>
        </row>
        <row r="1270">
          <cell r="J1270">
            <v>801</v>
          </cell>
          <cell r="K1270">
            <v>43138</v>
          </cell>
          <cell r="L1270" t="str">
            <v>ESPERANZA  AGUILLON NIÑO</v>
          </cell>
          <cell r="M1270">
            <v>31</v>
          </cell>
          <cell r="N1270" t="str">
            <v>RESOLUCION</v>
          </cell>
          <cell r="O1270">
            <v>351</v>
          </cell>
          <cell r="P1270">
            <v>43138</v>
          </cell>
          <cell r="Q1270" t="str">
            <v>AYUDA TEMPORAL A LAS FAMILIAS DE VARIAS LOCALIDADES, PARA RELOCALIZACIÓN DE HOGARES LOCALIZADOS EN ZONAS DE ALTO RIESGO NO MITIGABLE ID:2004-18-5460, LOCALIDAD:18 RAFAEL URIBE URIBE, UPZ:54 MARRUECOS</v>
          </cell>
          <cell r="R1270">
            <v>4862286</v>
          </cell>
          <cell r="S1270">
            <v>0</v>
          </cell>
          <cell r="T1270">
            <v>0</v>
          </cell>
          <cell r="U1270">
            <v>4862286</v>
          </cell>
          <cell r="V1270">
            <v>3094182</v>
          </cell>
        </row>
        <row r="1271">
          <cell r="J1271">
            <v>802</v>
          </cell>
          <cell r="K1271">
            <v>43138</v>
          </cell>
          <cell r="L1271" t="str">
            <v>JUAN CARLOS RODRIGUEZ RIOS</v>
          </cell>
          <cell r="M1271">
            <v>31</v>
          </cell>
          <cell r="N1271" t="str">
            <v>RESOLUCION</v>
          </cell>
          <cell r="O1271">
            <v>352</v>
          </cell>
          <cell r="P1271">
            <v>43138</v>
          </cell>
          <cell r="Q1271" t="str">
            <v>AYUDA TEMPORAL A LAS FAMILIAS DE VARIAS LOCALIDADES, PARA RELOCALIZACIÓN DE HOGARES LOCALIZADOS EN ZONAS DE ALTO RIESGO NO MITIGABLE ID:2014-OTR-00858, LOCALIDAD:04 SAN CRISTÓBAL, UPZ:32 SAN BLAS</v>
          </cell>
          <cell r="R1271">
            <v>2723490</v>
          </cell>
          <cell r="S1271">
            <v>389070</v>
          </cell>
          <cell r="T1271">
            <v>0</v>
          </cell>
          <cell r="U1271">
            <v>2334420</v>
          </cell>
          <cell r="V1271">
            <v>2334420</v>
          </cell>
        </row>
        <row r="1272">
          <cell r="J1272">
            <v>803</v>
          </cell>
          <cell r="K1272">
            <v>43138</v>
          </cell>
          <cell r="L1272" t="str">
            <v>ABELARDO  RODRIGUEZ RODRIGUEZ</v>
          </cell>
          <cell r="M1272">
            <v>31</v>
          </cell>
          <cell r="N1272" t="str">
            <v>RESOLUCION</v>
          </cell>
          <cell r="O1272">
            <v>353</v>
          </cell>
          <cell r="P1272">
            <v>43138</v>
          </cell>
          <cell r="Q1272" t="str">
            <v>AYUDA TEMPORAL A LAS FAMILIAS DE VARIAS LOCALIDADES, PARA RELOCALIZACIÓN DE HOGARES LOCALIZADOS EN ZONAS DE ALTO RIESGO NO MITIGABLE ID:2015-D227-00039, LOCALIDAD:04 SAN CRISTÓBAL, UPZ:51 LOS LIBERTADORES, SECTOR:SANTA TERESITA</v>
          </cell>
          <cell r="R1272">
            <v>4986969</v>
          </cell>
          <cell r="S1272">
            <v>0</v>
          </cell>
          <cell r="T1272">
            <v>0</v>
          </cell>
          <cell r="U1272">
            <v>4986969</v>
          </cell>
          <cell r="V1272">
            <v>1918065</v>
          </cell>
        </row>
        <row r="1273">
          <cell r="J1273">
            <v>804</v>
          </cell>
          <cell r="K1273">
            <v>43138</v>
          </cell>
          <cell r="L1273" t="str">
            <v>WILLIAM JAVIER POSADA VIVAS</v>
          </cell>
          <cell r="M1273">
            <v>31</v>
          </cell>
          <cell r="N1273" t="str">
            <v>RESOLUCION</v>
          </cell>
          <cell r="O1273">
            <v>354</v>
          </cell>
          <cell r="P1273">
            <v>43138</v>
          </cell>
          <cell r="Q1273" t="str">
            <v>AYUDA TEMPORAL A LAS FAMILIAS DE VARIAS LOCALIDADES, PARA RELOCALIZACIÓN DE HOGARES LOCALIZADOS EN ZONAS DE ALTO RIESGO NO MITIGABLE ID:1999-4-2782, LOCALIDAD:04 SAN CRISTÓBAL, UPZ:32 SAN BLAS</v>
          </cell>
          <cell r="R1273">
            <v>4590270</v>
          </cell>
          <cell r="S1273">
            <v>0</v>
          </cell>
          <cell r="T1273">
            <v>0</v>
          </cell>
          <cell r="U1273">
            <v>4590270</v>
          </cell>
          <cell r="V1273">
            <v>3570210</v>
          </cell>
        </row>
        <row r="1274">
          <cell r="J1274">
            <v>805</v>
          </cell>
          <cell r="K1274">
            <v>43138</v>
          </cell>
          <cell r="L1274" t="str">
            <v>VICTOR HUGO MALPICA FUENTES</v>
          </cell>
          <cell r="M1274">
            <v>31</v>
          </cell>
          <cell r="N1274" t="str">
            <v>RESOLUCION</v>
          </cell>
          <cell r="O1274">
            <v>355</v>
          </cell>
          <cell r="P1274">
            <v>43138</v>
          </cell>
          <cell r="Q1274" t="str">
            <v>AYUDA TEMPORAL A LAS FAMILIAS DE VARIAS LOCALIDADES, PARA RELOCALIZACIÓN DE HOGARES LOCALIZADOS EN ZONAS DE ALTO RIESGO NO MITIGABLE ID:2013-Q10-00649, LOCALIDAD:04 SAN CRISTÓBAL, UPZ:51 LOS LIBERTADORES, SECTOR:QUEBRADA VEREJONES</v>
          </cell>
          <cell r="R1274">
            <v>5466487</v>
          </cell>
          <cell r="S1274">
            <v>0</v>
          </cell>
          <cell r="T1274">
            <v>0</v>
          </cell>
          <cell r="U1274">
            <v>5466487</v>
          </cell>
          <cell r="V1274">
            <v>2943493</v>
          </cell>
        </row>
        <row r="1275">
          <cell r="J1275">
            <v>806</v>
          </cell>
          <cell r="K1275">
            <v>43138</v>
          </cell>
          <cell r="L1275" t="str">
            <v>MARIA ANDREA GARCIA RUIZ</v>
          </cell>
          <cell r="M1275">
            <v>31</v>
          </cell>
          <cell r="N1275" t="str">
            <v>RESOLUCION</v>
          </cell>
          <cell r="O1275">
            <v>356</v>
          </cell>
          <cell r="P1275">
            <v>43138</v>
          </cell>
          <cell r="Q1275" t="str">
            <v>AYUDA TEMPORAL A LAS FAMILIAS DE VARIAS LOCALIDADES, PARA RELOCALIZACIÓN DE HOGARES LOCALIZADOS EN ZONAS DE ALTO RIESGO NO MITIGABLE ID:2016-08-14778, LOCALIDAD:08 KENNEDY, UPZ:82 PATIO BONITO, SECTOR:PALMITAS</v>
          </cell>
          <cell r="R1275">
            <v>4136720</v>
          </cell>
          <cell r="S1275">
            <v>0</v>
          </cell>
          <cell r="T1275">
            <v>0</v>
          </cell>
          <cell r="U1275">
            <v>4136720</v>
          </cell>
          <cell r="V1275">
            <v>2895704</v>
          </cell>
        </row>
        <row r="1276">
          <cell r="J1276">
            <v>807</v>
          </cell>
          <cell r="K1276">
            <v>43138</v>
          </cell>
          <cell r="L1276" t="str">
            <v>WILSON  MEDINA SANCHEZ</v>
          </cell>
          <cell r="M1276">
            <v>31</v>
          </cell>
          <cell r="N1276" t="str">
            <v>RESOLUCION</v>
          </cell>
          <cell r="O1276">
            <v>357</v>
          </cell>
          <cell r="P1276">
            <v>43138</v>
          </cell>
          <cell r="Q1276" t="str">
            <v>AYUDA TEMPORAL A LAS FAMILIAS DE VARIAS LOCALIDADES, PARA RELOCALIZACIÓN DE HOGARES LOCALIZADOS EN ZONAS DE ALTO RIESGO NO MITIGABLE ID:2015-4-14739, LOCALIDAD:04 SAN CRISTÓBAL, UPZ:32 SAN BLAS</v>
          </cell>
          <cell r="R1276">
            <v>6533774</v>
          </cell>
          <cell r="S1276">
            <v>0</v>
          </cell>
          <cell r="T1276">
            <v>0</v>
          </cell>
          <cell r="U1276">
            <v>6533774</v>
          </cell>
          <cell r="V1276">
            <v>2512990</v>
          </cell>
        </row>
        <row r="1277">
          <cell r="J1277">
            <v>808</v>
          </cell>
          <cell r="K1277">
            <v>43138</v>
          </cell>
          <cell r="L1277" t="str">
            <v>JESICA ALEJANDRA CERON ESPINOSA</v>
          </cell>
          <cell r="M1277">
            <v>31</v>
          </cell>
          <cell r="N1277" t="str">
            <v>RESOLUCION</v>
          </cell>
          <cell r="O1277">
            <v>598</v>
          </cell>
          <cell r="P1277">
            <v>43138</v>
          </cell>
          <cell r="Q1277" t="str">
            <v>Asignacion del instrumento financiero a las familias ocupantes del predio que hayan superado la fase de verificacion dentro  del marco del Decreto 457 de 2017. LOCALIDAD: KENNEDY; BARRIO: VEREDITAS; ID: 2017-8-383696</v>
          </cell>
          <cell r="R1277">
            <v>54686940</v>
          </cell>
          <cell r="S1277">
            <v>0</v>
          </cell>
          <cell r="T1277">
            <v>0</v>
          </cell>
          <cell r="U1277">
            <v>54686940</v>
          </cell>
          <cell r="V1277">
            <v>54686940</v>
          </cell>
        </row>
        <row r="1278">
          <cell r="J1278">
            <v>809</v>
          </cell>
          <cell r="K1278">
            <v>43138</v>
          </cell>
          <cell r="L1278" t="str">
            <v>BERTHA LILIANA VASQUEZ CASTRILLON</v>
          </cell>
          <cell r="M1278">
            <v>31</v>
          </cell>
          <cell r="N1278" t="str">
            <v>RESOLUCION</v>
          </cell>
          <cell r="O1278">
            <v>597</v>
          </cell>
          <cell r="P1278">
            <v>43138</v>
          </cell>
          <cell r="Q1278" t="str">
            <v>Asignacion del instrumento financiero a las familias ocupantes del predio que hayan superado la fase de verificacion dentro  del marco del Decreto 457 de 2017. LOCALIDAD: KENNEDY; BARRIO: VEREDITAS; ID: 2017-8-383665</v>
          </cell>
          <cell r="R1278">
            <v>54686940</v>
          </cell>
          <cell r="S1278">
            <v>0</v>
          </cell>
          <cell r="T1278">
            <v>0</v>
          </cell>
          <cell r="U1278">
            <v>54686940</v>
          </cell>
          <cell r="V1278">
            <v>54686940</v>
          </cell>
        </row>
        <row r="1279">
          <cell r="J1279">
            <v>810</v>
          </cell>
          <cell r="K1279">
            <v>43138</v>
          </cell>
          <cell r="L1279" t="str">
            <v>VICTOR MANUEL TORRES AMAYA</v>
          </cell>
          <cell r="M1279">
            <v>31</v>
          </cell>
          <cell r="N1279" t="str">
            <v>RESOLUCION</v>
          </cell>
          <cell r="O1279">
            <v>480</v>
          </cell>
          <cell r="P1279">
            <v>43138</v>
          </cell>
          <cell r="Q1279" t="str">
            <v>AYUDA TEMPORAL A LAS FAMILIAS DE VARIAS LOCALIDADES, PARA RELOCALIZACIÓN DE HOGARES LOCALIZADOS EN ZONAS DE ALTO RIESGO NO MITIGABLE ID:2011-19-12561, LOCALIDAD:19 CIUDAD BOLÍVAR, UPZ:69 ISMAEL PERDOMO, SECTOR:OLA INVERNAL 2010 FOPAE</v>
          </cell>
          <cell r="R1279">
            <v>3490872</v>
          </cell>
          <cell r="S1279">
            <v>498696</v>
          </cell>
          <cell r="T1279">
            <v>0</v>
          </cell>
          <cell r="U1279">
            <v>2992176</v>
          </cell>
          <cell r="V1279">
            <v>2992176</v>
          </cell>
        </row>
        <row r="1280">
          <cell r="J1280">
            <v>811</v>
          </cell>
          <cell r="K1280">
            <v>43138</v>
          </cell>
          <cell r="L1280" t="str">
            <v>MONICA LILIANA RODRIGUEZ VELASQUEZ</v>
          </cell>
          <cell r="M1280">
            <v>31</v>
          </cell>
          <cell r="N1280" t="str">
            <v>RESOLUCION</v>
          </cell>
          <cell r="O1280">
            <v>481</v>
          </cell>
          <cell r="P1280">
            <v>43138</v>
          </cell>
          <cell r="Q1280" t="str">
            <v>AYUDA TEMPORAL A LAS FAMILIAS DE VARIAS LOCALIDADES, PARA RELOCALIZACIÓN DE HOGARES LOCALIZADOS EN ZONAS DE ALTO RIESGO NO MITIGABLE ID:2015-OTR-01372, LOCALIDAD:11 SUBA, UPZ:71 TIBABUYES, SECTOR:GAVILANES</v>
          </cell>
          <cell r="R1280">
            <v>3516527</v>
          </cell>
          <cell r="S1280">
            <v>0</v>
          </cell>
          <cell r="T1280">
            <v>0</v>
          </cell>
          <cell r="U1280">
            <v>3516527</v>
          </cell>
          <cell r="V1280">
            <v>2511805</v>
          </cell>
        </row>
        <row r="1281">
          <cell r="J1281">
            <v>812</v>
          </cell>
          <cell r="K1281">
            <v>43138</v>
          </cell>
          <cell r="L1281" t="str">
            <v>FLOR MARINA SOSA</v>
          </cell>
          <cell r="M1281">
            <v>31</v>
          </cell>
          <cell r="N1281" t="str">
            <v>RESOLUCION</v>
          </cell>
          <cell r="O1281">
            <v>482</v>
          </cell>
          <cell r="P1281">
            <v>43138</v>
          </cell>
          <cell r="Q1281" t="str">
            <v>AYUDA TEMPORAL A LAS FAMILIAS DE VARIAS LOCALIDADES, PARA RELOCALIZACIÓN DE HOGARES LOCALIZADOS EN ZONAS DE ALTO RIESGO NO MITIGABLE ID:2015-D227-00026, LOCALIDAD:04 SAN CRISTÓBAL, UPZ:51 LOS LIBERTADORES, SECTOR:SANTA TERESITA</v>
          </cell>
          <cell r="R1281">
            <v>5780541</v>
          </cell>
          <cell r="S1281">
            <v>0</v>
          </cell>
          <cell r="T1281">
            <v>0</v>
          </cell>
          <cell r="U1281">
            <v>5780541</v>
          </cell>
          <cell r="V1281">
            <v>3112599</v>
          </cell>
        </row>
        <row r="1282">
          <cell r="J1282">
            <v>813</v>
          </cell>
          <cell r="K1282">
            <v>43138</v>
          </cell>
          <cell r="L1282" t="str">
            <v>RUBIELA  SANCHEZ</v>
          </cell>
          <cell r="M1282">
            <v>31</v>
          </cell>
          <cell r="N1282" t="str">
            <v>RESOLUCION</v>
          </cell>
          <cell r="O1282">
            <v>483</v>
          </cell>
          <cell r="P1282">
            <v>43138</v>
          </cell>
          <cell r="Q1282" t="str">
            <v>AYUDA TEMPORAL A LAS FAMILIAS DE VARIAS LOCALIDADES, PARA RELOCALIZACIÓN DE HOGARES LOCALIZADOS EN ZONAS DE ALTO RIESGO NO MITIGABLE ID:2011-4-12706, LOCALIDAD:04 SAN CRISTÓBAL, UPZ:32 SAN BLAS</v>
          </cell>
          <cell r="R1282">
            <v>3022327</v>
          </cell>
          <cell r="S1282">
            <v>431761</v>
          </cell>
          <cell r="T1282">
            <v>0</v>
          </cell>
          <cell r="U1282">
            <v>2590566</v>
          </cell>
          <cell r="V1282">
            <v>2590566</v>
          </cell>
        </row>
        <row r="1283">
          <cell r="J1283">
            <v>814</v>
          </cell>
          <cell r="K1283">
            <v>43138</v>
          </cell>
          <cell r="L1283" t="str">
            <v>ANGIE LORENA CAGUA YATE</v>
          </cell>
          <cell r="M1283">
            <v>31</v>
          </cell>
          <cell r="N1283" t="str">
            <v>RESOLUCION</v>
          </cell>
          <cell r="O1283">
            <v>484</v>
          </cell>
          <cell r="P1283">
            <v>43138</v>
          </cell>
          <cell r="Q1283" t="str">
            <v>AYUDA TEMPORAL A LAS FAMILIAS DE VARIAS LOCALIDADES, PARA RELOCALIZACIÓN DE HOGARES LOCALIZADOS EN ZONAS DE ALTO RIESGO NO MITIGABLE ID:2016-08-14774, LOCALIDAD:08 KENNEDY, UPZ:82 PATIO BONITO, SECTOR:PALMITAS</v>
          </cell>
          <cell r="R1283">
            <v>5825885</v>
          </cell>
          <cell r="S1283">
            <v>0</v>
          </cell>
          <cell r="T1283">
            <v>0</v>
          </cell>
          <cell r="U1283">
            <v>5825885</v>
          </cell>
          <cell r="V1283">
            <v>3137015</v>
          </cell>
        </row>
        <row r="1284">
          <cell r="J1284">
            <v>815</v>
          </cell>
          <cell r="K1284">
            <v>43138</v>
          </cell>
          <cell r="L1284" t="str">
            <v>CELMIRA  GUARIN</v>
          </cell>
          <cell r="M1284">
            <v>31</v>
          </cell>
          <cell r="N1284" t="str">
            <v>RESOLUCION</v>
          </cell>
          <cell r="O1284">
            <v>485</v>
          </cell>
          <cell r="P1284">
            <v>43138</v>
          </cell>
          <cell r="Q1284" t="str">
            <v>AYUDA TEMPORAL A LAS FAMILIAS DE VARIAS LOCALIDADES, PARA RELOCALIZACIÓN DE HOGARES LOCALIZADOS EN ZONAS DE ALTO RIESGO NO MITIGABLE ID:2013000335, LOCALIDAD:19 CIUDAD BOLÍVAR, UPZ:67 LUCERO, SECTOR:PEÑA COLORADA</v>
          </cell>
          <cell r="R1284">
            <v>3038112</v>
          </cell>
          <cell r="S1284">
            <v>0</v>
          </cell>
          <cell r="T1284">
            <v>0</v>
          </cell>
          <cell r="U1284">
            <v>3038112</v>
          </cell>
          <cell r="V1284">
            <v>1736064</v>
          </cell>
        </row>
        <row r="1285">
          <cell r="J1285">
            <v>816</v>
          </cell>
          <cell r="K1285">
            <v>43138</v>
          </cell>
          <cell r="L1285" t="str">
            <v>DOLORES  MUNAR DE LOMBANA</v>
          </cell>
          <cell r="M1285">
            <v>31</v>
          </cell>
          <cell r="N1285" t="str">
            <v>RESOLUCION</v>
          </cell>
          <cell r="O1285">
            <v>358</v>
          </cell>
          <cell r="P1285">
            <v>43138</v>
          </cell>
          <cell r="Q1285" t="str">
            <v>AYUDA TEMPORAL A LAS FAMILIAS DE VARIAS LOCALIDADES, PARA RELOCALIZACIÓN DE HOGARES LOCALIZADOS EN ZONAS DE ALTO RIESGO NO MITIGABLE ID:2006-1-9146, LOCALIDAD:01 USAQUÉN, UPZ:11 SAN CRISTÓBAL NORTE</v>
          </cell>
          <cell r="R1285">
            <v>2606135</v>
          </cell>
          <cell r="S1285">
            <v>372305</v>
          </cell>
          <cell r="T1285">
            <v>0</v>
          </cell>
          <cell r="U1285">
            <v>2233830</v>
          </cell>
          <cell r="V1285">
            <v>2233830</v>
          </cell>
        </row>
        <row r="1286">
          <cell r="J1286">
            <v>817</v>
          </cell>
          <cell r="K1286">
            <v>43138</v>
          </cell>
          <cell r="L1286" t="str">
            <v>RAFAEL MAXIMILIANO GUEVARA SUAREZ</v>
          </cell>
          <cell r="M1286">
            <v>31</v>
          </cell>
          <cell r="N1286" t="str">
            <v>RESOLUCION</v>
          </cell>
          <cell r="O1286">
            <v>359</v>
          </cell>
          <cell r="P1286">
            <v>43138</v>
          </cell>
          <cell r="Q1286" t="str">
            <v>AYUDA TEMPORAL A LAS FAMILIAS DE VARIAS LOCALIDADES, PARA RELOCALIZACIÓN DE HOGARES LOCALIZADOS EN ZONAS DE ALTO RIESGO NO MITIGABLE ID:2013000576, LOCALIDAD:04 SAN CRISTÓBAL, UPZ:51 LOS LIBERTADORES, SECTOR:QUEBRADA VEREJONES</v>
          </cell>
          <cell r="R1286">
            <v>3983670</v>
          </cell>
          <cell r="S1286">
            <v>0</v>
          </cell>
          <cell r="T1286">
            <v>0</v>
          </cell>
          <cell r="U1286">
            <v>3983670</v>
          </cell>
          <cell r="V1286">
            <v>2788569</v>
          </cell>
        </row>
        <row r="1287">
          <cell r="J1287">
            <v>818</v>
          </cell>
          <cell r="K1287">
            <v>43138</v>
          </cell>
          <cell r="L1287" t="str">
            <v>THUYLON  CHIRINOS PRIETO</v>
          </cell>
          <cell r="M1287">
            <v>31</v>
          </cell>
          <cell r="N1287" t="str">
            <v>RESOLUCION</v>
          </cell>
          <cell r="O1287">
            <v>360</v>
          </cell>
          <cell r="P1287">
            <v>43138</v>
          </cell>
          <cell r="Q1287" t="str">
            <v>AYUDA TEMPORAL A LAS FAMILIAS DE VARIAS LOCALIDADES, PARA RELOCALIZACIÓN DE HOGARES LOCALIZADOS EN ZONAS DE ALTO RIESGO NO MITIGABLE ID:2010-4-11795, LOCALIDAD:04 SAN CRISTÓBAL, UPZ:34 20 DE JULIO, SECTOR:OLA INVERNAL 2010 FOPAE</v>
          </cell>
          <cell r="R1287">
            <v>5612893</v>
          </cell>
          <cell r="S1287">
            <v>0</v>
          </cell>
          <cell r="T1287">
            <v>0</v>
          </cell>
          <cell r="U1287">
            <v>5612893</v>
          </cell>
          <cell r="V1287">
            <v>3022327</v>
          </cell>
        </row>
        <row r="1288">
          <cell r="J1288">
            <v>819</v>
          </cell>
          <cell r="K1288">
            <v>43138</v>
          </cell>
          <cell r="L1288" t="str">
            <v>MABEL ALICIA ARANDIA PULIDO</v>
          </cell>
          <cell r="M1288">
            <v>31</v>
          </cell>
          <cell r="N1288" t="str">
            <v>RESOLUCION</v>
          </cell>
          <cell r="O1288">
            <v>361</v>
          </cell>
          <cell r="P1288">
            <v>43138</v>
          </cell>
          <cell r="Q1288" t="str">
            <v>AYUDA TEMPORAL A LAS FAMILIAS DE VARIAS LOCALIDADES, PARA RELOCALIZACIÓN DE HOGARES LOCALIZADOS EN ZONAS DE ALTO RIESGO NO MITIGABLE ID:2014-OTR-01134, LOCALIDAD:11 SUBA, UPZ:71 TIBABUYES, SECTOR:GAVILANES</v>
          </cell>
          <cell r="R1288">
            <v>6530693</v>
          </cell>
          <cell r="S1288">
            <v>0</v>
          </cell>
          <cell r="T1288">
            <v>0</v>
          </cell>
          <cell r="U1288">
            <v>6530693</v>
          </cell>
          <cell r="V1288">
            <v>3516527</v>
          </cell>
        </row>
        <row r="1289">
          <cell r="J1289">
            <v>820</v>
          </cell>
          <cell r="K1289">
            <v>43138</v>
          </cell>
          <cell r="L1289" t="str">
            <v>FANNY MARCELA MORENO ACHURI</v>
          </cell>
          <cell r="M1289">
            <v>31</v>
          </cell>
          <cell r="N1289" t="str">
            <v>RESOLUCION</v>
          </cell>
          <cell r="O1289">
            <v>362</v>
          </cell>
          <cell r="P1289">
            <v>43138</v>
          </cell>
          <cell r="Q1289" t="str">
            <v>AYUDA TEMPORAL A LAS FAMILIAS DE VARIAS LOCALIDADES, PARA RELOCALIZACIÓN DE HOGARES LOCALIZADOS EN ZONAS DE ALTO RIESGO NO MITIGABLE ID:2012-18-14326, LOCALIDAD:18 RAFAEL URIBE URIBE, UPZ:55 DIANA TURBAY</v>
          </cell>
          <cell r="R1289">
            <v>2992176</v>
          </cell>
          <cell r="S1289">
            <v>0</v>
          </cell>
          <cell r="T1289">
            <v>0</v>
          </cell>
          <cell r="U1289">
            <v>2992176</v>
          </cell>
          <cell r="V1289">
            <v>2618154</v>
          </cell>
        </row>
        <row r="1290">
          <cell r="J1290">
            <v>821</v>
          </cell>
          <cell r="K1290">
            <v>43138</v>
          </cell>
          <cell r="L1290" t="str">
            <v>NORALBA  OYOLA BOTACHE</v>
          </cell>
          <cell r="M1290">
            <v>31</v>
          </cell>
          <cell r="N1290" t="str">
            <v>RESOLUCION</v>
          </cell>
          <cell r="O1290">
            <v>486</v>
          </cell>
          <cell r="P1290">
            <v>43138</v>
          </cell>
          <cell r="Q1290" t="str">
            <v>AYUDA TEMPORAL A LAS FAMILIAS DE VARIAS LOCALIDADES, PARA RELOCALIZACIÓN DE HOGARES LOCALIZADOS EN ZONAS DE ALTO RIESGO NO MITIGABLE ID:2013000169, LOCALIDAD:19 CIUDAD BOLÍVAR, UPZ:67 LUCERO, SECTOR:QUEBRADA TROMPETA</v>
          </cell>
          <cell r="R1290">
            <v>3022327</v>
          </cell>
          <cell r="S1290">
            <v>431761</v>
          </cell>
          <cell r="T1290">
            <v>0</v>
          </cell>
          <cell r="U1290">
            <v>2590566</v>
          </cell>
          <cell r="V1290">
            <v>2590566</v>
          </cell>
        </row>
        <row r="1291">
          <cell r="J1291">
            <v>822</v>
          </cell>
          <cell r="K1291">
            <v>43138</v>
          </cell>
          <cell r="L1291" t="str">
            <v>MARIBEL  ACOSTA TRIGOS</v>
          </cell>
          <cell r="M1291">
            <v>31</v>
          </cell>
          <cell r="N1291" t="str">
            <v>RESOLUCION</v>
          </cell>
          <cell r="O1291">
            <v>363</v>
          </cell>
          <cell r="P1291">
            <v>43138</v>
          </cell>
          <cell r="Q1291" t="str">
            <v>AYUDA TEMPORAL A LAS FAMILIAS DE VARIAS LOCALIDADES, PARA RELOCALIZACIÓN DE HOGARES LOCALIZADOS EN ZONAS DE ALTO RIESGO NO MITIGABLE ID:2012-19-14129, LOCALIDAD:19 CIUDAD BOLÍVAR, UPZ:68 EL TESORO, SECTOR:QUEBRADA TROMPETA</v>
          </cell>
          <cell r="R1291">
            <v>6630390</v>
          </cell>
          <cell r="S1291">
            <v>4080240</v>
          </cell>
          <cell r="T1291">
            <v>0</v>
          </cell>
          <cell r="U1291">
            <v>2550150</v>
          </cell>
          <cell r="V1291">
            <v>2550150</v>
          </cell>
        </row>
        <row r="1292">
          <cell r="J1292">
            <v>823</v>
          </cell>
          <cell r="K1292">
            <v>43138</v>
          </cell>
          <cell r="L1292" t="str">
            <v>RUBIELA  RUIZ DE MARQUEZ</v>
          </cell>
          <cell r="M1292">
            <v>31</v>
          </cell>
          <cell r="N1292" t="str">
            <v>RESOLUCION</v>
          </cell>
          <cell r="O1292">
            <v>487</v>
          </cell>
          <cell r="P1292">
            <v>43138</v>
          </cell>
          <cell r="Q1292" t="str">
            <v>AYUDA TEMPORAL A LAS FAMILIAS DE VARIAS LOCALIDADES, PARA RELOCALIZACIÓN DE HOGARES LOCALIZADOS EN ZONAS DE ALTO RIESGO NO MITIGABLE ID:2007-19-9701, LOCALIDAD:19 CIUDAD BOLÍVAR, UPZ:69 ISMAEL PERDOMO, SECTOR:ZANJÓN MURALLA</v>
          </cell>
          <cell r="R1292">
            <v>2886653</v>
          </cell>
          <cell r="S1292">
            <v>0</v>
          </cell>
          <cell r="T1292">
            <v>0</v>
          </cell>
          <cell r="U1292">
            <v>2886653</v>
          </cell>
          <cell r="V1292">
            <v>2061895</v>
          </cell>
        </row>
        <row r="1293">
          <cell r="J1293">
            <v>824</v>
          </cell>
          <cell r="K1293">
            <v>43138</v>
          </cell>
          <cell r="L1293" t="str">
            <v>ALBA LILIA GARCIA CORTES</v>
          </cell>
          <cell r="M1293">
            <v>31</v>
          </cell>
          <cell r="N1293" t="str">
            <v>RESOLUCION</v>
          </cell>
          <cell r="O1293">
            <v>364</v>
          </cell>
          <cell r="P1293">
            <v>43138</v>
          </cell>
          <cell r="Q1293" t="str">
            <v>AYUDA TEMPORAL A LAS FAMILIAS DE VARIAS LOCALIDADES, PARA RELOCALIZACIÓN DE HOGARES LOCALIZADOS EN ZONAS DE ALTO RIESGO NO MITIGABLE ID:2014-Q18-00938, LOCALIDAD:19 CIUDAD BOLÍVAR, UPZ:69 ISMAEL PERDOMO, SECTOR:ZANJÓN MURALLA</v>
          </cell>
          <cell r="R1293">
            <v>4804800</v>
          </cell>
          <cell r="S1293">
            <v>0</v>
          </cell>
          <cell r="T1293">
            <v>0</v>
          </cell>
          <cell r="U1293">
            <v>4804800</v>
          </cell>
          <cell r="V1293">
            <v>3363360</v>
          </cell>
        </row>
        <row r="1294">
          <cell r="J1294">
            <v>825</v>
          </cell>
          <cell r="K1294">
            <v>43138</v>
          </cell>
          <cell r="L1294" t="str">
            <v>YANELY  ISMARE PIRAZA</v>
          </cell>
          <cell r="M1294">
            <v>31</v>
          </cell>
          <cell r="N1294" t="str">
            <v>RESOLUCION</v>
          </cell>
          <cell r="O1294">
            <v>430</v>
          </cell>
          <cell r="P1294">
            <v>43138</v>
          </cell>
          <cell r="Q1294" t="str">
            <v>AYUDA TEMPORAL A LAS FAMILIAS DE VARIAS LOCALIDADES, PARA RELOCALIZACIÓN DE HOGARES LOCALIZADOS EN ZONAS DE ALTO RIESGO NO MITIGABLE ID:2014-W166-012, LOCALIDAD:19 CIUDAD BOLÍVAR, UPZ:68 EL TESORO, SECTOR:WOUNAAN</v>
          </cell>
          <cell r="R1294">
            <v>6236100</v>
          </cell>
          <cell r="S1294">
            <v>0</v>
          </cell>
          <cell r="T1294">
            <v>0</v>
          </cell>
          <cell r="U1294">
            <v>6236100</v>
          </cell>
          <cell r="V1294">
            <v>3357900</v>
          </cell>
        </row>
        <row r="1295">
          <cell r="J1295">
            <v>826</v>
          </cell>
          <cell r="K1295">
            <v>43138</v>
          </cell>
          <cell r="L1295" t="str">
            <v>MAR NIDIA NARVAEZ MENESES</v>
          </cell>
          <cell r="M1295">
            <v>31</v>
          </cell>
          <cell r="N1295" t="str">
            <v>RESOLUCION</v>
          </cell>
          <cell r="O1295">
            <v>365</v>
          </cell>
          <cell r="P1295">
            <v>43138</v>
          </cell>
          <cell r="Q1295" t="str">
            <v>AYUDA TEMPORAL A LAS FAMILIAS DE VARIAS LOCALIDADES, PARA RELOCALIZACIÓN DE HOGARES LOCALIZADOS EN ZONAS DE ALTO RIESGO NO MITIGABLE ID:2012-ALES-346, LOCALIDAD:19 CIUDAD BOLÍVAR, UPZ:69 ISMAEL PERDOMO, SECTOR:ALTOS DE LA ESTANCIA</v>
          </cell>
          <cell r="R1295">
            <v>3094182</v>
          </cell>
          <cell r="S1295">
            <v>0</v>
          </cell>
          <cell r="T1295">
            <v>0</v>
          </cell>
          <cell r="U1295">
            <v>3094182</v>
          </cell>
          <cell r="V1295">
            <v>1326078</v>
          </cell>
        </row>
        <row r="1296">
          <cell r="J1296">
            <v>827</v>
          </cell>
          <cell r="K1296">
            <v>43138</v>
          </cell>
          <cell r="L1296" t="str">
            <v>IRENE  YATE PAVA</v>
          </cell>
          <cell r="M1296">
            <v>31</v>
          </cell>
          <cell r="N1296" t="str">
            <v>RESOLUCION</v>
          </cell>
          <cell r="O1296">
            <v>366</v>
          </cell>
          <cell r="P1296">
            <v>43138</v>
          </cell>
          <cell r="Q1296" t="str">
            <v>AYUDA TEMPORAL A LAS FAMILIAS DE VARIAS LOCALIDADES, PARA RELOCALIZACIÓN DE HOGARES LOCALIZADOS EN ZONAS DE ALTO RIESGO NO MITIGABLE ID:2016-08-14819, LOCALIDAD:08 KENNEDY, UPZ:82 PATIO BONITO, SECTOR:PALMITAS</v>
          </cell>
          <cell r="R1296">
            <v>3847149</v>
          </cell>
          <cell r="S1296">
            <v>0</v>
          </cell>
          <cell r="T1296">
            <v>0</v>
          </cell>
          <cell r="U1296">
            <v>3847149</v>
          </cell>
          <cell r="V1296">
            <v>2992227</v>
          </cell>
        </row>
        <row r="1297">
          <cell r="J1297">
            <v>828</v>
          </cell>
          <cell r="K1297">
            <v>43138</v>
          </cell>
          <cell r="L1297" t="str">
            <v>BLANCA ARAMINTA MARTINEZ LAGUNA</v>
          </cell>
          <cell r="M1297">
            <v>31</v>
          </cell>
          <cell r="N1297" t="str">
            <v>RESOLUCION</v>
          </cell>
          <cell r="O1297">
            <v>367</v>
          </cell>
          <cell r="P1297">
            <v>43138</v>
          </cell>
          <cell r="Q1297" t="str">
            <v>AYUDA TEMPORAL A LAS FAMILIAS DE VARIAS LOCALIDADES, PARA RELOCALIZACIÓN DE HOGARES LOCALIZADOS EN ZONAS DE ALTO RIESGO NO MITIGABLE ID:2014-OTR-01141, LOCALIDAD:11 SUBA, UPZ:71 TIBABUYES, SECTOR:GAVILANES</v>
          </cell>
          <cell r="R1297">
            <v>6530693</v>
          </cell>
          <cell r="S1297">
            <v>0</v>
          </cell>
          <cell r="T1297">
            <v>0</v>
          </cell>
          <cell r="U1297">
            <v>6530693</v>
          </cell>
          <cell r="V1297">
            <v>3516527</v>
          </cell>
        </row>
        <row r="1298">
          <cell r="J1298">
            <v>829</v>
          </cell>
          <cell r="K1298">
            <v>43138</v>
          </cell>
          <cell r="L1298" t="str">
            <v>JULIO ERNESTO LAGOS MOJICA</v>
          </cell>
          <cell r="M1298">
            <v>31</v>
          </cell>
          <cell r="N1298" t="str">
            <v>RESOLUCION</v>
          </cell>
          <cell r="O1298">
            <v>368</v>
          </cell>
          <cell r="P1298">
            <v>43138</v>
          </cell>
          <cell r="Q1298" t="str">
            <v>AYUDA TEMPORAL A LAS FAMILIAS DE VARIAS LOCALIDADES, PARA RELOCALIZACIÓN DE HOGARES LOCALIZADOS EN ZONAS DE ALTO RIESGO NO MITIGABLE ID:2012-ALES-15, LOCALIDAD:19 CIUDAD BOLÍVAR, UPZ:69 ISMAEL PERDOMO</v>
          </cell>
          <cell r="R1298">
            <v>3157315</v>
          </cell>
          <cell r="S1298">
            <v>451045</v>
          </cell>
          <cell r="T1298">
            <v>0</v>
          </cell>
          <cell r="U1298">
            <v>2706270</v>
          </cell>
          <cell r="V1298">
            <v>2706270</v>
          </cell>
        </row>
        <row r="1299">
          <cell r="J1299">
            <v>830</v>
          </cell>
          <cell r="K1299">
            <v>43138</v>
          </cell>
          <cell r="L1299" t="str">
            <v>ALEYDA  POSADA BEDOYA</v>
          </cell>
          <cell r="M1299">
            <v>31</v>
          </cell>
          <cell r="N1299" t="str">
            <v>RESOLUCION</v>
          </cell>
          <cell r="O1299">
            <v>369</v>
          </cell>
          <cell r="P1299">
            <v>43138</v>
          </cell>
          <cell r="Q1299" t="str">
            <v>AYUDA TEMPORAL A LAS FAMILIAS DE VARIAS LOCALIDADES, PARA RELOCALIZACIÓN DE HOGARES LOCALIZADOS EN ZONAS DE ALTO RIESGO NO MITIGABLE ID:2016-08-14893, LOCALIDAD:08 KENNEDY, UPZ:82 PATIO BONITO, SECTOR:PALMITAS</v>
          </cell>
          <cell r="R1299">
            <v>4322879</v>
          </cell>
          <cell r="S1299">
            <v>0</v>
          </cell>
          <cell r="T1299">
            <v>0</v>
          </cell>
          <cell r="U1299">
            <v>4322879</v>
          </cell>
          <cell r="V1299">
            <v>2357934</v>
          </cell>
        </row>
        <row r="1300">
          <cell r="J1300">
            <v>831</v>
          </cell>
          <cell r="K1300">
            <v>43138</v>
          </cell>
          <cell r="L1300" t="str">
            <v>ADRIANA PATRICIA QUIÑONES BUSTOS</v>
          </cell>
          <cell r="M1300">
            <v>31</v>
          </cell>
          <cell r="N1300" t="str">
            <v>RESOLUCION</v>
          </cell>
          <cell r="O1300">
            <v>370</v>
          </cell>
          <cell r="P1300">
            <v>43138</v>
          </cell>
          <cell r="Q1300" t="str">
            <v>AYUDA TEMPORAL A LAS FAMILIAS DE VARIAS LOCALIDADES, PARA RELOCALIZACIÓN DE HOGARES LOCALIZADOS EN ZONAS DE ALTO RIESGO NO MITIGABLE ID:2013-Q04-00528, LOCALIDAD:19 CIUDAD BOLÍVAR, UPZ:67 LUCERO, SECTOR:PEÑA COLORADA</v>
          </cell>
          <cell r="R1300">
            <v>3788778</v>
          </cell>
          <cell r="S1300">
            <v>541254</v>
          </cell>
          <cell r="T1300">
            <v>0</v>
          </cell>
          <cell r="U1300">
            <v>3247524</v>
          </cell>
          <cell r="V1300">
            <v>3247524</v>
          </cell>
        </row>
        <row r="1301">
          <cell r="J1301">
            <v>832</v>
          </cell>
          <cell r="K1301">
            <v>43138</v>
          </cell>
          <cell r="L1301" t="str">
            <v>LUZ MARINA CRUZ</v>
          </cell>
          <cell r="M1301">
            <v>31</v>
          </cell>
          <cell r="N1301" t="str">
            <v>RESOLUCION</v>
          </cell>
          <cell r="O1301">
            <v>371</v>
          </cell>
          <cell r="P1301">
            <v>43138</v>
          </cell>
          <cell r="Q1301" t="str">
            <v>AYUDA TEMPORAL A LAS FAMILIAS DE VARIAS LOCALIDADES, PARA RELOCALIZACIÓN DE HOGARES LOCALIZADOS EN ZONAS DE ALTO RIESGO NO MITIGABLE ID:2012-19-14414, LOCALIDAD:19 CIUDAD BOLÍVAR, UPZ:68 EL TESORO, SECTOR:QUEBRADA TROMPETA</v>
          </cell>
          <cell r="R1301">
            <v>5977530</v>
          </cell>
          <cell r="S1301">
            <v>0</v>
          </cell>
          <cell r="T1301">
            <v>0</v>
          </cell>
          <cell r="U1301">
            <v>5977530</v>
          </cell>
          <cell r="V1301">
            <v>3218670</v>
          </cell>
        </row>
        <row r="1302">
          <cell r="J1302">
            <v>833</v>
          </cell>
          <cell r="K1302">
            <v>43138</v>
          </cell>
          <cell r="L1302" t="str">
            <v>YOLIBIA ANGELICA YAGUARA</v>
          </cell>
          <cell r="M1302">
            <v>31</v>
          </cell>
          <cell r="N1302" t="str">
            <v>RESOLUCION</v>
          </cell>
          <cell r="O1302">
            <v>600</v>
          </cell>
          <cell r="P1302">
            <v>43138</v>
          </cell>
          <cell r="Q1302" t="str">
            <v>Asignacion del instrumento financiero a las familias ocupantes del predio que hayan superado la fase de verificacion dentro  del marco del Decreto 457 de 2017. LOCALIDAD: KENNEDY; BARRIO: VEREDITAS; ID: 2017-8-383840</v>
          </cell>
          <cell r="R1302">
            <v>54686940</v>
          </cell>
          <cell r="S1302">
            <v>0</v>
          </cell>
          <cell r="T1302">
            <v>0</v>
          </cell>
          <cell r="U1302">
            <v>54686940</v>
          </cell>
          <cell r="V1302">
            <v>54686940</v>
          </cell>
        </row>
        <row r="1303">
          <cell r="J1303">
            <v>834</v>
          </cell>
          <cell r="K1303">
            <v>43138</v>
          </cell>
          <cell r="L1303" t="str">
            <v>GUILLERMO  LOPEZ SORA</v>
          </cell>
          <cell r="M1303">
            <v>31</v>
          </cell>
          <cell r="N1303" t="str">
            <v>RESOLUCION</v>
          </cell>
          <cell r="O1303">
            <v>601</v>
          </cell>
          <cell r="P1303">
            <v>43138</v>
          </cell>
          <cell r="Q1303" t="str">
            <v>Asignacion del instrumento financiero a las familias ocupantes del predio que hayan superado la fase de verificacion dentro  del marco del Decreto 457 de 2017. LOCALIDAD: KENNEDY; BARRIO: VEREDITAS; ID: 2017-8-383837</v>
          </cell>
          <cell r="R1303">
            <v>54686940</v>
          </cell>
          <cell r="S1303">
            <v>0</v>
          </cell>
          <cell r="T1303">
            <v>0</v>
          </cell>
          <cell r="U1303">
            <v>54686940</v>
          </cell>
          <cell r="V1303">
            <v>54686940</v>
          </cell>
        </row>
        <row r="1304">
          <cell r="J1304">
            <v>835</v>
          </cell>
          <cell r="K1304">
            <v>43138</v>
          </cell>
          <cell r="L1304" t="str">
            <v>GLORIA SOFIA ROSAS TORRES</v>
          </cell>
          <cell r="M1304">
            <v>31</v>
          </cell>
          <cell r="N1304" t="str">
            <v>RESOLUCION</v>
          </cell>
          <cell r="O1304">
            <v>459</v>
          </cell>
          <cell r="P1304">
            <v>43138</v>
          </cell>
          <cell r="Q1304" t="str">
            <v>AYUDA TEMPORAL A LAS FAMILIAS DE VARIAS LOCALIDADES, PARA RELOCALIZACIÓN DE HOGARES LOCALIZADOS EN ZONAS DE ALTO RIESGO NO MITIGABLE ID:2011-19-13328, LOCALIDAD:19 CIUDAD BOLÍVAR, UPZ:68 EL TESORO</v>
          </cell>
          <cell r="R1304">
            <v>5612893</v>
          </cell>
          <cell r="S1304">
            <v>0</v>
          </cell>
          <cell r="T1304">
            <v>0</v>
          </cell>
          <cell r="U1304">
            <v>5612893</v>
          </cell>
          <cell r="V1304">
            <v>3022327</v>
          </cell>
        </row>
        <row r="1305">
          <cell r="J1305">
            <v>836</v>
          </cell>
          <cell r="K1305">
            <v>43138</v>
          </cell>
          <cell r="L1305" t="str">
            <v>CARLOS EVELIO TANGARIFE VILLA</v>
          </cell>
          <cell r="M1305">
            <v>31</v>
          </cell>
          <cell r="N1305" t="str">
            <v>RESOLUCION</v>
          </cell>
          <cell r="O1305">
            <v>460</v>
          </cell>
          <cell r="P1305">
            <v>43138</v>
          </cell>
          <cell r="Q1305" t="str">
            <v>AYUDA TEMPORAL A LAS FAMILIAS DE VARIAS LOCALIDADES, PARA RELOCALIZACIÓN DE HOGARES LOCALIZADOS EN ZONAS DE ALTO RIESGO NO MITIGABLE ID:2011-4-12682, LOCALIDAD:04 SAN CRISTÓBAL, UPZ:32 SAN BLAS</v>
          </cell>
          <cell r="R1305">
            <v>2838689</v>
          </cell>
          <cell r="S1305">
            <v>405527</v>
          </cell>
          <cell r="T1305">
            <v>0</v>
          </cell>
          <cell r="U1305">
            <v>2433162</v>
          </cell>
          <cell r="V1305">
            <v>2433162</v>
          </cell>
        </row>
        <row r="1306">
          <cell r="J1306">
            <v>837</v>
          </cell>
          <cell r="K1306">
            <v>43138</v>
          </cell>
          <cell r="L1306" t="str">
            <v>MARIA CRISTINA PRECIADO FUQUENE</v>
          </cell>
          <cell r="M1306">
            <v>31</v>
          </cell>
          <cell r="N1306" t="str">
            <v>RESOLUCION</v>
          </cell>
          <cell r="O1306">
            <v>461</v>
          </cell>
          <cell r="P1306">
            <v>43138</v>
          </cell>
          <cell r="Q1306" t="str">
            <v>AYUDA TEMPORAL A LAS FAMILIAS DE VARIAS LOCALIDADES, PARA RELOCALIZACIÓN DE HOGARES LOCALIZADOS EN ZONAS DE ALTO RIESGO NO MITIGABLE ID:2014-P474-00744, LOCALIDAD:04 SAN CRISTÓBAL, UPZ:33 SOSIEGO, SECTOR:PROCESO LA MARIA</v>
          </cell>
          <cell r="R1306">
            <v>6006000</v>
          </cell>
          <cell r="S1306">
            <v>0</v>
          </cell>
          <cell r="T1306">
            <v>0</v>
          </cell>
          <cell r="U1306">
            <v>6006000</v>
          </cell>
          <cell r="V1306">
            <v>3234000</v>
          </cell>
        </row>
        <row r="1307">
          <cell r="J1307">
            <v>838</v>
          </cell>
          <cell r="K1307">
            <v>43138</v>
          </cell>
          <cell r="L1307" t="str">
            <v>AMADEO  ESPINOSA MONDRAGON</v>
          </cell>
          <cell r="M1307">
            <v>31</v>
          </cell>
          <cell r="N1307" t="str">
            <v>RESOLUCION</v>
          </cell>
          <cell r="O1307">
            <v>462</v>
          </cell>
          <cell r="P1307">
            <v>43138</v>
          </cell>
          <cell r="Q1307" t="str">
            <v>AYUDA TEMPORAL A LAS FAMILIAS DE VARIAS LOCALIDADES, PARA RELOCALIZACIÓN DE HOGARES LOCALIZADOS EN ZONAS DE ALTO RIESGO NO MITIGABLE ID:2013000257, LOCALIDAD:19 CIUDAD BOLÍVAR, UPZ:67 LUCERO, SECTOR:PEÑA COLORADA</v>
          </cell>
          <cell r="R1307">
            <v>2606135</v>
          </cell>
          <cell r="S1307">
            <v>372305</v>
          </cell>
          <cell r="T1307">
            <v>0</v>
          </cell>
          <cell r="U1307">
            <v>2233830</v>
          </cell>
          <cell r="V1307">
            <v>2233830</v>
          </cell>
        </row>
        <row r="1308">
          <cell r="J1308">
            <v>839</v>
          </cell>
          <cell r="K1308">
            <v>43138</v>
          </cell>
          <cell r="L1308" t="str">
            <v>JEIMY ANDREA RUBIO BERMUDEZ</v>
          </cell>
          <cell r="M1308">
            <v>31</v>
          </cell>
          <cell r="N1308" t="str">
            <v>RESOLUCION</v>
          </cell>
          <cell r="O1308">
            <v>463</v>
          </cell>
          <cell r="P1308">
            <v>43138</v>
          </cell>
          <cell r="Q1308" t="str">
            <v>AYUDA TEMPORAL A LAS FAMILIAS DE VARIAS LOCALIDADES, PARA RELOCALIZACIÓN DE HOGARES LOCALIZADOS EN ZONAS DE ALTO RIESGO NO MITIGABLE ID:2012-19-14509, LOCALIDAD:19 CIUDAD BOLÍVAR, UPZ:68 EL TESORO, SECTOR:QUEBRADA EL INFIERNO</v>
          </cell>
          <cell r="R1308">
            <v>3022327</v>
          </cell>
          <cell r="S1308">
            <v>863522</v>
          </cell>
          <cell r="T1308">
            <v>0</v>
          </cell>
          <cell r="U1308">
            <v>2158805</v>
          </cell>
          <cell r="V1308">
            <v>2158805</v>
          </cell>
        </row>
        <row r="1309">
          <cell r="J1309">
            <v>840</v>
          </cell>
          <cell r="K1309">
            <v>43138</v>
          </cell>
          <cell r="L1309" t="str">
            <v>MARLON DAMIAN VALENCIA PERTIAGA</v>
          </cell>
          <cell r="M1309">
            <v>31</v>
          </cell>
          <cell r="N1309" t="str">
            <v>RESOLUCION</v>
          </cell>
          <cell r="O1309">
            <v>464</v>
          </cell>
          <cell r="P1309">
            <v>43138</v>
          </cell>
          <cell r="Q1309" t="str">
            <v>AYUDA TEMPORAL A LAS FAMILIAS DE VARIAS LOCALIDADES, PARA RELOCALIZACIÓN DE HOGARES LOCALIZADOS EN ZONAS DE ALTO RIESGO NO MITIGABLE ID:2015-W166-534, LOCALIDAD:04 SAN CRISTÓBAL, UPZ:34 20 DE JULIO, SECTOR:EPERARA</v>
          </cell>
          <cell r="R1309">
            <v>7287618</v>
          </cell>
          <cell r="S1309">
            <v>0</v>
          </cell>
          <cell r="T1309">
            <v>0</v>
          </cell>
          <cell r="U1309">
            <v>7287618</v>
          </cell>
          <cell r="V1309">
            <v>3924102</v>
          </cell>
        </row>
        <row r="1310">
          <cell r="J1310">
            <v>841</v>
          </cell>
          <cell r="K1310">
            <v>43138</v>
          </cell>
          <cell r="L1310" t="str">
            <v>NORBERTO  DURA ISMARE</v>
          </cell>
          <cell r="M1310">
            <v>31</v>
          </cell>
          <cell r="N1310" t="str">
            <v>RESOLUCION</v>
          </cell>
          <cell r="O1310">
            <v>465</v>
          </cell>
          <cell r="P1310">
            <v>43138</v>
          </cell>
          <cell r="Q1310" t="str">
            <v>AYUDA TEMPORAL A LAS FAMILIAS DE VARIAS LOCALIDADES, PARA RELOCALIZACIÓN DE HOGARES LOCALIZADOS EN ZONAS DE ALTO RIESGO NO MITIGABLE ID:2014-W166-043, LOCALIDAD:19 CIUDAD BOLÍVAR, UPZ:67 LUCERO, SECTOR:WOUNAAN</v>
          </cell>
          <cell r="R1310">
            <v>5285280</v>
          </cell>
          <cell r="S1310">
            <v>0</v>
          </cell>
          <cell r="T1310">
            <v>0</v>
          </cell>
          <cell r="U1310">
            <v>5285280</v>
          </cell>
          <cell r="V1310">
            <v>2845920</v>
          </cell>
        </row>
        <row r="1311">
          <cell r="J1311">
            <v>842</v>
          </cell>
          <cell r="K1311">
            <v>43138</v>
          </cell>
          <cell r="L1311" t="str">
            <v>JOSE LERU DURA ISMARE</v>
          </cell>
          <cell r="M1311">
            <v>31</v>
          </cell>
          <cell r="N1311" t="str">
            <v>RESOLUCION</v>
          </cell>
          <cell r="O1311">
            <v>466</v>
          </cell>
          <cell r="P1311">
            <v>43138</v>
          </cell>
          <cell r="Q1311" t="str">
            <v>AYUDA TEMPORAL A LAS FAMILIAS DE VARIAS LOCALIDADES, PARA RELOCALIZACIÓN DE HOGARES LOCALIZADOS EN ZONAS DE ALTO RIESGO NO MITIGABLE ID:2014-W166-073, LOCALIDAD:19 CIUDAD BOLÍVAR, UPZ:68 EL TESORO, SECTOR:WOUNAAN</v>
          </cell>
          <cell r="R1311">
            <v>813120</v>
          </cell>
          <cell r="S1311">
            <v>406560</v>
          </cell>
          <cell r="T1311">
            <v>0</v>
          </cell>
          <cell r="U1311">
            <v>406560</v>
          </cell>
          <cell r="V1311">
            <v>406560</v>
          </cell>
        </row>
        <row r="1312">
          <cell r="J1312">
            <v>843</v>
          </cell>
          <cell r="K1312">
            <v>43138</v>
          </cell>
          <cell r="L1312" t="str">
            <v>BLANCA LILIANA CAMARGO LOZANO</v>
          </cell>
          <cell r="M1312">
            <v>31</v>
          </cell>
          <cell r="N1312" t="str">
            <v>RESOLUCION</v>
          </cell>
          <cell r="O1312">
            <v>467</v>
          </cell>
          <cell r="P1312">
            <v>43138</v>
          </cell>
          <cell r="Q1312" t="str">
            <v>AYUDA TEMPORAL A LAS FAMILIAS DE VARIAS LOCALIDADES, PARA RELOCALIZACIÓN DE HOGARES LOCALIZADOS EN ZONAS DE ALTO RIESGO NO MITIGABLE ID:2015-3-14762, LOCALIDAD:03 SANTA FE, UPZ:96 LOURDES</v>
          </cell>
          <cell r="R1312">
            <v>5276661</v>
          </cell>
          <cell r="S1312">
            <v>0</v>
          </cell>
          <cell r="T1312">
            <v>0</v>
          </cell>
          <cell r="U1312">
            <v>5276661</v>
          </cell>
          <cell r="V1312">
            <v>2841279</v>
          </cell>
        </row>
        <row r="1313">
          <cell r="J1313">
            <v>844</v>
          </cell>
          <cell r="K1313">
            <v>43138</v>
          </cell>
          <cell r="L1313" t="str">
            <v>LUZ ANGELA CASTRO REYES</v>
          </cell>
          <cell r="M1313">
            <v>31</v>
          </cell>
          <cell r="N1313" t="str">
            <v>RESOLUCION</v>
          </cell>
          <cell r="O1313">
            <v>468</v>
          </cell>
          <cell r="P1313">
            <v>43138</v>
          </cell>
          <cell r="Q1313" t="str">
            <v>AYUDA TEMPORAL A LAS FAMILIAS DE VARIAS LOCALIDADES, PARA RELOCALIZACIÓN DE HOGARES LOCALIZADOS EN ZONAS DE ALTO RIESGO NO MITIGABLE ID:2012-19-13954, LOCALIDAD:19 CIUDAD BOLÍVAR, UPZ:68 EL TESORO</v>
          </cell>
          <cell r="R1313">
            <v>4491802</v>
          </cell>
          <cell r="S1313">
            <v>641686</v>
          </cell>
          <cell r="T1313">
            <v>0</v>
          </cell>
          <cell r="U1313">
            <v>3850116</v>
          </cell>
          <cell r="V1313">
            <v>3850116</v>
          </cell>
        </row>
        <row r="1314">
          <cell r="J1314">
            <v>845</v>
          </cell>
          <cell r="K1314">
            <v>43138</v>
          </cell>
          <cell r="L1314" t="str">
            <v>MARIA YOLANDA NAJAR</v>
          </cell>
          <cell r="M1314">
            <v>31</v>
          </cell>
          <cell r="N1314" t="str">
            <v>RESOLUCION</v>
          </cell>
          <cell r="O1314">
            <v>469</v>
          </cell>
          <cell r="P1314">
            <v>43138</v>
          </cell>
          <cell r="Q1314" t="str">
            <v>AYUDA TEMPORAL A LAS FAMILIAS DE VARIAS LOCALIDADES, PARA RELOCALIZACIÓN DE HOGARES LOCALIZADOS EN ZONAS DE ALTO RIESGO NO MITIGABLE ID:2006-3-9158, LOCALIDAD:03 SANTA FE, UPZ:92 LA MACARENA</v>
          </cell>
          <cell r="R1314">
            <v>5430984</v>
          </cell>
          <cell r="S1314">
            <v>0</v>
          </cell>
          <cell r="T1314">
            <v>0</v>
          </cell>
          <cell r="U1314">
            <v>5430984</v>
          </cell>
          <cell r="V1314">
            <v>2924376</v>
          </cell>
        </row>
        <row r="1315">
          <cell r="J1315">
            <v>846</v>
          </cell>
          <cell r="K1315">
            <v>43138</v>
          </cell>
          <cell r="L1315" t="str">
            <v>CARLOS JULIO CUCUNUBA PANQUEBA</v>
          </cell>
          <cell r="M1315">
            <v>31</v>
          </cell>
          <cell r="N1315" t="str">
            <v>RESOLUCION</v>
          </cell>
          <cell r="O1315">
            <v>470</v>
          </cell>
          <cell r="P1315">
            <v>43138</v>
          </cell>
          <cell r="Q1315" t="str">
            <v>AYUDA TEMPORAL A LAS FAMILIAS DE VARIAS LOCALIDADES, PARA RELOCALIZACIÓN DE HOGARES LOCALIZADOS EN ZONAS DE ALTO RIESGO NO MITIGABLE ID:2015-D227-00044, LOCALIDAD:04 SAN CRISTÓBAL, UPZ:51 LOS LIBERTADORES, SECTOR:SANTA TERESITA</v>
          </cell>
          <cell r="R1315">
            <v>5612893</v>
          </cell>
          <cell r="S1315">
            <v>0</v>
          </cell>
          <cell r="T1315">
            <v>0</v>
          </cell>
          <cell r="U1315">
            <v>5612893</v>
          </cell>
          <cell r="V1315">
            <v>3022327</v>
          </cell>
        </row>
        <row r="1316">
          <cell r="J1316">
            <v>847</v>
          </cell>
          <cell r="K1316">
            <v>43138</v>
          </cell>
          <cell r="L1316" t="str">
            <v>LUZ MARINA QUIROGA</v>
          </cell>
          <cell r="M1316">
            <v>31</v>
          </cell>
          <cell r="N1316" t="str">
            <v>RESOLUCION</v>
          </cell>
          <cell r="O1316">
            <v>472</v>
          </cell>
          <cell r="P1316">
            <v>43138</v>
          </cell>
          <cell r="Q1316" t="str">
            <v>AYUDA TEMPORAL A LAS FAMILIAS DE VARIAS LOCALIDADES, PARA RELOCALIZACIÓN DE HOGARES LOCALIZADOS EN ZONAS DE ALTO RIESGO NO MITIGABLE ID:2016-08-14881, LOCALIDAD:08 KENNEDY, UPZ:82 PATIO BONITO, SECTOR:PALMITAS</v>
          </cell>
          <cell r="R1316">
            <v>5274672</v>
          </cell>
          <cell r="S1316">
            <v>0</v>
          </cell>
          <cell r="T1316">
            <v>0</v>
          </cell>
          <cell r="U1316">
            <v>5274672</v>
          </cell>
          <cell r="V1316">
            <v>2840208</v>
          </cell>
        </row>
        <row r="1317">
          <cell r="J1317">
            <v>848</v>
          </cell>
          <cell r="K1317">
            <v>43138</v>
          </cell>
          <cell r="L1317" t="str">
            <v>MARIA ODILIA BARBOSA SABOGAL</v>
          </cell>
          <cell r="M1317">
            <v>31</v>
          </cell>
          <cell r="N1317" t="str">
            <v>RESOLUCION</v>
          </cell>
          <cell r="O1317">
            <v>473</v>
          </cell>
          <cell r="P1317">
            <v>43138</v>
          </cell>
          <cell r="Q1317" t="str">
            <v>AYUDA TEMPORAL A LAS FAMILIAS DE VARIAS LOCALIDADES, PARA RELOCALIZACIÓN DE HOGARES LOCALIZADOS EN ZONAS DE ALTO RIESGO NO MITIGABLE ID:2013000130, LOCALIDAD:04 SAN CRISTÓBAL, UPZ:51 LOS LIBERTADORES, SECTOR:QUEBRADA VEREJONES</v>
          </cell>
          <cell r="R1317">
            <v>5285280</v>
          </cell>
          <cell r="S1317">
            <v>0</v>
          </cell>
          <cell r="T1317">
            <v>0</v>
          </cell>
          <cell r="U1317">
            <v>5285280</v>
          </cell>
          <cell r="V1317">
            <v>2845920</v>
          </cell>
        </row>
        <row r="1318">
          <cell r="J1318">
            <v>849</v>
          </cell>
          <cell r="K1318">
            <v>43138</v>
          </cell>
          <cell r="L1318" t="str">
            <v>MIRYAM  PIAMBA MAJIN</v>
          </cell>
          <cell r="M1318">
            <v>31</v>
          </cell>
          <cell r="N1318" t="str">
            <v>RESOLUCION</v>
          </cell>
          <cell r="O1318">
            <v>474</v>
          </cell>
          <cell r="P1318">
            <v>43138</v>
          </cell>
          <cell r="Q1318" t="str">
            <v>AYUDA TEMPORAL A LAS FAMILIAS DE VARIAS LOCALIDADES, PARA RELOCALIZACIÓN DE HOGARES LOCALIZADOS EN ZONAS DE ALTO RIESGO NO MITIGABLE ID:2011-4-13294, LOCALIDAD:04 SAN CRISTÓBAL, UPZ:51 LOS LIBERTADORES, SECTOR:QUEBRADA VEREJONES</v>
          </cell>
          <cell r="R1318">
            <v>6127264</v>
          </cell>
          <cell r="S1318">
            <v>0</v>
          </cell>
          <cell r="T1318">
            <v>0</v>
          </cell>
          <cell r="U1318">
            <v>6127264</v>
          </cell>
          <cell r="V1318">
            <v>3299296</v>
          </cell>
        </row>
        <row r="1319">
          <cell r="J1319">
            <v>850</v>
          </cell>
          <cell r="K1319">
            <v>43138</v>
          </cell>
          <cell r="L1319" t="str">
            <v>JORGE ANDRES MARTINEZ</v>
          </cell>
          <cell r="M1319">
            <v>31</v>
          </cell>
          <cell r="N1319" t="str">
            <v>RESOLUCION</v>
          </cell>
          <cell r="O1319">
            <v>475</v>
          </cell>
          <cell r="P1319">
            <v>43138</v>
          </cell>
          <cell r="Q1319" t="str">
            <v>AYUDA TEMPORAL A LAS FAMILIAS DE VARIAS LOCALIDADES, PARA RELOCALIZACIÓN DE HOGARES LOCALIZADOS EN ZONAS DE ALTO RIESGO NO MITIGABLE ID:2017-08-14926, LOCALIDAD:08 KENNEDY, UPZ:82 PATIO BONITO, SECTOR:PALMITAS</v>
          </cell>
          <cell r="R1319">
            <v>5825885</v>
          </cell>
          <cell r="S1319">
            <v>0</v>
          </cell>
          <cell r="T1319">
            <v>0</v>
          </cell>
          <cell r="U1319">
            <v>5825885</v>
          </cell>
          <cell r="V1319">
            <v>896290</v>
          </cell>
        </row>
        <row r="1320">
          <cell r="J1320">
            <v>851</v>
          </cell>
          <cell r="K1320">
            <v>43138</v>
          </cell>
          <cell r="L1320" t="str">
            <v>LUZ STELLA MORA CABALLERO</v>
          </cell>
          <cell r="M1320">
            <v>31</v>
          </cell>
          <cell r="N1320" t="str">
            <v>RESOLUCION</v>
          </cell>
          <cell r="O1320">
            <v>476</v>
          </cell>
          <cell r="P1320">
            <v>43138</v>
          </cell>
          <cell r="Q1320" t="str">
            <v>AYUDA TEMPORAL A LAS FAMILIAS DE VARIAS LOCALIDADES, PARA RELOCALIZACIÓN DE HOGARES LOCALIZADOS EN ZONAS DE ALTO RIESGO NO MITIGABLE ID:2013000251, LOCALIDAD:19 CIUDAD BOLÍVAR, UPZ:67 LUCERO, SECTOR:PEÑA COLORADA</v>
          </cell>
          <cell r="R1320">
            <v>3873016</v>
          </cell>
          <cell r="S1320">
            <v>0</v>
          </cell>
          <cell r="T1320">
            <v>0</v>
          </cell>
          <cell r="U1320">
            <v>3873016</v>
          </cell>
          <cell r="V1320">
            <v>2213152</v>
          </cell>
        </row>
        <row r="1321">
          <cell r="J1321">
            <v>852</v>
          </cell>
          <cell r="K1321">
            <v>43138</v>
          </cell>
          <cell r="L1321" t="str">
            <v>LUIS ENRIQUE CARDOZO ACOSTA</v>
          </cell>
          <cell r="M1321">
            <v>31</v>
          </cell>
          <cell r="N1321" t="str">
            <v>RESOLUCION</v>
          </cell>
          <cell r="O1321">
            <v>477</v>
          </cell>
          <cell r="P1321">
            <v>43138</v>
          </cell>
          <cell r="Q1321" t="str">
            <v>AYUDA TEMPORAL A LAS FAMILIAS DE VARIAS LOCALIDADES, PARA RELOCALIZACIÓN DE HOGARES LOCALIZADOS EN ZONAS DE ALTO RIESGO NO MITIGABLE ID:2012-4-14267, LOCALIDAD:04 SAN CRISTÓBAL, UPZ:32 SAN BLAS</v>
          </cell>
          <cell r="R1321">
            <v>4942301</v>
          </cell>
          <cell r="S1321">
            <v>0</v>
          </cell>
          <cell r="T1321">
            <v>0</v>
          </cell>
          <cell r="U1321">
            <v>4942301</v>
          </cell>
          <cell r="V1321">
            <v>2661239</v>
          </cell>
        </row>
        <row r="1322">
          <cell r="J1322">
            <v>853</v>
          </cell>
          <cell r="K1322">
            <v>43139</v>
          </cell>
          <cell r="L1322" t="str">
            <v>ALBENIS  TORRES</v>
          </cell>
          <cell r="M1322">
            <v>31</v>
          </cell>
          <cell r="N1322" t="str">
            <v>RESOLUCION</v>
          </cell>
          <cell r="O1322">
            <v>431</v>
          </cell>
          <cell r="P1322">
            <v>43139</v>
          </cell>
          <cell r="Q1322" t="str">
            <v>AYUDA TEMPORAL A LAS FAMILIAS DE VARIAS LOCALIDADES, PARA RELOCALIZACIÓN DE HOGARES LOCALIZADOS EN ZONAS DE ALTO RIESGO NO MITIGABLE ID:2013-Q10-00213, LOCALIDAD:04 SAN CRISTÓBAL, UPZ:51 LOS LIBERTADORES, SECTOR:QUEBRADA VEREJONES</v>
          </cell>
          <cell r="R1322">
            <v>2887073</v>
          </cell>
          <cell r="S1322">
            <v>412439</v>
          </cell>
          <cell r="T1322">
            <v>0</v>
          </cell>
          <cell r="U1322">
            <v>2474634</v>
          </cell>
          <cell r="V1322">
            <v>2474634</v>
          </cell>
        </row>
        <row r="1323">
          <cell r="J1323">
            <v>854</v>
          </cell>
          <cell r="K1323">
            <v>43139</v>
          </cell>
          <cell r="L1323" t="str">
            <v>ALCIRA  VELASQUEZ CHIQUIZA</v>
          </cell>
          <cell r="M1323">
            <v>31</v>
          </cell>
          <cell r="N1323" t="str">
            <v>RESOLUCION</v>
          </cell>
          <cell r="O1323">
            <v>432</v>
          </cell>
          <cell r="P1323">
            <v>43139</v>
          </cell>
          <cell r="Q1323" t="str">
            <v>AYUDA TEMPORAL A LAS FAMILIAS DE VARIAS LOCALIDADES, PARA RELOCALIZACIÓN DE HOGARES LOCALIZADOS EN ZONAS DE ALTO RIESGO NO MITIGABLE ID:2011-19-12536, LOCALIDAD:19 CIUDAD BOLÍVAR, UPZ:69 ISMAEL PERDOMO, SECTOR:OLA INVERNAL 2010 FOPAE</v>
          </cell>
          <cell r="R1323">
            <v>2845920</v>
          </cell>
          <cell r="S1323">
            <v>406560</v>
          </cell>
          <cell r="T1323">
            <v>0</v>
          </cell>
          <cell r="U1323">
            <v>2439360</v>
          </cell>
          <cell r="V1323">
            <v>2439360</v>
          </cell>
        </row>
        <row r="1324">
          <cell r="J1324">
            <v>855</v>
          </cell>
          <cell r="K1324">
            <v>43139</v>
          </cell>
          <cell r="L1324" t="str">
            <v>LUZ ESPERANZA AGUILAR CUTIVA</v>
          </cell>
          <cell r="M1324">
            <v>31</v>
          </cell>
          <cell r="N1324" t="str">
            <v>RESOLUCION</v>
          </cell>
          <cell r="O1324">
            <v>433</v>
          </cell>
          <cell r="P1324">
            <v>43139</v>
          </cell>
          <cell r="Q1324" t="str">
            <v>AYUDA TEMPORAL A LAS FAMILIAS DE VARIAS LOCALIDADES, PARA RELOCALIZACIÓN DE HOGARES LOCALIZADOS EN ZONAS DE ALTO RIESGO NO MITIGABLE ID:2014-Q03-00992, LOCALIDAD:19 CIUDAD BOLÍVAR, UPZ:66 SAN FRANCISCO, SECTOR:LIMAS</v>
          </cell>
          <cell r="R1324">
            <v>3606526</v>
          </cell>
          <cell r="S1324">
            <v>515218</v>
          </cell>
          <cell r="T1324">
            <v>0</v>
          </cell>
          <cell r="U1324">
            <v>3091308</v>
          </cell>
          <cell r="V1324">
            <v>3091308</v>
          </cell>
        </row>
        <row r="1325">
          <cell r="J1325">
            <v>856</v>
          </cell>
          <cell r="K1325">
            <v>43139</v>
          </cell>
          <cell r="L1325" t="str">
            <v>YOLANDA  RINCON RODRIGUEZ</v>
          </cell>
          <cell r="M1325">
            <v>31</v>
          </cell>
          <cell r="N1325" t="str">
            <v>RESOLUCION</v>
          </cell>
          <cell r="O1325">
            <v>434</v>
          </cell>
          <cell r="P1325">
            <v>43139</v>
          </cell>
          <cell r="Q1325" t="str">
            <v>AYUDA TEMPORAL A LAS FAMILIAS DE VARIAS LOCALIDADES, PARA RELOCALIZACIÓN DE HOGARES LOCALIZADOS EN ZONAS DE ALTO RIESGO NO MITIGABLE ID:2006-19-8121, LOCALIDAD:19 CIUDAD BOLÍVAR, UPZ:66 SAN FRANCISCO</v>
          </cell>
          <cell r="R1325">
            <v>6743880</v>
          </cell>
          <cell r="S1325">
            <v>0</v>
          </cell>
          <cell r="T1325">
            <v>0</v>
          </cell>
          <cell r="U1325">
            <v>6743880</v>
          </cell>
          <cell r="V1325">
            <v>3631320</v>
          </cell>
        </row>
        <row r="1326">
          <cell r="J1326">
            <v>857</v>
          </cell>
          <cell r="K1326">
            <v>43139</v>
          </cell>
          <cell r="L1326" t="str">
            <v>BRUCELEE  MOÑA MEPAQUITO</v>
          </cell>
          <cell r="M1326">
            <v>31</v>
          </cell>
          <cell r="N1326" t="str">
            <v>RESOLUCION</v>
          </cell>
          <cell r="O1326">
            <v>435</v>
          </cell>
          <cell r="P1326">
            <v>43139</v>
          </cell>
          <cell r="Q1326" t="str">
            <v>AYUDA TEMPORAL A LAS FAMILIAS DE VARIAS LOCALIDADES, PARA RELOCALIZACIÓN DE HOGARES LOCALIZADOS EN ZONAS DE ALTO RIESGO NO MITIGABLE ID:2015-W166-522, LOCALIDAD:19 CIUDAD BOLÍVAR, UPZ:67 LUCERO, SECTOR:WOUNAAN</v>
          </cell>
          <cell r="R1326">
            <v>6868797</v>
          </cell>
          <cell r="S1326">
            <v>0</v>
          </cell>
          <cell r="T1326">
            <v>0</v>
          </cell>
          <cell r="U1326">
            <v>6868797</v>
          </cell>
          <cell r="V1326">
            <v>3698583</v>
          </cell>
        </row>
        <row r="1327">
          <cell r="J1327">
            <v>858</v>
          </cell>
          <cell r="K1327">
            <v>43139</v>
          </cell>
          <cell r="L1327" t="str">
            <v>LUIS ORLANDO AGUILLON CASTAÑEDA</v>
          </cell>
          <cell r="M1327">
            <v>31</v>
          </cell>
          <cell r="N1327" t="str">
            <v>RESOLUCION</v>
          </cell>
          <cell r="O1327">
            <v>436</v>
          </cell>
          <cell r="P1327">
            <v>43139</v>
          </cell>
          <cell r="Q1327" t="str">
            <v>AYUDA TEMPORAL A LAS FAMILIAS DE VARIAS LOCALIDADES, PARA RELOCALIZACIÓN DE HOGARES LOCALIZADOS EN ZONAS DE ALTO RIESGO NO MITIGABLE ID:2014-19-14698, LOCALIDAD:19 CIUDAD BOLÍVAR, UPZ:67 LUCERO</v>
          </cell>
          <cell r="R1327">
            <v>2846046</v>
          </cell>
          <cell r="S1327">
            <v>0</v>
          </cell>
          <cell r="T1327">
            <v>0</v>
          </cell>
          <cell r="U1327">
            <v>2846046</v>
          </cell>
          <cell r="V1327">
            <v>1626312</v>
          </cell>
        </row>
        <row r="1328">
          <cell r="J1328">
            <v>859</v>
          </cell>
          <cell r="K1328">
            <v>43139</v>
          </cell>
          <cell r="L1328" t="str">
            <v>MARIA HIDALIA DURANGO</v>
          </cell>
          <cell r="M1328">
            <v>31</v>
          </cell>
          <cell r="N1328" t="str">
            <v>RESOLUCION</v>
          </cell>
          <cell r="O1328">
            <v>437</v>
          </cell>
          <cell r="P1328">
            <v>43139</v>
          </cell>
          <cell r="Q1328" t="str">
            <v>AYUDA TEMPORAL A LAS FAMILIAS DE VARIAS LOCALIDADES, PARA RELOCALIZACIÓN DE HOGARES LOCALIZADOS EN ZONAS DE ALTO RIESGO NO MITIGABLE ID:2011-5-13011, LOCALIDAD:05 USME, UPZ:56 DANUBIO</v>
          </cell>
          <cell r="R1328">
            <v>2582006</v>
          </cell>
          <cell r="S1328">
            <v>368858</v>
          </cell>
          <cell r="T1328">
            <v>0</v>
          </cell>
          <cell r="U1328">
            <v>2213148</v>
          </cell>
          <cell r="V1328">
            <v>2213148</v>
          </cell>
        </row>
        <row r="1329">
          <cell r="J1329">
            <v>860</v>
          </cell>
          <cell r="K1329">
            <v>43139</v>
          </cell>
          <cell r="L1329" t="str">
            <v>NELSON  DELGADO RAMIREZ</v>
          </cell>
          <cell r="M1329">
            <v>31</v>
          </cell>
          <cell r="N1329" t="str">
            <v>RESOLUCION</v>
          </cell>
          <cell r="O1329">
            <v>438</v>
          </cell>
          <cell r="P1329">
            <v>43139</v>
          </cell>
          <cell r="Q1329" t="str">
            <v>AYUDA TEMPORAL A LAS FAMILIAS DE VARIAS LOCALIDADES, PARA RELOCALIZACIÓN DE HOGARES LOCALIZADOS EN ZONAS DE ALTO RIESGO NO MITIGABLE ID:2014-Q09-01185, LOCALIDAD:19 CIUDAD BOLÍVAR, UPZ:67 LUCERO, SECTOR:QUEBRADA TROMPETA</v>
          </cell>
          <cell r="R1329">
            <v>2434516</v>
          </cell>
          <cell r="S1329">
            <v>347788</v>
          </cell>
          <cell r="T1329">
            <v>0</v>
          </cell>
          <cell r="U1329">
            <v>2086728</v>
          </cell>
          <cell r="V1329">
            <v>2086728</v>
          </cell>
        </row>
        <row r="1330">
          <cell r="J1330">
            <v>861</v>
          </cell>
          <cell r="K1330">
            <v>43139</v>
          </cell>
          <cell r="L1330" t="str">
            <v>ALEXANDRA NATALI SANCHEZ RODRIGUEZ</v>
          </cell>
          <cell r="M1330">
            <v>31</v>
          </cell>
          <cell r="N1330" t="str">
            <v>RESOLUCION</v>
          </cell>
          <cell r="O1330">
            <v>439</v>
          </cell>
          <cell r="P1330">
            <v>43139</v>
          </cell>
          <cell r="Q1330" t="str">
            <v>AYUDA TEMPORAL A LAS FAMILIAS DE VARIAS LOCALIDADES, PARA RELOCALIZACIÓN DE HOGARES LOCALIZADOS EN ZONAS DE ALTO RIESGO NO MITIGABLE ID:2015-ALES-534, LOCALIDAD:19 CIUDAD BOLÍVAR, UPZ:69 ISMAEL PERDOMO, SECTOR:ALTOS DE LA ESTANCIA</v>
          </cell>
          <cell r="R1330">
            <v>5863585</v>
          </cell>
          <cell r="S1330">
            <v>0</v>
          </cell>
          <cell r="T1330">
            <v>0</v>
          </cell>
          <cell r="U1330">
            <v>5863585</v>
          </cell>
          <cell r="V1330">
            <v>3157315</v>
          </cell>
        </row>
        <row r="1331">
          <cell r="J1331">
            <v>862</v>
          </cell>
          <cell r="K1331">
            <v>43139</v>
          </cell>
          <cell r="L1331" t="str">
            <v>YENI ESPERANZA ROJAS MARTINEZ</v>
          </cell>
          <cell r="M1331">
            <v>31</v>
          </cell>
          <cell r="N1331" t="str">
            <v>RESOLUCION</v>
          </cell>
          <cell r="O1331">
            <v>440</v>
          </cell>
          <cell r="P1331">
            <v>43139</v>
          </cell>
          <cell r="Q1331" t="str">
            <v>AYUDA TEMPORAL A LAS FAMILIAS DE VARIAS LOCALIDADES, PARA RELOCALIZACIÓN DE HOGARES LOCALIZADOS EN ZONAS DE ALTO RIESGO NO MITIGABLE ID:2015-19-14746, LOCALIDAD:19 CIUDAD BOLÍVAR, UPZ:68 EL TESORO</v>
          </cell>
          <cell r="R1331">
            <v>4986969</v>
          </cell>
          <cell r="S1331">
            <v>0</v>
          </cell>
          <cell r="T1331">
            <v>0</v>
          </cell>
          <cell r="U1331">
            <v>4986969</v>
          </cell>
          <cell r="V1331">
            <v>2685291</v>
          </cell>
        </row>
        <row r="1332">
          <cell r="J1332">
            <v>863</v>
          </cell>
          <cell r="K1332">
            <v>43139</v>
          </cell>
          <cell r="L1332" t="str">
            <v>ROMULO JESUS YATE VEGA</v>
          </cell>
          <cell r="M1332">
            <v>31</v>
          </cell>
          <cell r="N1332" t="str">
            <v>RESOLUCION</v>
          </cell>
          <cell r="O1332">
            <v>441</v>
          </cell>
          <cell r="P1332">
            <v>43139</v>
          </cell>
          <cell r="Q1332" t="str">
            <v>AYUDA TEMPORAL A LAS FAMILIAS DE VARIAS LOCALIDADES, PARA RELOCALIZACIÓN DE HOGARES LOCALIZADOS EN ZONAS DE ALTO RIESGO NO MITIGABLE ID:2012-ALES-377, LOCALIDAD:19 CIUDAD BOLÍVAR, UPZ:69 ISMAEL PERDOMO, SECTOR:ALTOS DE LA ESTANCIA</v>
          </cell>
          <cell r="R1332">
            <v>3017000</v>
          </cell>
          <cell r="S1332">
            <v>431000</v>
          </cell>
          <cell r="T1332">
            <v>0</v>
          </cell>
          <cell r="U1332">
            <v>2586000</v>
          </cell>
          <cell r="V1332">
            <v>2586000</v>
          </cell>
        </row>
        <row r="1333">
          <cell r="J1333">
            <v>864</v>
          </cell>
          <cell r="K1333">
            <v>43139</v>
          </cell>
          <cell r="L1333" t="str">
            <v>ADRIANA  SIERRA</v>
          </cell>
          <cell r="M1333">
            <v>31</v>
          </cell>
          <cell r="N1333" t="str">
            <v>RESOLUCION</v>
          </cell>
          <cell r="O1333">
            <v>442</v>
          </cell>
          <cell r="P1333">
            <v>43139</v>
          </cell>
          <cell r="Q1333" t="str">
            <v>AYUDA TEMPORAL A LAS FAMILIAS DE VARIAS LOCALIDADES, PARA RELOCALIZACIÓN DE HOGARES LOCALIZADOS EN ZONAS DE ALTO RIESGO NO MITIGABLE ID:2014-OTR-00952, LOCALIDAD:19 CIUDAD BOLÍVAR, UPZ:67 LUCERO, SECTOR:TABOR ALTALOMA</v>
          </cell>
          <cell r="R1333">
            <v>3017000</v>
          </cell>
          <cell r="S1333">
            <v>431000</v>
          </cell>
          <cell r="T1333">
            <v>0</v>
          </cell>
          <cell r="U1333">
            <v>2586000</v>
          </cell>
          <cell r="V1333">
            <v>2586000</v>
          </cell>
        </row>
        <row r="1334">
          <cell r="J1334">
            <v>865</v>
          </cell>
          <cell r="K1334">
            <v>43139</v>
          </cell>
          <cell r="L1334" t="str">
            <v>JHON EDUARDO CABALLERO URRIAGO</v>
          </cell>
          <cell r="M1334">
            <v>31</v>
          </cell>
          <cell r="N1334" t="str">
            <v>RESOLUCION</v>
          </cell>
          <cell r="O1334">
            <v>443</v>
          </cell>
          <cell r="P1334">
            <v>43139</v>
          </cell>
          <cell r="Q1334" t="str">
            <v>AYUDA TEMPORAL A LAS FAMILIAS DE VARIAS LOCALIDADES, PARA RELOCALIZACIÓN DE HOGARES LOCALIZADOS EN ZONAS DE ALTO RIESGO NO MITIGABLE ID:2014-Q03-01081, LOCALIDAD:19 CIUDAD BOLÍVAR, UPZ:66 SAN FRANCISCO, SECTOR:LIMAS</v>
          </cell>
          <cell r="R1334">
            <v>2582006</v>
          </cell>
          <cell r="S1334">
            <v>368858</v>
          </cell>
          <cell r="T1334">
            <v>0</v>
          </cell>
          <cell r="U1334">
            <v>2213148</v>
          </cell>
          <cell r="V1334">
            <v>2213148</v>
          </cell>
        </row>
        <row r="1335">
          <cell r="J1335">
            <v>866</v>
          </cell>
          <cell r="K1335">
            <v>43139</v>
          </cell>
          <cell r="L1335" t="str">
            <v>ELIDA  MOÑA ISMARE</v>
          </cell>
          <cell r="M1335">
            <v>31</v>
          </cell>
          <cell r="N1335" t="str">
            <v>RESOLUCION</v>
          </cell>
          <cell r="O1335">
            <v>444</v>
          </cell>
          <cell r="P1335">
            <v>43139</v>
          </cell>
          <cell r="Q1335" t="str">
            <v>AYUDA TEMPORAL A LAS FAMILIAS DE VARIAS LOCALIDADES, PARA RELOCALIZACIÓN DE HOGARES LOCALIZADOS EN ZONAS DE ALTO RIESGO NO MITIGABLE ID:2015-W166-525, LOCALIDAD:05 USME, UPZ:59 ALFONSO LÓPEZ, SECTOR:WOUNAAN</v>
          </cell>
          <cell r="R1335">
            <v>6868797</v>
          </cell>
          <cell r="S1335">
            <v>0</v>
          </cell>
          <cell r="T1335">
            <v>0</v>
          </cell>
          <cell r="U1335">
            <v>6868797</v>
          </cell>
          <cell r="V1335">
            <v>3698583</v>
          </cell>
        </row>
        <row r="1336">
          <cell r="J1336">
            <v>867</v>
          </cell>
          <cell r="K1336">
            <v>43139</v>
          </cell>
          <cell r="L1336" t="str">
            <v>JOEL ANTONIO VARELA LUGO</v>
          </cell>
          <cell r="M1336">
            <v>31</v>
          </cell>
          <cell r="N1336" t="str">
            <v>RESOLUCION</v>
          </cell>
          <cell r="O1336">
            <v>445</v>
          </cell>
          <cell r="P1336">
            <v>43139</v>
          </cell>
          <cell r="Q1336" t="str">
            <v>AYUDA TEMPORAL A LAS FAMILIAS DE VARIAS LOCALIDADES, PARA RELOCALIZACIÓN DE HOGARES LOCALIZADOS EN ZONAS DE ALTO RIESGO NO MITIGABLE ID:2012-T314-16, LOCALIDAD:04 SAN CRISTÓBAL, UPZ:50 LA GLORIA</v>
          </cell>
          <cell r="R1336">
            <v>2334420</v>
          </cell>
          <cell r="S1336">
            <v>389070</v>
          </cell>
          <cell r="T1336">
            <v>0</v>
          </cell>
          <cell r="U1336">
            <v>1945350</v>
          </cell>
          <cell r="V1336">
            <v>1945350</v>
          </cell>
        </row>
        <row r="1337">
          <cell r="J1337">
            <v>868</v>
          </cell>
          <cell r="K1337">
            <v>43139</v>
          </cell>
          <cell r="L1337" t="str">
            <v>MARIA CRISTINA GALINDO MEDINA</v>
          </cell>
          <cell r="M1337">
            <v>31</v>
          </cell>
          <cell r="N1337" t="str">
            <v>RESOLUCION</v>
          </cell>
          <cell r="O1337">
            <v>446</v>
          </cell>
          <cell r="P1337">
            <v>43139</v>
          </cell>
          <cell r="Q1337" t="str">
            <v>AYUDA TEMPORAL A LAS FAMILIAS DE VARIAS LOCALIDADES, PARA RELOCALIZACIÓN DE HOGARES LOCALIZADOS EN ZONAS DE ALTO RIESGO NO MITIGABLE ID:2011-4-12676, LOCALIDAD:04 SAN CRISTÓBAL, UPZ:32 SAN BLAS</v>
          </cell>
          <cell r="R1337">
            <v>2087754</v>
          </cell>
          <cell r="S1337">
            <v>0</v>
          </cell>
          <cell r="T1337">
            <v>0</v>
          </cell>
          <cell r="U1337">
            <v>2087754</v>
          </cell>
          <cell r="V1337">
            <v>1739795</v>
          </cell>
        </row>
        <row r="1338">
          <cell r="J1338">
            <v>869</v>
          </cell>
          <cell r="K1338">
            <v>43139</v>
          </cell>
          <cell r="L1338" t="str">
            <v>JAQUELINE  LOPEZ PEREZ</v>
          </cell>
          <cell r="M1338">
            <v>31</v>
          </cell>
          <cell r="N1338" t="str">
            <v>RESOLUCION</v>
          </cell>
          <cell r="O1338">
            <v>447</v>
          </cell>
          <cell r="P1338">
            <v>43139</v>
          </cell>
          <cell r="Q1338" t="str">
            <v>AYUDA TEMPORAL A LAS FAMILIAS DE VARIAS LOCALIDADES, PARA RELOCALIZACIÓN DE HOGARES LOCALIZADOS EN ZONAS DE ALTO RIESGO NO MITIGABLE ID:2012-T314-10, LOCALIDAD:04 SAN CRISTÓBAL, UPZ:50 LA GLORIA</v>
          </cell>
          <cell r="R1338">
            <v>2244132</v>
          </cell>
          <cell r="S1338">
            <v>374022</v>
          </cell>
          <cell r="T1338">
            <v>0</v>
          </cell>
          <cell r="U1338">
            <v>1870110</v>
          </cell>
          <cell r="V1338">
            <v>1870110</v>
          </cell>
        </row>
        <row r="1339">
          <cell r="J1339">
            <v>870</v>
          </cell>
          <cell r="K1339">
            <v>43139</v>
          </cell>
          <cell r="L1339" t="str">
            <v>SILVIA ESPERANZA ALDANA PULIDO</v>
          </cell>
          <cell r="M1339">
            <v>31</v>
          </cell>
          <cell r="N1339" t="str">
            <v>RESOLUCION</v>
          </cell>
          <cell r="O1339">
            <v>448</v>
          </cell>
          <cell r="P1339">
            <v>43139</v>
          </cell>
          <cell r="Q1339" t="str">
            <v>AYUDA TEMPORAL A LAS FAMILIAS DE VARIAS LOCALIDADES, PARA RELOCALIZACIÓN DE HOGARES LOCALIZADOS EN ZONAS DE ALTO RIESGO NO MITIGABLE ID:2012-T314-12, LOCALIDAD:04 SAN CRISTÓBAL, UPZ:50 LA GLORIA</v>
          </cell>
          <cell r="R1339">
            <v>2334420</v>
          </cell>
          <cell r="S1339">
            <v>389070</v>
          </cell>
          <cell r="T1339">
            <v>0</v>
          </cell>
          <cell r="U1339">
            <v>1945350</v>
          </cell>
          <cell r="V1339">
            <v>1945350</v>
          </cell>
        </row>
        <row r="1340">
          <cell r="J1340">
            <v>871</v>
          </cell>
          <cell r="K1340">
            <v>43139</v>
          </cell>
          <cell r="L1340" t="str">
            <v>JOSE VICENTE RODRIGUEZ PARRA</v>
          </cell>
          <cell r="M1340">
            <v>31</v>
          </cell>
          <cell r="N1340" t="str">
            <v>RESOLUCION</v>
          </cell>
          <cell r="O1340">
            <v>449</v>
          </cell>
          <cell r="P1340">
            <v>43139</v>
          </cell>
          <cell r="Q1340" t="str">
            <v>AYUDA TEMPORAL A LAS FAMILIAS DE VARIAS LOCALIDADES, PARA RELOCALIZACIÓN DE HOGARES LOCALIZADOS EN ZONAS DE ALTO RIESGO NO MITIGABLE ID:2017-04-14932, LOCALIDAD:04 SAN CRISTÓBAL, UPZ:32 SAN BLAS, SECTOR:TRIANGULO ALTO</v>
          </cell>
          <cell r="R1340">
            <v>2655780</v>
          </cell>
          <cell r="S1340">
            <v>0</v>
          </cell>
          <cell r="T1340">
            <v>0</v>
          </cell>
          <cell r="U1340">
            <v>2655780</v>
          </cell>
          <cell r="V1340">
            <v>2213150</v>
          </cell>
        </row>
        <row r="1341">
          <cell r="J1341">
            <v>872</v>
          </cell>
          <cell r="K1341">
            <v>43139</v>
          </cell>
          <cell r="L1341" t="str">
            <v>BEATRIZ  MORALES RUIZ</v>
          </cell>
          <cell r="M1341">
            <v>31</v>
          </cell>
          <cell r="N1341" t="str">
            <v>RESOLUCION</v>
          </cell>
          <cell r="O1341">
            <v>450</v>
          </cell>
          <cell r="P1341">
            <v>43139</v>
          </cell>
          <cell r="Q1341" t="str">
            <v>AYUDA TEMPORAL A LAS FAMILIAS DE VARIAS LOCALIDADES, PARA RELOCALIZACIÓN DE HOGARES LOCALIZADOS EN ZONAS DE ALTO RIESGO NO MITIGABLE ID:2012-T314-13, LOCALIDAD:04 SAN CRISTÓBAL, UPZ:50 LA GLORIA</v>
          </cell>
          <cell r="R1341">
            <v>2244132</v>
          </cell>
          <cell r="S1341">
            <v>374022</v>
          </cell>
          <cell r="T1341">
            <v>0</v>
          </cell>
          <cell r="U1341">
            <v>1870110</v>
          </cell>
          <cell r="V1341">
            <v>1496088</v>
          </cell>
        </row>
        <row r="1342">
          <cell r="J1342">
            <v>873</v>
          </cell>
          <cell r="K1342">
            <v>43139</v>
          </cell>
          <cell r="L1342" t="str">
            <v>ELIANA PATRICIA MORENO ARDILA</v>
          </cell>
          <cell r="M1342">
            <v>31</v>
          </cell>
          <cell r="N1342" t="str">
            <v>RESOLUCION</v>
          </cell>
          <cell r="O1342">
            <v>451</v>
          </cell>
          <cell r="P1342">
            <v>43139</v>
          </cell>
          <cell r="Q1342" t="str">
            <v>AYUDA TEMPORAL A LAS FAMILIAS DE VARIAS LOCALIDADES, PARA RELOCALIZACIÓN DE HOGARES LOCALIZADOS EN ZONAS DE ALTO RIESGO NO MITIGABLE ID:2013-Q10-00650, LOCALIDAD:04 SAN CRISTÓBAL, UPZ:51 LOS LIBERTADORES, SECTOR:QUEBRADA VEREJONES</v>
          </cell>
          <cell r="R1342">
            <v>2586000</v>
          </cell>
          <cell r="S1342">
            <v>431000</v>
          </cell>
          <cell r="T1342">
            <v>0</v>
          </cell>
          <cell r="U1342">
            <v>2155000</v>
          </cell>
          <cell r="V1342">
            <v>2155000</v>
          </cell>
        </row>
        <row r="1343">
          <cell r="J1343">
            <v>874</v>
          </cell>
          <cell r="K1343">
            <v>43139</v>
          </cell>
          <cell r="L1343" t="str">
            <v>LUIS HERNANDO VENTURA VIRGUEZ</v>
          </cell>
          <cell r="M1343">
            <v>31</v>
          </cell>
          <cell r="N1343" t="str">
            <v>RESOLUCION</v>
          </cell>
          <cell r="O1343">
            <v>452</v>
          </cell>
          <cell r="P1343">
            <v>43139</v>
          </cell>
          <cell r="Q1343" t="str">
            <v>AYUDA TEMPORAL A LAS FAMILIAS DE VARIAS LOCALIDADES, PARA RELOCALIZACIÓN DE HOGARES LOCALIZADOS EN ZONAS DE ALTO RIESGO NO MITIGABLE ID:2015-ALES-533, LOCALIDAD:19 CIUDAD BOLÍVAR, UPZ:69 ISMAEL PERDOMO, SECTOR:ALTOS DE LA ESTANCIA</v>
          </cell>
          <cell r="R1343">
            <v>2706270</v>
          </cell>
          <cell r="S1343">
            <v>451045</v>
          </cell>
          <cell r="T1343">
            <v>0</v>
          </cell>
          <cell r="U1343">
            <v>2255225</v>
          </cell>
          <cell r="V1343">
            <v>2255225</v>
          </cell>
        </row>
        <row r="1344">
          <cell r="J1344">
            <v>875</v>
          </cell>
          <cell r="K1344">
            <v>43139</v>
          </cell>
          <cell r="L1344" t="str">
            <v>SOLEDAD  PINO PEREZ</v>
          </cell>
          <cell r="M1344">
            <v>31</v>
          </cell>
          <cell r="N1344" t="str">
            <v>RESOLUCION</v>
          </cell>
          <cell r="O1344">
            <v>453</v>
          </cell>
          <cell r="P1344">
            <v>43139</v>
          </cell>
          <cell r="Q1344" t="str">
            <v>AYUDA TEMPORAL A LAS FAMILIAS DE VARIAS LOCALIDADES, PARA RELOCALIZACIÓN DE HOGARES LOCALIZADOS EN ZONAS DE ALTO RIESGO NO MITIGABLE ID:2012-T314-15, LOCALIDAD:04 SAN CRISTÓBAL, UPZ:50 LA GLORIA</v>
          </cell>
          <cell r="R1344">
            <v>2706492</v>
          </cell>
          <cell r="S1344">
            <v>451082</v>
          </cell>
          <cell r="T1344">
            <v>0</v>
          </cell>
          <cell r="U1344">
            <v>2255410</v>
          </cell>
          <cell r="V1344">
            <v>2255410</v>
          </cell>
        </row>
        <row r="1345">
          <cell r="J1345">
            <v>876</v>
          </cell>
          <cell r="K1345">
            <v>43139</v>
          </cell>
          <cell r="L1345" t="str">
            <v>MARTHA LILIANA PINO PEREZ</v>
          </cell>
          <cell r="M1345">
            <v>31</v>
          </cell>
          <cell r="N1345" t="str">
            <v>RESOLUCION</v>
          </cell>
          <cell r="O1345">
            <v>454</v>
          </cell>
          <cell r="P1345">
            <v>43139</v>
          </cell>
          <cell r="Q1345" t="str">
            <v>AYUDA TEMPORAL A LAS FAMILIAS DE VARIAS LOCALIDADES, PARA RELOCALIZACIÓN DE HOGARES LOCALIZADOS EN ZONAS DE ALTO RIESGO NO MITIGABLE ID:2012-T314-14, LOCALIDAD:04 SAN CRISTÓBAL, UPZ:50 LA GLORIA</v>
          </cell>
          <cell r="R1345">
            <v>2474634</v>
          </cell>
          <cell r="S1345">
            <v>412439</v>
          </cell>
          <cell r="T1345">
            <v>0</v>
          </cell>
          <cell r="U1345">
            <v>2062195</v>
          </cell>
          <cell r="V1345">
            <v>2062195</v>
          </cell>
        </row>
        <row r="1346">
          <cell r="J1346">
            <v>877</v>
          </cell>
          <cell r="K1346">
            <v>43139</v>
          </cell>
          <cell r="L1346" t="str">
            <v>JACOBA  MORENO GUERRERO</v>
          </cell>
          <cell r="M1346">
            <v>31</v>
          </cell>
          <cell r="N1346" t="str">
            <v>RESOLUCION</v>
          </cell>
          <cell r="O1346">
            <v>455</v>
          </cell>
          <cell r="P1346">
            <v>43139</v>
          </cell>
          <cell r="Q1346" t="str">
            <v>AYUDA TEMPORAL A LAS FAMILIAS DE VARIAS LOCALIDADES, PARA RELOCALIZACIÓN DE HOGARES LOCALIZADOS EN ZONAS DE ALTO RIESGO NO MITIGABLE ID:2014-OTR-00893, LOCALIDAD:03 SANTA FE, UPZ:96 LOURDES, SECTOR:CASA 3</v>
          </cell>
          <cell r="R1346">
            <v>2550450</v>
          </cell>
          <cell r="S1346">
            <v>425075</v>
          </cell>
          <cell r="T1346">
            <v>0</v>
          </cell>
          <cell r="U1346">
            <v>2125375</v>
          </cell>
          <cell r="V1346">
            <v>2125375</v>
          </cell>
        </row>
        <row r="1347">
          <cell r="J1347">
            <v>878</v>
          </cell>
          <cell r="K1347">
            <v>43139</v>
          </cell>
          <cell r="L1347" t="str">
            <v>MARLEN  BELTRAN CASTELLANOS</v>
          </cell>
          <cell r="M1347">
            <v>31</v>
          </cell>
          <cell r="N1347" t="str">
            <v>RESOLUCION</v>
          </cell>
          <cell r="O1347">
            <v>456</v>
          </cell>
          <cell r="P1347">
            <v>43139</v>
          </cell>
          <cell r="Q1347" t="str">
            <v>AYUDA TEMPORAL A LAS FAMILIAS DE VARIAS LOCALIDADES, PARA RELOCALIZACIÓN DE HOGARES LOCALIZADOS EN ZONAS DE ALTO RIESGO NO MITIGABLE ID:2011-4-12671, LOCALIDAD:04 SAN CRISTÓBAL, UPZ:32 SAN BLAS</v>
          </cell>
          <cell r="R1347">
            <v>2590566</v>
          </cell>
          <cell r="S1347">
            <v>431761</v>
          </cell>
          <cell r="T1347">
            <v>0</v>
          </cell>
          <cell r="U1347">
            <v>2158805</v>
          </cell>
          <cell r="V1347">
            <v>2158805</v>
          </cell>
        </row>
        <row r="1348">
          <cell r="J1348">
            <v>879</v>
          </cell>
          <cell r="K1348">
            <v>43139</v>
          </cell>
          <cell r="L1348" t="str">
            <v>MARIA DEL PILAR PINO PEREZ</v>
          </cell>
          <cell r="M1348">
            <v>31</v>
          </cell>
          <cell r="N1348" t="str">
            <v>RESOLUCION</v>
          </cell>
          <cell r="O1348">
            <v>457</v>
          </cell>
          <cell r="P1348">
            <v>43139</v>
          </cell>
          <cell r="Q1348" t="str">
            <v>AYUDA TEMPORAL A LAS FAMILIAS DE VARIAS LOCALIDADES, PARA RELOCALIZACIÓN DE HOGARES LOCALIZADOS EN ZONAS DE ALTO RIESGO NO MITIGABLE ID:2012-T314-06, LOCALIDAD:04 SAN CRISTÓBAL, UPZ:50 LA GLORIA</v>
          </cell>
          <cell r="R1348">
            <v>2590566</v>
          </cell>
          <cell r="S1348">
            <v>431761</v>
          </cell>
          <cell r="T1348">
            <v>0</v>
          </cell>
          <cell r="U1348">
            <v>2158805</v>
          </cell>
          <cell r="V1348">
            <v>2158805</v>
          </cell>
        </row>
        <row r="1349">
          <cell r="J1349">
            <v>880</v>
          </cell>
          <cell r="K1349">
            <v>43139</v>
          </cell>
          <cell r="L1349" t="str">
            <v>ROSARIO  PINO PEREZ</v>
          </cell>
          <cell r="M1349">
            <v>31</v>
          </cell>
          <cell r="N1349" t="str">
            <v>RESOLUCION</v>
          </cell>
          <cell r="O1349">
            <v>458</v>
          </cell>
          <cell r="P1349">
            <v>43139</v>
          </cell>
          <cell r="Q1349" t="str">
            <v>AYUDA TEMPORAL A LAS FAMILIAS DE VARIAS LOCALIDADES, PARA RELOCALIZACIÓN DE HOGARES LOCALIZADOS EN ZONAS DE ALTO RIESGO NO MITIGABLE ID:2012-T314-03, LOCALIDAD:04 SAN CRISTÓBAL, UPZ:50 LA GLORIA</v>
          </cell>
          <cell r="R1349">
            <v>2213148</v>
          </cell>
          <cell r="S1349">
            <v>368858</v>
          </cell>
          <cell r="T1349">
            <v>0</v>
          </cell>
          <cell r="U1349">
            <v>1844290</v>
          </cell>
          <cell r="V1349">
            <v>1844290</v>
          </cell>
        </row>
        <row r="1350">
          <cell r="J1350">
            <v>881</v>
          </cell>
          <cell r="K1350">
            <v>43139</v>
          </cell>
          <cell r="L1350" t="str">
            <v>AHIDA MARIBEL MARROQUIN GUEVARA</v>
          </cell>
          <cell r="M1350">
            <v>31</v>
          </cell>
          <cell r="N1350" t="str">
            <v>RESOLUCION</v>
          </cell>
          <cell r="O1350">
            <v>401</v>
          </cell>
          <cell r="P1350">
            <v>43139</v>
          </cell>
          <cell r="Q1350" t="str">
            <v>AYUDA TEMPORAL A LAS FAMILIAS DE VARIAS LOCALIDADES, PARA RELOCALIZACIÓN DE HOGARES LOCALIZADOS EN ZONAS DE ALTO RIESGO NO MITIGABLE ID:2014-Q03-01085, LOCALIDAD:19 CIUDAD BOLÍVAR, UPZ:66 SAN FRANCISCO, SECTOR:LIMAS</v>
          </cell>
          <cell r="R1350">
            <v>2887073</v>
          </cell>
          <cell r="S1350">
            <v>412439</v>
          </cell>
          <cell r="T1350">
            <v>0</v>
          </cell>
          <cell r="U1350">
            <v>2474634</v>
          </cell>
          <cell r="V1350">
            <v>2474634</v>
          </cell>
        </row>
        <row r="1351">
          <cell r="J1351">
            <v>882</v>
          </cell>
          <cell r="K1351">
            <v>43139</v>
          </cell>
          <cell r="L1351" t="str">
            <v>MARIA DOLORES AREVALO</v>
          </cell>
          <cell r="M1351">
            <v>31</v>
          </cell>
          <cell r="N1351" t="str">
            <v>RESOLUCION</v>
          </cell>
          <cell r="O1351">
            <v>402</v>
          </cell>
          <cell r="P1351">
            <v>43139</v>
          </cell>
          <cell r="Q1351" t="str">
            <v>AYUDA TEMPORAL A LAS FAMILIAS DE VARIAS LOCALIDADES, PARA RELOCALIZACIÓN DE HOGARES LOCALIZADOS EN ZONAS DE ALTO RIESGO NO MITIGABLE ID:2010-4-12312, LOCALIDAD:04 SAN CRISTÓBAL, UPZ:32 SAN BLAS, SECTOR:OLA INVERNAL 2010 FOPAE</v>
          </cell>
          <cell r="R1351">
            <v>5430984</v>
          </cell>
          <cell r="S1351">
            <v>0</v>
          </cell>
          <cell r="T1351">
            <v>0</v>
          </cell>
          <cell r="U1351">
            <v>5430984</v>
          </cell>
          <cell r="V1351">
            <v>2924376</v>
          </cell>
        </row>
        <row r="1352">
          <cell r="J1352">
            <v>883</v>
          </cell>
          <cell r="K1352">
            <v>43139</v>
          </cell>
          <cell r="L1352" t="str">
            <v>MARLENY  GARCIA VILLEGAS</v>
          </cell>
          <cell r="M1352">
            <v>31</v>
          </cell>
          <cell r="N1352" t="str">
            <v>RESOLUCION</v>
          </cell>
          <cell r="O1352">
            <v>403</v>
          </cell>
          <cell r="P1352">
            <v>43139</v>
          </cell>
          <cell r="Q1352" t="str">
            <v>AYUDA TEMPORAL A LAS FAMILIAS DE VARIAS LOCALIDADES, PARA RELOCALIZACIÓN DE HOGARES LOCALIZADOS EN ZONAS DE ALTO RIESGO NO MITIGABLE ID:2012-ALES-396, LOCALIDAD:19 CIUDAD BOLÍVAR, UPZ:69 ISMAEL PERDOMO, SECTOR:ALTOS DE LA ESTANCIA</v>
          </cell>
          <cell r="R1352">
            <v>3157000</v>
          </cell>
          <cell r="S1352">
            <v>451000</v>
          </cell>
          <cell r="T1352">
            <v>0</v>
          </cell>
          <cell r="U1352">
            <v>2706000</v>
          </cell>
          <cell r="V1352">
            <v>2706000</v>
          </cell>
        </row>
        <row r="1353">
          <cell r="J1353">
            <v>884</v>
          </cell>
          <cell r="K1353">
            <v>43139</v>
          </cell>
          <cell r="L1353" t="str">
            <v>MARIA ELVIA CHIVATA IBAGUE</v>
          </cell>
          <cell r="M1353">
            <v>31</v>
          </cell>
          <cell r="N1353" t="str">
            <v>RESOLUCION</v>
          </cell>
          <cell r="O1353">
            <v>404</v>
          </cell>
          <cell r="P1353">
            <v>43139</v>
          </cell>
          <cell r="Q1353" t="str">
            <v>AYUDA TEMPORAL A LAS FAMILIAS DE VARIAS LOCALIDADES, PARA RELOCALIZACIÓN DE HOGARES LOCALIZADOS EN ZONAS DE ALTO RIESGO NO MITIGABLE ID:2014-OTR-01048, LOCALIDAD:19 CIUDAD BOLÍVAR, UPZ:67 LUCERO, SECTOR:TABOR ALTALOMA</v>
          </cell>
          <cell r="R1353">
            <v>3157315</v>
          </cell>
          <cell r="S1353">
            <v>451045</v>
          </cell>
          <cell r="T1353">
            <v>0</v>
          </cell>
          <cell r="U1353">
            <v>2706270</v>
          </cell>
          <cell r="V1353">
            <v>2706270</v>
          </cell>
        </row>
        <row r="1354">
          <cell r="J1354">
            <v>885</v>
          </cell>
          <cell r="K1354">
            <v>43139</v>
          </cell>
          <cell r="L1354" t="str">
            <v>DENIS ALEXANDER BAÑOL ARIAS</v>
          </cell>
          <cell r="M1354">
            <v>31</v>
          </cell>
          <cell r="N1354" t="str">
            <v>RESOLUCION</v>
          </cell>
          <cell r="O1354">
            <v>405</v>
          </cell>
          <cell r="P1354">
            <v>43139</v>
          </cell>
          <cell r="Q1354" t="str">
            <v>AYUDA TEMPORAL A LAS FAMILIAS DE VARIAS LOCALIDADES, PARA RELOCALIZACIÓN DE HOGARES LOCALIZADOS EN ZONAS DE ALTO RIESGO NO MITIGABLE ID:2016-08-14838, LOCALIDAD:08 KENNEDY, UPZ:82 PATIO BONITO, SECTOR:PALMITAS</v>
          </cell>
          <cell r="R1354">
            <v>4795154</v>
          </cell>
          <cell r="S1354">
            <v>0</v>
          </cell>
          <cell r="T1354">
            <v>0</v>
          </cell>
          <cell r="U1354">
            <v>4795154</v>
          </cell>
          <cell r="V1354">
            <v>2213148</v>
          </cell>
        </row>
        <row r="1355">
          <cell r="J1355">
            <v>886</v>
          </cell>
          <cell r="K1355">
            <v>43139</v>
          </cell>
          <cell r="L1355" t="str">
            <v>MARIA GRACIELA ALONSO PIÑEROS</v>
          </cell>
          <cell r="M1355">
            <v>31</v>
          </cell>
          <cell r="N1355" t="str">
            <v>RESOLUCION</v>
          </cell>
          <cell r="O1355">
            <v>406</v>
          </cell>
          <cell r="P1355">
            <v>43139</v>
          </cell>
          <cell r="Q1355" t="str">
            <v>AYUDA TEMPORAL A LAS FAMILIAS DE VARIAS LOCALIDADES, PARA RELOCALIZACIÓN DE HOGARES LOCALIZADOS EN ZONAS DE ALTO RIESGO NO MITIGABLE ID:2013-Q04-00413, LOCALIDAD:19 CIUDAD BOLÍVAR, UPZ:67 LUCERO, SECTOR:PEÑA COLORADA</v>
          </cell>
          <cell r="R1355">
            <v>6005142</v>
          </cell>
          <cell r="S1355">
            <v>0</v>
          </cell>
          <cell r="T1355">
            <v>0</v>
          </cell>
          <cell r="U1355">
            <v>6005142</v>
          </cell>
          <cell r="V1355">
            <v>3233538</v>
          </cell>
        </row>
        <row r="1356">
          <cell r="J1356">
            <v>887</v>
          </cell>
          <cell r="K1356">
            <v>43139</v>
          </cell>
          <cell r="L1356" t="str">
            <v>MARIA EMILIA CELY SANCHEZ</v>
          </cell>
          <cell r="M1356">
            <v>31</v>
          </cell>
          <cell r="N1356" t="str">
            <v>RESOLUCION</v>
          </cell>
          <cell r="O1356">
            <v>407</v>
          </cell>
          <cell r="P1356">
            <v>43139</v>
          </cell>
          <cell r="Q1356" t="str">
            <v>AYUDA TEMPORAL A LAS FAMILIAS DE VARIAS LOCALIDADES, PARA RELOCALIZACIÓN DE HOGARES LOCALIZADOS EN ZONAS DE ALTO RIESGO NO MITIGABLE ID:2011-4-12634, LOCALIDAD:04 SAN CRISTÓBAL, UPZ:32 SAN BLAS</v>
          </cell>
          <cell r="R1356">
            <v>2397348</v>
          </cell>
          <cell r="S1356">
            <v>399558</v>
          </cell>
          <cell r="T1356">
            <v>0</v>
          </cell>
          <cell r="U1356">
            <v>1997790</v>
          </cell>
          <cell r="V1356">
            <v>1997790</v>
          </cell>
        </row>
        <row r="1357">
          <cell r="J1357">
            <v>888</v>
          </cell>
          <cell r="K1357">
            <v>43139</v>
          </cell>
          <cell r="L1357" t="str">
            <v>GLORIA INES BEDOYA CORREA</v>
          </cell>
          <cell r="M1357">
            <v>31</v>
          </cell>
          <cell r="N1357" t="str">
            <v>RESOLUCION</v>
          </cell>
          <cell r="O1357">
            <v>408</v>
          </cell>
          <cell r="P1357">
            <v>43139</v>
          </cell>
          <cell r="Q1357" t="str">
            <v>AYUDA TEMPORAL A LAS FAMILIAS DE VARIAS LOCALIDADES, PARA RELOCALIZACIÓN DE HOGARES LOCALIZADOS EN ZONAS DE ALTO RIESGO NO MITIGABLE ID:2016-08-14798, LOCALIDAD:08 KENNEDY, UPZ:82 PATIO BONITO, SECTOR:PALMITAS</v>
          </cell>
          <cell r="R1357">
            <v>7617116</v>
          </cell>
          <cell r="S1357">
            <v>0</v>
          </cell>
          <cell r="T1357">
            <v>0</v>
          </cell>
          <cell r="U1357">
            <v>7617116</v>
          </cell>
          <cell r="V1357">
            <v>4101524</v>
          </cell>
        </row>
        <row r="1358">
          <cell r="J1358">
            <v>889</v>
          </cell>
          <cell r="K1358">
            <v>43139</v>
          </cell>
          <cell r="L1358" t="str">
            <v>NANCY BRIYITH TORRES ALFONSO</v>
          </cell>
          <cell r="M1358">
            <v>31</v>
          </cell>
          <cell r="N1358" t="str">
            <v>RESOLUCION</v>
          </cell>
          <cell r="O1358">
            <v>409</v>
          </cell>
          <cell r="P1358">
            <v>43139</v>
          </cell>
          <cell r="Q1358" t="str">
            <v>AYUDA TEMPORAL A LAS FAMILIAS DE VARIAS LOCALIDADES, PARA RELOCALIZACIÓN DE HOGARES LOCALIZADOS EN ZONAS DE ALTO RIESGO NO MITIGABLE ID:2007-18-9400, LOCALIDAD:18 RAFAEL URIBE URIBE, UPZ:55 DIANA TURBAY</v>
          </cell>
          <cell r="R1358">
            <v>3563588</v>
          </cell>
          <cell r="S1358">
            <v>509084</v>
          </cell>
          <cell r="T1358">
            <v>0</v>
          </cell>
          <cell r="U1358">
            <v>3054504</v>
          </cell>
          <cell r="V1358">
            <v>3054504</v>
          </cell>
        </row>
        <row r="1359">
          <cell r="J1359">
            <v>890</v>
          </cell>
          <cell r="K1359">
            <v>43139</v>
          </cell>
          <cell r="L1359" t="str">
            <v>MARTHA LUCIA AREVALO SALINAS</v>
          </cell>
          <cell r="M1359">
            <v>31</v>
          </cell>
          <cell r="N1359" t="str">
            <v>RESOLUCION</v>
          </cell>
          <cell r="O1359">
            <v>410</v>
          </cell>
          <cell r="P1359">
            <v>43139</v>
          </cell>
          <cell r="Q1359" t="str">
            <v>AYUDA TEMPORAL A LAS FAMILIAS DE VARIAS LOCALIDADES, PARA RELOCALIZACIÓN DE HOGARES LOCALIZADOS EN ZONAS DE ALTO RIESGO NO MITIGABLE ID:2012-4-14199, LOCALIDAD:04 SAN CRISTÓBAL, UPZ:32 SAN BLAS</v>
          </cell>
          <cell r="R1359">
            <v>2618154</v>
          </cell>
          <cell r="S1359">
            <v>374022</v>
          </cell>
          <cell r="T1359">
            <v>0</v>
          </cell>
          <cell r="U1359">
            <v>2244132</v>
          </cell>
          <cell r="V1359">
            <v>2244132</v>
          </cell>
        </row>
        <row r="1360">
          <cell r="J1360">
            <v>891</v>
          </cell>
          <cell r="K1360">
            <v>43139</v>
          </cell>
          <cell r="L1360" t="str">
            <v>GLORIA LISBRTH OCAMPO ESPINOSA</v>
          </cell>
          <cell r="M1360">
            <v>31</v>
          </cell>
          <cell r="N1360" t="str">
            <v>RESOLUCION</v>
          </cell>
          <cell r="O1360">
            <v>411</v>
          </cell>
          <cell r="P1360">
            <v>43139</v>
          </cell>
          <cell r="Q1360" t="str">
            <v>AYUDA TEMPORAL A LAS FAMILIAS DE VARIAS LOCALIDADES, PARA RELOCALIZACIÓN DE HOGARES LOCALIZADOS EN ZONAS DE ALTO RIESGO NO MITIGABLE ID:2014-Q01-01032, LOCALIDAD:05 USME, UPZ:56 DANUBIO, SECTOR:HOYA DEL RAMO</v>
          </cell>
          <cell r="R1360">
            <v>3356612</v>
          </cell>
          <cell r="S1360">
            <v>0</v>
          </cell>
          <cell r="T1360">
            <v>0</v>
          </cell>
          <cell r="U1360">
            <v>3356612</v>
          </cell>
          <cell r="V1360">
            <v>1918064</v>
          </cell>
        </row>
        <row r="1361">
          <cell r="J1361">
            <v>892</v>
          </cell>
          <cell r="K1361">
            <v>43139</v>
          </cell>
          <cell r="L1361" t="str">
            <v>DORIS  DIAZ CASTILLO</v>
          </cell>
          <cell r="M1361">
            <v>31</v>
          </cell>
          <cell r="N1361" t="str">
            <v>RESOLUCION</v>
          </cell>
          <cell r="O1361">
            <v>412</v>
          </cell>
          <cell r="P1361">
            <v>43139</v>
          </cell>
          <cell r="Q1361" t="str">
            <v>AYUDA TEMPORAL A LAS FAMILIAS DE VARIAS LOCALIDADES, PARA RELOCALIZACIÓN DE HOGARES LOCALIZADOS EN ZONAS DE ALTO RIESGO NO MITIGABLE ID:2011-4-12721, LOCALIDAD:04 SAN CRISTÓBAL, UPZ:32 SAN BLAS</v>
          </cell>
          <cell r="R1361">
            <v>2530367</v>
          </cell>
          <cell r="S1361">
            <v>361481</v>
          </cell>
          <cell r="T1361">
            <v>0</v>
          </cell>
          <cell r="U1361">
            <v>2168886</v>
          </cell>
          <cell r="V1361">
            <v>2168886</v>
          </cell>
        </row>
        <row r="1362">
          <cell r="J1362">
            <v>893</v>
          </cell>
          <cell r="K1362">
            <v>43139</v>
          </cell>
          <cell r="L1362" t="str">
            <v>JOSE ALBEIRO CASTAÑO RIVERA</v>
          </cell>
          <cell r="M1362">
            <v>31</v>
          </cell>
          <cell r="N1362" t="str">
            <v>RESOLUCION</v>
          </cell>
          <cell r="O1362">
            <v>413</v>
          </cell>
          <cell r="P1362">
            <v>43139</v>
          </cell>
          <cell r="Q1362" t="str">
            <v>AYUDA TEMPORAL A LAS FAMILIAS DE VARIAS LOCALIDADES, PARA RELOCALIZACIÓN DE HOGARES LOCALIZADOS EN ZONAS DE ALTO RIESGO NO MITIGABLE ID:2011-5-13024, LOCALIDAD:05 USME, UPZ:56 DANUBIO</v>
          </cell>
          <cell r="R1362">
            <v>2849392</v>
          </cell>
          <cell r="S1362">
            <v>407056</v>
          </cell>
          <cell r="T1362">
            <v>0</v>
          </cell>
          <cell r="U1362">
            <v>2442336</v>
          </cell>
          <cell r="V1362">
            <v>2442336</v>
          </cell>
        </row>
        <row r="1363">
          <cell r="J1363">
            <v>894</v>
          </cell>
          <cell r="K1363">
            <v>43139</v>
          </cell>
          <cell r="L1363" t="str">
            <v>MARIA CARMEN ROSA PAEZ</v>
          </cell>
          <cell r="M1363">
            <v>31</v>
          </cell>
          <cell r="N1363" t="str">
            <v>RESOLUCION</v>
          </cell>
          <cell r="O1363">
            <v>414</v>
          </cell>
          <cell r="P1363">
            <v>43139</v>
          </cell>
          <cell r="Q1363" t="str">
            <v>AYUDA TEMPORAL A LAS FAMILIAS DE VARIAS LOCALIDADES, PARA RELOCALIZACIÓN DE HOGARES LOCALIZADOS EN ZONAS DE ALTO RIESGO NO MITIGABLE ID:2013-Q10-00247, LOCALIDAD:04 SAN CRISTÓBAL, UPZ:51 LOS LIBERTADORES, SECTOR:QUEBRADA VEREJONES</v>
          </cell>
          <cell r="R1363">
            <v>3788778</v>
          </cell>
          <cell r="S1363">
            <v>541254</v>
          </cell>
          <cell r="T1363">
            <v>0</v>
          </cell>
          <cell r="U1363">
            <v>3247524</v>
          </cell>
          <cell r="V1363">
            <v>3247524</v>
          </cell>
        </row>
        <row r="1364">
          <cell r="J1364">
            <v>895</v>
          </cell>
          <cell r="K1364">
            <v>43139</v>
          </cell>
          <cell r="L1364" t="str">
            <v>MABIL  BOBADILLA</v>
          </cell>
          <cell r="M1364">
            <v>31</v>
          </cell>
          <cell r="N1364" t="str">
            <v>RESOLUCION</v>
          </cell>
          <cell r="O1364">
            <v>415</v>
          </cell>
          <cell r="P1364">
            <v>43139</v>
          </cell>
          <cell r="Q1364" t="str">
            <v>AYUDA TEMPORAL A LAS FAMILIAS DE VARIAS LOCALIDADES, PARA RELOCALIZACIÓN DE HOGARES LOCALIZADOS EN ZONAS DE ALTO RIESGO NO MITIGABLE ID:2014-OTR-00873, LOCALIDAD:03 SANTA FE, UPZ:96 LOURDES, SECTOR:CASA 1</v>
          </cell>
          <cell r="R1364">
            <v>3015588</v>
          </cell>
          <cell r="S1364">
            <v>502598</v>
          </cell>
          <cell r="T1364">
            <v>0</v>
          </cell>
          <cell r="U1364">
            <v>2512990</v>
          </cell>
          <cell r="V1364">
            <v>2512990</v>
          </cell>
        </row>
        <row r="1365">
          <cell r="J1365">
            <v>896</v>
          </cell>
          <cell r="K1365">
            <v>43139</v>
          </cell>
          <cell r="L1365" t="str">
            <v>LUIS CUSTODIO MARQUEZ SUEROKE</v>
          </cell>
          <cell r="M1365">
            <v>31</v>
          </cell>
          <cell r="N1365" t="str">
            <v>RESOLUCION</v>
          </cell>
          <cell r="O1365">
            <v>416</v>
          </cell>
          <cell r="P1365">
            <v>43139</v>
          </cell>
          <cell r="Q1365" t="str">
            <v>AYUDA TEMPORAL A LAS FAMILIAS DE VARIAS LOCALIDADES, PARA RELOCALIZACIÓN DE HOGARES LOCALIZADOS EN ZONAS DE ALTO RIESGO NO MITIGABLE ID:2015-W166-507, LOCALIDAD:03 SANTA FE, UPZ:92 LA MACARENA, SECTOR:UITOTO</v>
          </cell>
          <cell r="R1365">
            <v>6868797</v>
          </cell>
          <cell r="S1365">
            <v>0</v>
          </cell>
          <cell r="T1365">
            <v>0</v>
          </cell>
          <cell r="U1365">
            <v>6868797</v>
          </cell>
          <cell r="V1365">
            <v>3698583</v>
          </cell>
        </row>
        <row r="1366">
          <cell r="J1366">
            <v>897</v>
          </cell>
          <cell r="K1366">
            <v>43139</v>
          </cell>
          <cell r="L1366" t="str">
            <v>HENRY STEVEN AGUILERA BENITEZ</v>
          </cell>
          <cell r="M1366">
            <v>31</v>
          </cell>
          <cell r="N1366" t="str">
            <v>RESOLUCION</v>
          </cell>
          <cell r="O1366">
            <v>417</v>
          </cell>
          <cell r="P1366">
            <v>43139</v>
          </cell>
          <cell r="Q1366" t="str">
            <v>AYUDA TEMPORAL A LAS FAMILIAS DE VARIAS LOCALIDADES, PARA RELOCALIZACIÓN DE HOGARES LOCALIZADOS EN ZONAS DE ALTO RIESGO NO MITIGABLE ID:2015-Q03-01474, LOCALIDAD:19 CIUDAD BOLÍVAR, UPZ:66 SAN FRANCISCO, SECTOR:LIMAS</v>
          </cell>
          <cell r="R1366">
            <v>2213148</v>
          </cell>
          <cell r="S1366">
            <v>0</v>
          </cell>
          <cell r="T1366">
            <v>0</v>
          </cell>
          <cell r="U1366">
            <v>2213148</v>
          </cell>
          <cell r="V1366">
            <v>1844290</v>
          </cell>
        </row>
        <row r="1367">
          <cell r="J1367">
            <v>898</v>
          </cell>
          <cell r="K1367">
            <v>43139</v>
          </cell>
          <cell r="L1367" t="str">
            <v>EFRAIN  TORRES</v>
          </cell>
          <cell r="M1367">
            <v>31</v>
          </cell>
          <cell r="N1367" t="str">
            <v>RESOLUCION</v>
          </cell>
          <cell r="O1367">
            <v>418</v>
          </cell>
          <cell r="P1367">
            <v>43139</v>
          </cell>
          <cell r="Q1367" t="str">
            <v>AYUDA TEMPORAL A LAS FAMILIAS DE VARIAS LOCALIDADES, PARA RELOCALIZACIÓN DE HOGARES LOCALIZADOS EN ZONAS DE ALTO RIESGO NO MITIGABLE ID:2012-19-14090, LOCALIDAD:19 CIUDAD BOLÍVAR, UPZ:68 EL TESORO, SECTOR:QUEBRADA TROMPETA</v>
          </cell>
          <cell r="R1367">
            <v>2435382</v>
          </cell>
          <cell r="S1367">
            <v>405897</v>
          </cell>
          <cell r="T1367">
            <v>0</v>
          </cell>
          <cell r="U1367">
            <v>2029485</v>
          </cell>
          <cell r="V1367">
            <v>2029485</v>
          </cell>
        </row>
        <row r="1368">
          <cell r="J1368">
            <v>899</v>
          </cell>
          <cell r="K1368">
            <v>43139</v>
          </cell>
          <cell r="L1368" t="str">
            <v>DIANA MARIA LOPEZ GOMEZ</v>
          </cell>
          <cell r="M1368">
            <v>31</v>
          </cell>
          <cell r="N1368" t="str">
            <v>RESOLUCION</v>
          </cell>
          <cell r="O1368">
            <v>419</v>
          </cell>
          <cell r="P1368">
            <v>43139</v>
          </cell>
          <cell r="Q1368" t="str">
            <v>AYUDA TEMPORAL A LAS FAMILIAS DE VARIAS LOCALIDADES, PARA RELOCALIZACIÓN DE HOGARES LOCALIZADOS EN ZONAS DE ALTO RIESGO NO MITIGABLE ID:2015-D227-00006, LOCALIDAD:04 SAN CRISTÓBAL, UPZ:51 LOS LIBERTADORES, SECTOR:SANTA TERESITA</v>
          </cell>
          <cell r="R1368">
            <v>7538609</v>
          </cell>
          <cell r="S1368">
            <v>0</v>
          </cell>
          <cell r="T1368">
            <v>0</v>
          </cell>
          <cell r="U1368">
            <v>7538609</v>
          </cell>
          <cell r="V1368">
            <v>3479358</v>
          </cell>
        </row>
        <row r="1369">
          <cell r="J1369">
            <v>900</v>
          </cell>
          <cell r="K1369">
            <v>43139</v>
          </cell>
          <cell r="L1369" t="str">
            <v>YUDY ZULEYDI TORRES MUÑOZ</v>
          </cell>
          <cell r="M1369">
            <v>31</v>
          </cell>
          <cell r="N1369" t="str">
            <v>RESOLUCION</v>
          </cell>
          <cell r="O1369">
            <v>420</v>
          </cell>
          <cell r="P1369">
            <v>43139</v>
          </cell>
          <cell r="Q1369" t="str">
            <v>AYUDA TEMPORAL A LAS FAMILIAS DE VARIAS LOCALIDADES, PARA RELOCALIZACIÓN DE HOGARES LOCALIZADOS EN ZONAS DE ALTO RIESGO NO MITIGABLE ID:2015-OTR-01373, LOCALIDAD:11 SUBA, UPZ:71 TIBABUYES, SECTOR:GAVILANES</v>
          </cell>
          <cell r="R1369">
            <v>4027933</v>
          </cell>
          <cell r="S1369">
            <v>575419</v>
          </cell>
          <cell r="T1369">
            <v>0</v>
          </cell>
          <cell r="U1369">
            <v>3452514</v>
          </cell>
          <cell r="V1369">
            <v>3452514</v>
          </cell>
        </row>
        <row r="1370">
          <cell r="J1370">
            <v>901</v>
          </cell>
          <cell r="K1370">
            <v>43139</v>
          </cell>
          <cell r="L1370" t="str">
            <v>CLAUDIA CASTRO PENAGOS</v>
          </cell>
          <cell r="M1370">
            <v>31</v>
          </cell>
          <cell r="N1370" t="str">
            <v>RESOLUCION</v>
          </cell>
          <cell r="O1370">
            <v>421</v>
          </cell>
          <cell r="P1370">
            <v>43139</v>
          </cell>
          <cell r="Q1370" t="str">
            <v>AYUDA TEMPORAL A LAS FAMILIAS DE VARIAS LOCALIDADES, PARA RELOCALIZACIÓN DE HOGARES LOCALIZADOS EN ZONAS DE ALTO RIESGO NO MITIGABLE ID:1999-18-2316, LOCALIDAD:18 RAFAEL URIBE URIBE, UPZ:53 MARCO FIDEL SUÁREZ</v>
          </cell>
          <cell r="R1370">
            <v>7455071</v>
          </cell>
          <cell r="S1370">
            <v>0</v>
          </cell>
          <cell r="T1370">
            <v>0</v>
          </cell>
          <cell r="U1370">
            <v>7455071</v>
          </cell>
          <cell r="V1370">
            <v>4014269</v>
          </cell>
        </row>
        <row r="1371">
          <cell r="J1371">
            <v>902</v>
          </cell>
          <cell r="K1371">
            <v>43139</v>
          </cell>
          <cell r="L1371" t="str">
            <v>KIRFAFA  CARPIO MEMBACHE</v>
          </cell>
          <cell r="M1371">
            <v>31</v>
          </cell>
          <cell r="N1371" t="str">
            <v>RESOLUCION</v>
          </cell>
          <cell r="O1371">
            <v>422</v>
          </cell>
          <cell r="P1371">
            <v>43139</v>
          </cell>
          <cell r="Q1371" t="str">
            <v>AYUDA TEMPORAL A LAS FAMILIAS DE VARIAS LOCALIDADES, PARA RELOCALIZACIÓN DE HOGARES LOCALIZADOS EN ZONAS DE ALTO RIESGO NO MITIGABLE ID:2014-W166-075, LOCALIDAD:19 CIUDAD BOLÍVAR, UPZ:68 EL TESORO, SECTOR:WOUNAAN</v>
          </cell>
          <cell r="R1371">
            <v>5285280</v>
          </cell>
          <cell r="S1371">
            <v>0</v>
          </cell>
          <cell r="T1371">
            <v>0</v>
          </cell>
          <cell r="U1371">
            <v>5285280</v>
          </cell>
          <cell r="V1371">
            <v>2845920</v>
          </cell>
        </row>
        <row r="1372">
          <cell r="J1372">
            <v>903</v>
          </cell>
          <cell r="K1372">
            <v>43139</v>
          </cell>
          <cell r="L1372" t="str">
            <v>GERTRUDIS  MORALES TOMBE</v>
          </cell>
          <cell r="M1372">
            <v>31</v>
          </cell>
          <cell r="N1372" t="str">
            <v>RESOLUCION</v>
          </cell>
          <cell r="O1372">
            <v>423</v>
          </cell>
          <cell r="P1372">
            <v>43139</v>
          </cell>
          <cell r="Q1372" t="str">
            <v>AYUDA TEMPORAL A LAS FAMILIAS DE VARIAS LOCALIDADES, PARA RELOCALIZACIÓN DE HOGARES LOCALIZADOS EN ZONAS DE ALTO RIESGO NO MITIGABLE ID:2013-Q09-00429, LOCALIDAD:19 CIUDAD BOLÍVAR, UPZ:67 LUCERO, SECTOR:QUEBRADA TROMPETA</v>
          </cell>
          <cell r="R1372">
            <v>3459890</v>
          </cell>
          <cell r="S1372">
            <v>494270</v>
          </cell>
          <cell r="T1372">
            <v>0</v>
          </cell>
          <cell r="U1372">
            <v>2965620</v>
          </cell>
          <cell r="V1372">
            <v>2965620</v>
          </cell>
        </row>
        <row r="1373">
          <cell r="J1373">
            <v>904</v>
          </cell>
          <cell r="K1373">
            <v>43139</v>
          </cell>
          <cell r="L1373" t="str">
            <v>SANDRA SUGEY BELTRAN</v>
          </cell>
          <cell r="M1373">
            <v>31</v>
          </cell>
          <cell r="N1373" t="str">
            <v>RESOLUCION</v>
          </cell>
          <cell r="O1373">
            <v>424</v>
          </cell>
          <cell r="P1373">
            <v>43139</v>
          </cell>
          <cell r="Q1373" t="str">
            <v>AYUDA TEMPORAL A LAS FAMILIAS DE VARIAS LOCALIDADES, PARA RELOCALIZACIÓN DE HOGARES LOCALIZADOS EN ZONAS DE ALTO RIESGO NO MITIGABLE ID:2011-4-12653, LOCALIDAD:04 SAN CRISTÓBAL, UPZ:32 SAN BLAS</v>
          </cell>
          <cell r="R1373">
            <v>3112753</v>
          </cell>
          <cell r="S1373">
            <v>444679</v>
          </cell>
          <cell r="T1373">
            <v>0</v>
          </cell>
          <cell r="U1373">
            <v>2668074</v>
          </cell>
          <cell r="V1373">
            <v>2668074</v>
          </cell>
        </row>
        <row r="1374">
          <cell r="J1374">
            <v>905</v>
          </cell>
          <cell r="K1374">
            <v>43139</v>
          </cell>
          <cell r="L1374" t="str">
            <v>ANA ISABEL TORRES LOPEZ</v>
          </cell>
          <cell r="M1374">
            <v>31</v>
          </cell>
          <cell r="N1374" t="str">
            <v>RESOLUCION</v>
          </cell>
          <cell r="O1374">
            <v>522</v>
          </cell>
          <cell r="P1374">
            <v>43139</v>
          </cell>
          <cell r="Q1374" t="str">
            <v>AYUDA TEMPORAL A LAS FAMILIAS DE VARIAS LOCALIDADES, PARA RELOCALIZACIÓN DE HOGARES LOCALIZADOS EN ZONAS DE ALTO RIESGO NO MITIGABLE ID:2013-Q10-00501, LOCALIDAD:04 SAN CRISTÓBAL, UPZ:51 LOS LIBERTADORES, SECTOR:QUEBRADA VEREJONES</v>
          </cell>
          <cell r="R1374">
            <v>5466487</v>
          </cell>
          <cell r="S1374">
            <v>0</v>
          </cell>
          <cell r="T1374">
            <v>0</v>
          </cell>
          <cell r="U1374">
            <v>5466487</v>
          </cell>
          <cell r="V1374">
            <v>2102495</v>
          </cell>
        </row>
        <row r="1375">
          <cell r="J1375">
            <v>906</v>
          </cell>
          <cell r="K1375">
            <v>43139</v>
          </cell>
          <cell r="L1375" t="str">
            <v>ISABEL  UPUA MEMBACHE</v>
          </cell>
          <cell r="M1375">
            <v>31</v>
          </cell>
          <cell r="N1375" t="str">
            <v>RESOLUCION</v>
          </cell>
          <cell r="O1375">
            <v>523</v>
          </cell>
          <cell r="P1375">
            <v>43139</v>
          </cell>
          <cell r="Q1375" t="str">
            <v>AYUDA TEMPORAL A LAS FAMILIAS DE VARIAS LOCALIDADES, PARA RELOCALIZACIÓN DE HOGARES LOCALIZADOS EN ZONAS DE ALTO RIESGO NO MITIGABLE ID:2015-W166-436, LOCALIDAD:19 CIUDAD BOLÍVAR, UPZ:68 EL TESORO, SECTOR:WOUNAAN</v>
          </cell>
          <cell r="R1375">
            <v>7020000</v>
          </cell>
          <cell r="S1375">
            <v>7020000</v>
          </cell>
          <cell r="T1375">
            <v>0</v>
          </cell>
          <cell r="U1375">
            <v>0</v>
          </cell>
          <cell r="V1375">
            <v>0</v>
          </cell>
        </row>
        <row r="1376">
          <cell r="J1376">
            <v>907</v>
          </cell>
          <cell r="K1376">
            <v>43139</v>
          </cell>
          <cell r="L1376" t="str">
            <v>JOSE MILLER NARANJO MANJARRES</v>
          </cell>
          <cell r="M1376">
            <v>31</v>
          </cell>
          <cell r="N1376" t="str">
            <v>RESOLUCION</v>
          </cell>
          <cell r="O1376">
            <v>524</v>
          </cell>
          <cell r="P1376">
            <v>43139</v>
          </cell>
          <cell r="Q1376" t="str">
            <v>AYUDA TEMPORAL A LAS FAMILIAS DE VARIAS LOCALIDADES, PARA RELOCALIZACIÓN DE HOGARES LOCALIZADOS EN ZONAS DE ALTO RIESGO NO MITIGABLE ID:2011-19-12566, LOCALIDAD:19 CIUDAD BOLÍVAR, UPZ:69 ISMAEL PERDOMO, SECTOR:OLA INVERNAL 2010 FOPAE</v>
          </cell>
          <cell r="R1376">
            <v>3157574</v>
          </cell>
          <cell r="S1376">
            <v>2255410</v>
          </cell>
          <cell r="T1376">
            <v>0</v>
          </cell>
          <cell r="U1376">
            <v>902164</v>
          </cell>
          <cell r="V1376">
            <v>902164</v>
          </cell>
        </row>
        <row r="1377">
          <cell r="J1377">
            <v>908</v>
          </cell>
          <cell r="K1377">
            <v>43139</v>
          </cell>
          <cell r="L1377" t="str">
            <v>HECTOR DANILO FORERO PALACIO</v>
          </cell>
          <cell r="M1377">
            <v>31</v>
          </cell>
          <cell r="N1377" t="str">
            <v>RESOLUCION</v>
          </cell>
          <cell r="O1377">
            <v>525</v>
          </cell>
          <cell r="P1377">
            <v>43139</v>
          </cell>
          <cell r="Q1377" t="str">
            <v>AYUDA TEMPORAL A LAS FAMILIAS DE VARIAS LOCALIDADES, PARA RELOCALIZACIÓN DE HOGARES LOCALIZADOS EN ZONAS DE ALTO RIESGO NO MITIGABLE ID:2015-D227-00046, LOCALIDAD:04 SAN CRISTÓBAL, UPZ:51 LOS LIBERTADORES, SECTOR:SANTA TERESITA</v>
          </cell>
          <cell r="R1377">
            <v>2582006</v>
          </cell>
          <cell r="S1377">
            <v>368858</v>
          </cell>
          <cell r="T1377">
            <v>0</v>
          </cell>
          <cell r="U1377">
            <v>2213148</v>
          </cell>
          <cell r="V1377">
            <v>2213148</v>
          </cell>
        </row>
        <row r="1378">
          <cell r="J1378">
            <v>909</v>
          </cell>
          <cell r="K1378">
            <v>43139</v>
          </cell>
          <cell r="L1378" t="str">
            <v>BEYER ERIBERTO ARENAS SALGADO</v>
          </cell>
          <cell r="M1378">
            <v>31</v>
          </cell>
          <cell r="N1378" t="str">
            <v>RESOLUCION</v>
          </cell>
          <cell r="O1378">
            <v>526</v>
          </cell>
          <cell r="P1378">
            <v>43139</v>
          </cell>
          <cell r="Q1378" t="str">
            <v>AYUDA TEMPORAL A LAS FAMILIAS DE VARIAS LOCALIDADES, PARA RELOCALIZACIÓN DE HOGARES LOCALIZADOS EN ZONAS DE ALTO RIESGO NO MITIGABLE ID:2013-Q09-00157, LOCALIDAD:19 CIUDAD BOLÍVAR, UPZ:67 LUCERO, SECTOR:QUEBRADA TROMPETA</v>
          </cell>
          <cell r="R1378">
            <v>2886919</v>
          </cell>
          <cell r="S1378">
            <v>824834</v>
          </cell>
          <cell r="T1378">
            <v>0</v>
          </cell>
          <cell r="U1378">
            <v>2062085</v>
          </cell>
          <cell r="V1378">
            <v>2062085</v>
          </cell>
        </row>
        <row r="1379">
          <cell r="J1379">
            <v>910</v>
          </cell>
          <cell r="K1379">
            <v>43139</v>
          </cell>
          <cell r="L1379" t="str">
            <v>MARIA ELISA SAMACA TOCARRUNCHO</v>
          </cell>
          <cell r="M1379">
            <v>31</v>
          </cell>
          <cell r="N1379" t="str">
            <v>RESOLUCION</v>
          </cell>
          <cell r="O1379">
            <v>527</v>
          </cell>
          <cell r="P1379">
            <v>43139</v>
          </cell>
          <cell r="Q1379" t="str">
            <v>AYUDA TEMPORAL A LAS FAMILIAS DE VARIAS LOCALIDADES, PARA RELOCALIZACIÓN DE HOGARES LOCALIZADOS EN ZONAS DE ALTO RIESGO NO MITIGABLE ID:2006-3-8885, LOCALIDAD:03 SANTA FE, UPZ:96 LOURDES</v>
          </cell>
          <cell r="R1379">
            <v>6282705</v>
          </cell>
          <cell r="S1379">
            <v>0</v>
          </cell>
          <cell r="T1379">
            <v>0</v>
          </cell>
          <cell r="U1379">
            <v>6282705</v>
          </cell>
          <cell r="V1379">
            <v>3382995</v>
          </cell>
        </row>
        <row r="1380">
          <cell r="J1380">
            <v>911</v>
          </cell>
          <cell r="K1380">
            <v>43139</v>
          </cell>
          <cell r="L1380" t="str">
            <v>CARLOS ANDRES CRUZ RODRIGUEZ</v>
          </cell>
          <cell r="M1380">
            <v>31</v>
          </cell>
          <cell r="N1380" t="str">
            <v>RESOLUCION</v>
          </cell>
          <cell r="O1380">
            <v>528</v>
          </cell>
          <cell r="P1380">
            <v>43139</v>
          </cell>
          <cell r="Q1380" t="str">
            <v>AYUDA TEMPORAL A LAS FAMILIAS DE VARIAS LOCALIDADES, PARA RELOCALIZACIÓN DE HOGARES LOCALIZADOS EN ZONAS DE ALTO RIESGO NO MITIGABLE ID:2015-D227-00037, LOCALIDAD:04 SAN CRISTÓBAL, UPZ:51 LOS LIBERTADORES, SECTOR:SANTA TERESITA</v>
          </cell>
          <cell r="R1380">
            <v>6199661</v>
          </cell>
          <cell r="S1380">
            <v>0</v>
          </cell>
          <cell r="T1380">
            <v>0</v>
          </cell>
          <cell r="U1380">
            <v>6199661</v>
          </cell>
          <cell r="V1380">
            <v>3338279</v>
          </cell>
        </row>
        <row r="1381">
          <cell r="J1381">
            <v>912</v>
          </cell>
          <cell r="K1381">
            <v>43139</v>
          </cell>
          <cell r="L1381" t="str">
            <v>YONY JAVIER CARO LEMUS</v>
          </cell>
          <cell r="M1381">
            <v>31</v>
          </cell>
          <cell r="N1381" t="str">
            <v>RESOLUCION</v>
          </cell>
          <cell r="O1381">
            <v>529</v>
          </cell>
          <cell r="P1381">
            <v>43139</v>
          </cell>
          <cell r="Q1381" t="str">
            <v>AYUDA TEMPORAL A LAS FAMILIAS DE VARIAS LOCALIDADES, PARA RELOCALIZACIÓN DE HOGARES LOCALIZADOS EN ZONAS DE ALTO RIESGO NO MITIGABLE ID:2011-4-13533, LOCALIDAD:04 SAN CRISTÓBAL, UPZ:50 LA GLORIA</v>
          </cell>
          <cell r="R1381">
            <v>3711824</v>
          </cell>
          <cell r="S1381">
            <v>0</v>
          </cell>
          <cell r="T1381">
            <v>0</v>
          </cell>
          <cell r="U1381">
            <v>3711824</v>
          </cell>
          <cell r="V1381">
            <v>3247846</v>
          </cell>
        </row>
        <row r="1382">
          <cell r="J1382">
            <v>913</v>
          </cell>
          <cell r="K1382">
            <v>43139</v>
          </cell>
          <cell r="L1382" t="str">
            <v>EMILCEN  LLANTEN GUERRERO</v>
          </cell>
          <cell r="M1382">
            <v>31</v>
          </cell>
          <cell r="N1382" t="str">
            <v>RESOLUCION</v>
          </cell>
          <cell r="O1382">
            <v>530</v>
          </cell>
          <cell r="P1382">
            <v>43139</v>
          </cell>
          <cell r="Q1382" t="str">
            <v>AYUDA TEMPORAL A LAS FAMILIAS DE VARIAS LOCALIDADES, PARA RELOCALIZACIÓN DE HOGARES LOCALIZADOS EN ZONAS DE ALTO RIESGO NO MITIGABLE ID:2012-ALES-468, LOCALIDAD:19 CIUDAD BOLÍVAR, UPZ:69 ISMAEL PERDOMO, SECTOR:ALTOS DE LA ESTANCIA</v>
          </cell>
          <cell r="R1382">
            <v>5603000</v>
          </cell>
          <cell r="S1382">
            <v>0</v>
          </cell>
          <cell r="T1382">
            <v>0</v>
          </cell>
          <cell r="U1382">
            <v>5603000</v>
          </cell>
          <cell r="V1382">
            <v>3017000</v>
          </cell>
        </row>
        <row r="1383">
          <cell r="J1383">
            <v>914</v>
          </cell>
          <cell r="K1383">
            <v>43139</v>
          </cell>
          <cell r="L1383" t="str">
            <v>MARIA LUCRECIA CORTES JOTA</v>
          </cell>
          <cell r="M1383">
            <v>31</v>
          </cell>
          <cell r="N1383" t="str">
            <v>RESOLUCION</v>
          </cell>
          <cell r="O1383">
            <v>531</v>
          </cell>
          <cell r="P1383">
            <v>43139</v>
          </cell>
          <cell r="Q1383" t="str">
            <v>AYUDA TEMPORAL A LAS FAMILIAS DE VARIAS LOCALIDADES, PARA RELOCALIZACIÓN DE HOGARES LOCALIZADOS EN ZONAS DE ALTO RIESGO NO MITIGABLE ID:2012-19-13826, LOCALIDAD:19 CIUDAD BOLÍVAR, UPZ:67 LUCERO</v>
          </cell>
          <cell r="R1383">
            <v>2796906</v>
          </cell>
          <cell r="S1383">
            <v>399558</v>
          </cell>
          <cell r="T1383">
            <v>0</v>
          </cell>
          <cell r="U1383">
            <v>2397348</v>
          </cell>
          <cell r="V1383">
            <v>2397348</v>
          </cell>
        </row>
        <row r="1384">
          <cell r="J1384">
            <v>915</v>
          </cell>
          <cell r="K1384">
            <v>43139</v>
          </cell>
          <cell r="L1384" t="str">
            <v>MARGI  CUEVAS CALDERON</v>
          </cell>
          <cell r="M1384">
            <v>31</v>
          </cell>
          <cell r="N1384" t="str">
            <v>RESOLUCION</v>
          </cell>
          <cell r="O1384">
            <v>532</v>
          </cell>
          <cell r="P1384">
            <v>43139</v>
          </cell>
          <cell r="Q1384" t="str">
            <v>AYUDA TEMPORAL A LAS FAMILIAS DE VARIAS LOCALIDADES, PARA RELOCALIZACIÓN DE HOGARES LOCALIZADOS EN ZONAS DE ALTO RIESGO NO MITIGABLE ID:2016-08-14831, LOCALIDAD:08 KENNEDY, UPZ:82 PATIO BONITO, SECTOR:PALMITAS</v>
          </cell>
          <cell r="R1384">
            <v>4795154</v>
          </cell>
          <cell r="S1384">
            <v>0</v>
          </cell>
          <cell r="T1384">
            <v>0</v>
          </cell>
          <cell r="U1384">
            <v>4795154</v>
          </cell>
          <cell r="V1384">
            <v>2582006</v>
          </cell>
        </row>
        <row r="1385">
          <cell r="J1385">
            <v>916</v>
          </cell>
          <cell r="K1385">
            <v>43139</v>
          </cell>
          <cell r="L1385" t="str">
            <v>LIBIA AZUCENA FRANCO ALGECIRA</v>
          </cell>
          <cell r="M1385">
            <v>31</v>
          </cell>
          <cell r="N1385" t="str">
            <v>RESOLUCION</v>
          </cell>
          <cell r="O1385">
            <v>533</v>
          </cell>
          <cell r="P1385">
            <v>43139</v>
          </cell>
          <cell r="Q1385" t="str">
            <v>AYUDA TEMPORAL A LAS FAMILIAS DE VARIAS LOCALIDADES, PARA RELOCALIZACIÓN DE HOGARES LOCALIZADOS EN ZONAS DE ALTO RIESGO NO MITIGABLE ID:2014-18-14705, LOCALIDAD:18 RAFAEL URIBE URIBE, UPZ:53 MARCO FIDEL SUÁREZ, SECTOR:</v>
          </cell>
          <cell r="R1385">
            <v>2602439</v>
          </cell>
          <cell r="S1385">
            <v>371777</v>
          </cell>
          <cell r="T1385">
            <v>0</v>
          </cell>
          <cell r="U1385">
            <v>2230662</v>
          </cell>
          <cell r="V1385">
            <v>2230662</v>
          </cell>
        </row>
        <row r="1386">
          <cell r="J1386">
            <v>917</v>
          </cell>
          <cell r="K1386">
            <v>43139</v>
          </cell>
          <cell r="L1386" t="str">
            <v>BLANCA DORIS FERNANDEZ</v>
          </cell>
          <cell r="M1386">
            <v>31</v>
          </cell>
          <cell r="N1386" t="str">
            <v>RESOLUCION</v>
          </cell>
          <cell r="O1386">
            <v>534</v>
          </cell>
          <cell r="P1386">
            <v>43139</v>
          </cell>
          <cell r="Q1386" t="str">
            <v>AYUDA TEMPORAL A LAS FAMILIAS DE VARIAS LOCALIDADES, PARA RELOCALIZACIÓN DE HOGARES LOCALIZADOS EN ZONAS DE ALTO RIESGO NO MITIGABLE ID:2013-Q09-00189, LOCALIDAD:19 CIUDAD BOLÍVAR, UPZ:67 LUCERO, SECTOR:QUEBRADA TROMPETA</v>
          </cell>
          <cell r="R1386">
            <v>3157315</v>
          </cell>
          <cell r="S1386">
            <v>451045</v>
          </cell>
          <cell r="T1386">
            <v>0</v>
          </cell>
          <cell r="U1386">
            <v>2706270</v>
          </cell>
          <cell r="V1386">
            <v>2706270</v>
          </cell>
        </row>
        <row r="1387">
          <cell r="J1387">
            <v>918</v>
          </cell>
          <cell r="K1387">
            <v>43139</v>
          </cell>
          <cell r="L1387" t="str">
            <v>MARIA JUDY GARZON GUATAVA</v>
          </cell>
          <cell r="M1387">
            <v>31</v>
          </cell>
          <cell r="N1387" t="str">
            <v>RESOLUCION</v>
          </cell>
          <cell r="O1387">
            <v>535</v>
          </cell>
          <cell r="P1387">
            <v>43139</v>
          </cell>
          <cell r="Q1387" t="str">
            <v>AYUDA TEMPORAL A LAS FAMILIAS DE VARIAS LOCALIDADES, PARA RELOCALIZACIÓN DE HOGARES LOCALIZADOS EN ZONAS DE ALTO RIESGO NO MITIGABLE ID:2012-19-13823, LOCALIDAD:19 CIUDAD BOLÍVAR, UPZ:67 LUCERO</v>
          </cell>
          <cell r="R1387">
            <v>2582006</v>
          </cell>
          <cell r="S1387">
            <v>368858</v>
          </cell>
          <cell r="T1387">
            <v>0</v>
          </cell>
          <cell r="U1387">
            <v>2213148</v>
          </cell>
          <cell r="V1387">
            <v>2213148</v>
          </cell>
        </row>
        <row r="1388">
          <cell r="J1388">
            <v>919</v>
          </cell>
          <cell r="K1388">
            <v>43139</v>
          </cell>
          <cell r="L1388" t="str">
            <v>ALDEMAR  MALAVER CRUZ</v>
          </cell>
          <cell r="M1388">
            <v>31</v>
          </cell>
          <cell r="N1388" t="str">
            <v>RESOLUCION</v>
          </cell>
          <cell r="O1388">
            <v>536</v>
          </cell>
          <cell r="P1388">
            <v>43139</v>
          </cell>
          <cell r="Q1388" t="str">
            <v>AYUDA TEMPORAL A LAS FAMILIAS DE VARIAS LOCALIDADES, PARA RELOCALIZACIÓN DE HOGARES LOCALIZADOS EN ZONAS DE ALTO RIESGO NO MITIGABLE ID:2015-Q03-01488, LOCALIDAD:19 CIUDAD BOLÍVAR, UPZ:66 SAN FRANCISCO, SECTOR:LIMAS</v>
          </cell>
          <cell r="R1388">
            <v>2582006</v>
          </cell>
          <cell r="S1388">
            <v>0</v>
          </cell>
          <cell r="T1388">
            <v>0</v>
          </cell>
          <cell r="U1388">
            <v>2582006</v>
          </cell>
          <cell r="V1388">
            <v>2213148</v>
          </cell>
        </row>
        <row r="1389">
          <cell r="J1389">
            <v>920</v>
          </cell>
          <cell r="K1389">
            <v>43139</v>
          </cell>
          <cell r="L1389" t="str">
            <v>JOSE DE JESUS RODRIGUEZ RODRIGUEZ</v>
          </cell>
          <cell r="M1389">
            <v>31</v>
          </cell>
          <cell r="N1389" t="str">
            <v>RESOLUCION</v>
          </cell>
          <cell r="O1389">
            <v>537</v>
          </cell>
          <cell r="P1389">
            <v>43139</v>
          </cell>
          <cell r="Q1389" t="str">
            <v>AYUDA TEMPORAL A LAS FAMILIAS DE VARIAS LOCALIDADES, PARA RELOCALIZACIÓN DE HOGARES LOCALIZADOS EN ZONAS DE ALTO RIESGO NO MITIGABLE ID:2015-Q03-01427, LOCALIDAD:19 CIUDAD BOLÍVAR, UPZ:66 SAN FRANCISCO, SECTOR:LIMAS</v>
          </cell>
          <cell r="R1389">
            <v>3157315</v>
          </cell>
          <cell r="S1389">
            <v>0</v>
          </cell>
          <cell r="T1389">
            <v>0</v>
          </cell>
          <cell r="U1389">
            <v>3157315</v>
          </cell>
          <cell r="V1389">
            <v>2706270</v>
          </cell>
        </row>
        <row r="1390">
          <cell r="J1390">
            <v>921</v>
          </cell>
          <cell r="K1390">
            <v>43139</v>
          </cell>
          <cell r="L1390" t="str">
            <v>ANGIE JULIETTE ROJAS CARRILLO</v>
          </cell>
          <cell r="M1390">
            <v>31</v>
          </cell>
          <cell r="N1390" t="str">
            <v>RESOLUCION</v>
          </cell>
          <cell r="O1390">
            <v>538</v>
          </cell>
          <cell r="P1390">
            <v>43139</v>
          </cell>
          <cell r="Q1390" t="str">
            <v>AYUDA TEMPORAL A LAS FAMILIAS DE VARIAS LOCALIDADES, PARA RELOCALIZACIÓN DE HOGARES LOCALIZADOS EN ZONAS DE ALTO RIESGO NO MITIGABLE ID:2015-Q03-01433, LOCALIDAD:19 CIUDAD BOLÍVAR, UPZ:66 SAN FRANCISCO, SECTOR:LIMAS</v>
          </cell>
          <cell r="R1390">
            <v>3157315</v>
          </cell>
          <cell r="S1390">
            <v>0</v>
          </cell>
          <cell r="T1390">
            <v>0</v>
          </cell>
          <cell r="U1390">
            <v>3157315</v>
          </cell>
          <cell r="V1390">
            <v>2706270</v>
          </cell>
        </row>
        <row r="1391">
          <cell r="J1391">
            <v>922</v>
          </cell>
          <cell r="K1391">
            <v>43139</v>
          </cell>
          <cell r="L1391" t="str">
            <v>YEISMI  GALINDO GONZALEZ</v>
          </cell>
          <cell r="M1391">
            <v>31</v>
          </cell>
          <cell r="N1391" t="str">
            <v>RESOLUCION</v>
          </cell>
          <cell r="O1391">
            <v>539</v>
          </cell>
          <cell r="P1391">
            <v>43139</v>
          </cell>
          <cell r="Q1391" t="str">
            <v>AYUDA TEMPORAL A LAS FAMILIAS DE VARIAS LOCALIDADES, PARA RELOCALIZACIÓN DE HOGARES LOCALIZADOS EN ZONAS DE ALTO RIESGO NO MITIGABLE ID:2014-OTR-00949, LOCALIDAD:19 CIUDAD BOLÍVAR, UPZ:67 LUCERO, SECTOR:TABOR ALTALOMA</v>
          </cell>
          <cell r="R1391">
            <v>3383254</v>
          </cell>
          <cell r="S1391">
            <v>483322</v>
          </cell>
          <cell r="T1391">
            <v>0</v>
          </cell>
          <cell r="U1391">
            <v>2899932</v>
          </cell>
          <cell r="V1391">
            <v>2899932</v>
          </cell>
        </row>
        <row r="1392">
          <cell r="J1392">
            <v>923</v>
          </cell>
          <cell r="K1392">
            <v>43139</v>
          </cell>
          <cell r="L1392" t="str">
            <v>MARIA HELENA GALINDO GONZALEZ</v>
          </cell>
          <cell r="M1392">
            <v>31</v>
          </cell>
          <cell r="N1392" t="str">
            <v>RESOLUCION</v>
          </cell>
          <cell r="O1392">
            <v>540</v>
          </cell>
          <cell r="P1392">
            <v>43139</v>
          </cell>
          <cell r="Q1392" t="str">
            <v>AYUDA TEMPORAL A LAS FAMILIAS DE VARIAS LOCALIDADES, PARA RELOCALIZACIÓN DE HOGARES LOCALIZADOS EN ZONAS DE ALTO RIESGO NO MITIGABLE ID:2014-OTR-00956, LOCALIDAD:19 CIUDAD BOLÍVAR, UPZ:67 LUCERO, SECTOR:TABOR ALTALOMA</v>
          </cell>
          <cell r="R1392">
            <v>3383254</v>
          </cell>
          <cell r="S1392">
            <v>483322</v>
          </cell>
          <cell r="T1392">
            <v>0</v>
          </cell>
          <cell r="U1392">
            <v>2899932</v>
          </cell>
          <cell r="V1392">
            <v>2899932</v>
          </cell>
        </row>
        <row r="1393">
          <cell r="J1393">
            <v>924</v>
          </cell>
          <cell r="K1393">
            <v>43139</v>
          </cell>
          <cell r="L1393" t="str">
            <v>MARIA DEL CARMEN GONZALEZ</v>
          </cell>
          <cell r="M1393">
            <v>31</v>
          </cell>
          <cell r="N1393" t="str">
            <v>RESOLUCION</v>
          </cell>
          <cell r="O1393">
            <v>541</v>
          </cell>
          <cell r="P1393">
            <v>43139</v>
          </cell>
          <cell r="Q1393" t="str">
            <v>AYUDA TEMPORAL A LAS FAMILIAS DE VARIAS LOCALIDADES, PARA RELOCALIZACIÓN DE HOGARES LOCALIZADOS EN ZONAS DE ALTO RIESGO NO MITIGABLE ID:2014-OTR-00966, LOCALIDAD:19 CIUDAD BOLÍVAR, UPZ:67 LUCERO, SECTOR:TABOR ALTALOMA</v>
          </cell>
          <cell r="R1393">
            <v>3619000</v>
          </cell>
          <cell r="S1393">
            <v>517000</v>
          </cell>
          <cell r="T1393">
            <v>0</v>
          </cell>
          <cell r="U1393">
            <v>3102000</v>
          </cell>
          <cell r="V1393">
            <v>3102000</v>
          </cell>
        </row>
        <row r="1394">
          <cell r="J1394">
            <v>925</v>
          </cell>
          <cell r="K1394">
            <v>43139</v>
          </cell>
          <cell r="L1394" t="str">
            <v>AGRIPINA IMELDA ROBLES VIUDA DE TINJACA</v>
          </cell>
          <cell r="M1394">
            <v>31</v>
          </cell>
          <cell r="N1394" t="str">
            <v>RESOLUCION</v>
          </cell>
          <cell r="O1394">
            <v>542</v>
          </cell>
          <cell r="P1394">
            <v>43139</v>
          </cell>
          <cell r="Q1394" t="str">
            <v>AYUDA TEMPORAL A LAS FAMILIAS DE VARIAS LOCALIDADES, PARA RELOCALIZACIÓN DE HOGARES LOCALIZADOS EN ZONAS DE ALTO RIESGO NO MITIGABLE ID:2013-Q04-00283, LOCALIDAD:19 CIUDAD BOLÍVAR, UPZ:67 LUCERO, SECTOR:PEÑA COLORADA</v>
          </cell>
          <cell r="R1394">
            <v>3017000</v>
          </cell>
          <cell r="S1394">
            <v>431000</v>
          </cell>
          <cell r="T1394">
            <v>0</v>
          </cell>
          <cell r="U1394">
            <v>2586000</v>
          </cell>
          <cell r="V1394">
            <v>2586000</v>
          </cell>
        </row>
        <row r="1395">
          <cell r="J1395">
            <v>926</v>
          </cell>
          <cell r="K1395">
            <v>43139</v>
          </cell>
          <cell r="L1395" t="str">
            <v>YENNI PATRICIA ROA CASAS</v>
          </cell>
          <cell r="M1395">
            <v>31</v>
          </cell>
          <cell r="N1395" t="str">
            <v>RESOLUCION</v>
          </cell>
          <cell r="O1395">
            <v>543</v>
          </cell>
          <cell r="P1395">
            <v>43139</v>
          </cell>
          <cell r="Q1395" t="str">
            <v>AYUDA TEMPORAL A LAS FAMILIAS DE VARIAS LOCALIDADES, PARA RELOCALIZACIÓN DE HOGARES LOCALIZADOS EN ZONAS DE ALTO RIESGO NO MITIGABLE ID:2010-19-12301, LOCALIDAD:19 CIUDAD BOLÍVAR, UPZ:67 LUCERO</v>
          </cell>
          <cell r="R1395">
            <v>4979592</v>
          </cell>
          <cell r="S1395">
            <v>0</v>
          </cell>
          <cell r="T1395">
            <v>0</v>
          </cell>
          <cell r="U1395">
            <v>4979592</v>
          </cell>
          <cell r="V1395">
            <v>3873016</v>
          </cell>
        </row>
        <row r="1396">
          <cell r="J1396">
            <v>927</v>
          </cell>
          <cell r="K1396">
            <v>43139</v>
          </cell>
          <cell r="L1396" t="str">
            <v>JESUS EDUARDO HENAO SOTO</v>
          </cell>
          <cell r="M1396">
            <v>31</v>
          </cell>
          <cell r="N1396" t="str">
            <v>RESOLUCION</v>
          </cell>
          <cell r="O1396">
            <v>544</v>
          </cell>
          <cell r="P1396">
            <v>43139</v>
          </cell>
          <cell r="Q1396" t="str">
            <v>AYUDA TEMPORAL A LAS FAMILIAS DE VARIAS LOCALIDADES, PARA RELOCALIZACIÓN DE HOGARES LOCALIZADOS EN ZONAS DE ALTO RIESGO NO MITIGABLE ID:2013-Q04-00297, LOCALIDAD:19 CIUDAD BOLÍVAR, UPZ:67 LUCERO, SECTOR:PEÑA COLORADA</v>
          </cell>
          <cell r="R1396">
            <v>6713226</v>
          </cell>
          <cell r="S1396">
            <v>0</v>
          </cell>
          <cell r="T1396">
            <v>0</v>
          </cell>
          <cell r="U1396">
            <v>6713226</v>
          </cell>
          <cell r="V1396">
            <v>3614814</v>
          </cell>
        </row>
        <row r="1397">
          <cell r="J1397">
            <v>928</v>
          </cell>
          <cell r="K1397">
            <v>43139</v>
          </cell>
          <cell r="L1397" t="str">
            <v>OMAR  SALAZAR HERNANDEZ</v>
          </cell>
          <cell r="M1397">
            <v>31</v>
          </cell>
          <cell r="N1397" t="str">
            <v>RESOLUCION</v>
          </cell>
          <cell r="O1397">
            <v>545</v>
          </cell>
          <cell r="P1397">
            <v>43139</v>
          </cell>
          <cell r="Q1397" t="str">
            <v>AYUDA TEMPORAL A LAS FAMILIAS DE VARIAS LOCALIDADES, PARA RELOCALIZACIÓN DE HOGARES LOCALIZADOS EN ZONAS DE ALTO RIESGO NO MITIGABLE ID:2008-4-10769, LOCALIDAD:04 SAN CRISTÓBAL, UPZ:51 LOS LIBERTADORES, SECTOR:QUEBRADA VEREJONES</v>
          </cell>
          <cell r="R1397">
            <v>3254769</v>
          </cell>
          <cell r="S1397">
            <v>464967</v>
          </cell>
          <cell r="T1397">
            <v>0</v>
          </cell>
          <cell r="U1397">
            <v>2789802</v>
          </cell>
          <cell r="V1397">
            <v>2789802</v>
          </cell>
        </row>
        <row r="1398">
          <cell r="J1398">
            <v>929</v>
          </cell>
          <cell r="K1398">
            <v>43139</v>
          </cell>
          <cell r="L1398" t="str">
            <v>ALBA YOLIMA GARCIA</v>
          </cell>
          <cell r="M1398">
            <v>31</v>
          </cell>
          <cell r="N1398" t="str">
            <v>RESOLUCION</v>
          </cell>
          <cell r="O1398">
            <v>546</v>
          </cell>
          <cell r="P1398">
            <v>43139</v>
          </cell>
          <cell r="Q1398" t="str">
            <v>AYUDA TEMPORAL A LAS FAMILIAS DE VARIAS LOCALIDADES, PARA RELOCALIZACIÓN DE HOGARES LOCALIZADOS EN ZONAS DE ALTO RIESGO NO MITIGABLE ID:2006-19-8545, LOCALIDAD:19 CIUDAD BOLÍVAR, UPZ:68 EL TESORO, SECTOR:QUEBRADA EL INFIERNO</v>
          </cell>
          <cell r="R1398">
            <v>2788569</v>
          </cell>
          <cell r="S1398">
            <v>398367</v>
          </cell>
          <cell r="T1398">
            <v>0</v>
          </cell>
          <cell r="U1398">
            <v>2390202</v>
          </cell>
          <cell r="V1398">
            <v>2390202</v>
          </cell>
        </row>
        <row r="1399">
          <cell r="J1399">
            <v>930</v>
          </cell>
          <cell r="K1399">
            <v>43139</v>
          </cell>
          <cell r="L1399" t="str">
            <v>FLOR ALBA RODRIGUEZ GOMEZ</v>
          </cell>
          <cell r="M1399">
            <v>31</v>
          </cell>
          <cell r="N1399" t="str">
            <v>RESOLUCION</v>
          </cell>
          <cell r="O1399">
            <v>547</v>
          </cell>
          <cell r="P1399">
            <v>43139</v>
          </cell>
          <cell r="Q1399" t="str">
            <v>AYUDA TEMPORAL A LAS FAMILIAS DE VARIAS LOCALIDADES, PARA RELOCALIZACIÓN DE HOGARES LOCALIZADOS EN ZONAS DE ALTO RIESGO NO MITIGABLE ID:2009-4-11165, LOCALIDAD:04 SAN CRISTÓBAL, UPZ:50 LA GLORIA</v>
          </cell>
          <cell r="R1399">
            <v>3157574</v>
          </cell>
          <cell r="S1399">
            <v>451082</v>
          </cell>
          <cell r="T1399">
            <v>0</v>
          </cell>
          <cell r="U1399">
            <v>2706492</v>
          </cell>
          <cell r="V1399">
            <v>2706492</v>
          </cell>
        </row>
        <row r="1400">
          <cell r="J1400">
            <v>931</v>
          </cell>
          <cell r="K1400">
            <v>43139</v>
          </cell>
          <cell r="L1400" t="str">
            <v>NATALI  RODRIGUEZ GONZALEZ</v>
          </cell>
          <cell r="M1400">
            <v>31</v>
          </cell>
          <cell r="N1400" t="str">
            <v>RESOLUCION</v>
          </cell>
          <cell r="O1400">
            <v>548</v>
          </cell>
          <cell r="P1400">
            <v>43139</v>
          </cell>
          <cell r="Q1400" t="str">
            <v>AYUDA TEMPORAL A LAS FAMILIAS DE VARIAS LOCALIDADES, PARA RELOCALIZACIÓN DE HOGARES LOCALIZADOS EN ZONAS DE ALTO RIESGO NO MITIGABLE ID:2014-OTR-01001, LOCALIDAD:19 CIUDAD BOLÍVAR, UPZ:67 LUCERO, SECTOR:TABOR ALTALOMA</v>
          </cell>
          <cell r="R1400">
            <v>2582006</v>
          </cell>
          <cell r="S1400">
            <v>368858</v>
          </cell>
          <cell r="T1400">
            <v>0</v>
          </cell>
          <cell r="U1400">
            <v>2213148</v>
          </cell>
          <cell r="V1400">
            <v>2213148</v>
          </cell>
        </row>
        <row r="1401">
          <cell r="J1401">
            <v>932</v>
          </cell>
          <cell r="K1401">
            <v>43139</v>
          </cell>
          <cell r="L1401" t="str">
            <v>MAIRA TATIANA GARCIA GUTIERREZ</v>
          </cell>
          <cell r="M1401">
            <v>31</v>
          </cell>
          <cell r="N1401" t="str">
            <v>RESOLUCION</v>
          </cell>
          <cell r="O1401">
            <v>549</v>
          </cell>
          <cell r="P1401">
            <v>43139</v>
          </cell>
          <cell r="Q1401" t="str">
            <v>AYUDA TEMPORAL A LAS FAMILIAS DE VARIAS LOCALIDADES, PARA RELOCALIZACIÓN DE HOGARES LOCALIZADOS EN ZONAS DE ALTO RIESGO NO MITIGABLE ID:2014-OTR-01101, LOCALIDAD:19 CIUDAD BOLÍVAR, UPZ:67 LUCERO, SECTOR:TABOR ALTALOMA</v>
          </cell>
          <cell r="R1401">
            <v>5603000</v>
          </cell>
          <cell r="S1401">
            <v>0</v>
          </cell>
          <cell r="T1401">
            <v>0</v>
          </cell>
          <cell r="U1401">
            <v>5603000</v>
          </cell>
          <cell r="V1401">
            <v>3017000</v>
          </cell>
        </row>
        <row r="1402">
          <cell r="J1402">
            <v>933</v>
          </cell>
          <cell r="K1402">
            <v>43139</v>
          </cell>
          <cell r="L1402" t="str">
            <v>GILDARDO  TOVAR ABELLO</v>
          </cell>
          <cell r="M1402">
            <v>31</v>
          </cell>
          <cell r="N1402" t="str">
            <v>RESOLUCION</v>
          </cell>
          <cell r="O1402">
            <v>471</v>
          </cell>
          <cell r="P1402">
            <v>43139</v>
          </cell>
          <cell r="Q1402" t="str">
            <v>AYUDA TEMPORAL A LAS FAMILIAS DE VARIAS LOCALIDADES, PARA RELOCALIZACIÓN DE HOGARES LOCALIZADOS EN ZONAS DE ALTO RIESGO NO MITIGABLE ID:2016-19-00006, LOCALIDAD:19 CIUDAD BOLÍVAR, UPZ:67 LUCERO</v>
          </cell>
          <cell r="R1402">
            <v>2685291</v>
          </cell>
          <cell r="S1402">
            <v>0</v>
          </cell>
          <cell r="T1402">
            <v>0</v>
          </cell>
          <cell r="U1402">
            <v>2685291</v>
          </cell>
          <cell r="V1402">
            <v>2301678</v>
          </cell>
        </row>
        <row r="1403">
          <cell r="J1403">
            <v>934</v>
          </cell>
          <cell r="K1403">
            <v>43139</v>
          </cell>
          <cell r="L1403" t="str">
            <v>HECTOR JULIO GOMEZ HERRERA</v>
          </cell>
          <cell r="M1403">
            <v>31</v>
          </cell>
          <cell r="N1403" t="str">
            <v>RESOLUCION</v>
          </cell>
          <cell r="O1403">
            <v>478</v>
          </cell>
          <cell r="P1403">
            <v>43139</v>
          </cell>
          <cell r="Q1403" t="str">
            <v>AYUDA TEMPORAL A LAS FAMILIAS DE VARIAS LOCALIDADES, PARA RELOCALIZACIÓN DE HOGARES LOCALIZADOS EN ZONAS DE ALTO RIESGO NO MITIGABLE ID:2010-5-11595, LOCALIDAD:05 USME, UPZ:57 GRAN YOMASA, SECTOR:OLA INVERNAL 2010 FOPAE</v>
          </cell>
          <cell r="R1403">
            <v>2582006</v>
          </cell>
          <cell r="S1403">
            <v>368858</v>
          </cell>
          <cell r="T1403">
            <v>0</v>
          </cell>
          <cell r="U1403">
            <v>2213148</v>
          </cell>
          <cell r="V1403">
            <v>2213148</v>
          </cell>
        </row>
        <row r="1404">
          <cell r="J1404">
            <v>935</v>
          </cell>
          <cell r="K1404">
            <v>43139</v>
          </cell>
          <cell r="L1404" t="str">
            <v>SANDRA PILAR GUAVITA GAITAN</v>
          </cell>
          <cell r="M1404">
            <v>31</v>
          </cell>
          <cell r="N1404" t="str">
            <v>RESOLUCION</v>
          </cell>
          <cell r="O1404">
            <v>479</v>
          </cell>
          <cell r="P1404">
            <v>43139</v>
          </cell>
          <cell r="Q1404" t="str">
            <v>AYUDA TEMPORAL A LAS FAMILIAS DE VARIAS LOCALIDADES, PARA RELOCALIZACIÓN DE HOGARES LOCALIZADOS EN ZONAS DE ALTO RIESGO NO MITIGABLE ID:2010-5-11643, LOCALIDAD:05 USME, UPZ:57 GRAN YOMASA, SECTOR:OLA INVERNAL 2010 FOPAE</v>
          </cell>
          <cell r="R1404">
            <v>2582006</v>
          </cell>
          <cell r="S1404">
            <v>368858</v>
          </cell>
          <cell r="T1404">
            <v>0</v>
          </cell>
          <cell r="U1404">
            <v>2213148</v>
          </cell>
          <cell r="V1404">
            <v>2213148</v>
          </cell>
        </row>
        <row r="1405">
          <cell r="J1405">
            <v>936</v>
          </cell>
          <cell r="K1405">
            <v>43139</v>
          </cell>
          <cell r="L1405" t="str">
            <v>MARTHA LUCIA BERNAL ECHAVARRIA</v>
          </cell>
          <cell r="M1405">
            <v>31</v>
          </cell>
          <cell r="N1405" t="str">
            <v>RESOLUCION</v>
          </cell>
          <cell r="O1405">
            <v>488</v>
          </cell>
          <cell r="P1405">
            <v>43139</v>
          </cell>
          <cell r="Q1405" t="str">
            <v>AYUDA TEMPORAL A LAS FAMILIAS DE VARIAS LOCALIDADES, PARA RELOCALIZACIÓN DE HOGARES LOCALIZADOS EN ZONAS DE ALTO RIESGO NO MITIGABLE ID:2015-D227-00010, LOCALIDAD:04 SAN CRISTÓBAL, UPZ:51 LOS LIBERTADORES, SECTOR:SANTA TERESITA</v>
          </cell>
          <cell r="R1405">
            <v>5361707</v>
          </cell>
          <cell r="S1405">
            <v>0</v>
          </cell>
          <cell r="T1405">
            <v>0</v>
          </cell>
          <cell r="U1405">
            <v>5361707</v>
          </cell>
          <cell r="V1405">
            <v>2887073</v>
          </cell>
        </row>
        <row r="1406">
          <cell r="J1406">
            <v>937</v>
          </cell>
          <cell r="K1406">
            <v>43139</v>
          </cell>
          <cell r="L1406" t="str">
            <v>MYRIAM EDITH ALVAREZ DUARTE</v>
          </cell>
          <cell r="M1406">
            <v>31</v>
          </cell>
          <cell r="N1406" t="str">
            <v>RESOLUCION</v>
          </cell>
          <cell r="O1406">
            <v>550</v>
          </cell>
          <cell r="P1406">
            <v>43139</v>
          </cell>
          <cell r="Q1406" t="str">
            <v>AYUDA TEMPORAL A LAS FAMILIAS DE VARIAS LOCALIDADES, PARA RELOCALIZACIÓN DE HOGARES LOCALIZADOS EN ZONAS DE ALTO RIESGO NO MITIGABLE ID:2011-19-12558, LOCALIDAD:19 CIUDAD BOLÍVAR, UPZ:69 ISMAEL PERDOMO, SECTOR:OLA INVERNAL 2010 FOPAE</v>
          </cell>
          <cell r="R1406">
            <v>2582006</v>
          </cell>
          <cell r="S1406">
            <v>1844290</v>
          </cell>
          <cell r="T1406">
            <v>0</v>
          </cell>
          <cell r="U1406">
            <v>737716</v>
          </cell>
          <cell r="V1406">
            <v>737716</v>
          </cell>
        </row>
        <row r="1407">
          <cell r="J1407">
            <v>938</v>
          </cell>
          <cell r="K1407">
            <v>43139</v>
          </cell>
          <cell r="L1407" t="str">
            <v>LEYDI ALEJANDRA RUIZ GUTIERREZ</v>
          </cell>
          <cell r="M1407">
            <v>31</v>
          </cell>
          <cell r="N1407" t="str">
            <v>RESOLUCION</v>
          </cell>
          <cell r="O1407">
            <v>551</v>
          </cell>
          <cell r="P1407">
            <v>43139</v>
          </cell>
          <cell r="Q1407" t="str">
            <v>AYUDA TEMPORAL A LAS FAMILIAS DE VARIAS LOCALIDADES, PARA RELOCALIZACIÓN DE HOGARES LOCALIZADOS EN ZONAS DE ALTO RIESGO NO MITIGABLE ID:2014-OTR-00943, LOCALIDAD:19 CIUDAD BOLÍVAR, UPZ:67 LUCERO, SECTOR:TABOR ALTALOMA</v>
          </cell>
          <cell r="R1407">
            <v>5603000</v>
          </cell>
          <cell r="S1407">
            <v>0</v>
          </cell>
          <cell r="T1407">
            <v>0</v>
          </cell>
          <cell r="U1407">
            <v>5603000</v>
          </cell>
          <cell r="V1407">
            <v>3017000</v>
          </cell>
        </row>
        <row r="1408">
          <cell r="J1408">
            <v>939</v>
          </cell>
          <cell r="K1408">
            <v>43139</v>
          </cell>
          <cell r="L1408" t="str">
            <v>ZOILA YORANY QUIROGA HERNANDEZ</v>
          </cell>
          <cell r="M1408">
            <v>31</v>
          </cell>
          <cell r="N1408" t="str">
            <v>RESOLUCION</v>
          </cell>
          <cell r="O1408">
            <v>489</v>
          </cell>
          <cell r="P1408">
            <v>43139</v>
          </cell>
          <cell r="Q1408" t="str">
            <v>AYUDA TEMPORAL A LAS FAMILIAS DE VARIAS LOCALIDADES, PARA RELOCALIZACIÓN DE HOGARES LOCALIZADOS EN ZONAS DE ALTO RIESGO NO MITIGABLE ID:2012-18-14311, LOCALIDAD:18 RAFAEL URIBE URIBE, UPZ:55 DIANA TURBAY</v>
          </cell>
          <cell r="R1408">
            <v>3769731</v>
          </cell>
          <cell r="S1408">
            <v>0</v>
          </cell>
          <cell r="T1408">
            <v>0</v>
          </cell>
          <cell r="U1408">
            <v>3769731</v>
          </cell>
          <cell r="V1408">
            <v>2154132</v>
          </cell>
        </row>
        <row r="1409">
          <cell r="J1409">
            <v>940</v>
          </cell>
          <cell r="K1409">
            <v>43139</v>
          </cell>
          <cell r="L1409" t="str">
            <v>ANA LUCERO DIAZ DIAZ</v>
          </cell>
          <cell r="M1409">
            <v>31</v>
          </cell>
          <cell r="N1409" t="str">
            <v>RESOLUCION</v>
          </cell>
          <cell r="O1409">
            <v>553</v>
          </cell>
          <cell r="P1409">
            <v>43139</v>
          </cell>
          <cell r="Q1409" t="str">
            <v>AYUDA TEMPORAL A LAS FAMILIAS DE VARIAS LOCALIDADES, PARA RELOCALIZACIÓN DE HOGARES LOCALIZADOS EN ZONAS DE ALTO RIESGO NO MITIGABLE ID:2010-5-11581, LOCALIDAD:05 USME, UPZ:57 GRAN YOMASA, SECTOR:OLA INVERNAL 2010 FOPAE</v>
          </cell>
          <cell r="R1409">
            <v>3299296</v>
          </cell>
          <cell r="S1409">
            <v>471328</v>
          </cell>
          <cell r="T1409">
            <v>0</v>
          </cell>
          <cell r="U1409">
            <v>2827968</v>
          </cell>
          <cell r="V1409">
            <v>2827968</v>
          </cell>
        </row>
        <row r="1410">
          <cell r="J1410">
            <v>941</v>
          </cell>
          <cell r="K1410">
            <v>43139</v>
          </cell>
          <cell r="L1410" t="str">
            <v>HECTOR GUILLERMO GOMEZ SALINAS</v>
          </cell>
          <cell r="M1410">
            <v>31</v>
          </cell>
          <cell r="N1410" t="str">
            <v>RESOLUCION</v>
          </cell>
          <cell r="O1410">
            <v>490</v>
          </cell>
          <cell r="P1410">
            <v>43139</v>
          </cell>
          <cell r="Q1410" t="str">
            <v>AYUDA TEMPORAL A LAS FAMILIAS DE VARIAS LOCALIDADES, PARA RELOCALIZACIÓN DE HOGARES LOCALIZADOS EN ZONAS DE ALTO RIESGO NO MITIGABLE ID:2013-Q05-00009, LOCALIDAD:19 CIUDAD BOLÍVAR, UPZ:67 LUCERO, SECTOR:QUEBRADA CAÑO BAÚL</v>
          </cell>
          <cell r="R1410">
            <v>3363507</v>
          </cell>
          <cell r="S1410">
            <v>480501</v>
          </cell>
          <cell r="T1410">
            <v>0</v>
          </cell>
          <cell r="U1410">
            <v>2883006</v>
          </cell>
          <cell r="V1410">
            <v>2883006</v>
          </cell>
        </row>
        <row r="1411">
          <cell r="J1411">
            <v>942</v>
          </cell>
          <cell r="K1411">
            <v>43139</v>
          </cell>
          <cell r="L1411" t="str">
            <v>LUZ NEIDA BARRAGAN GARCIA</v>
          </cell>
          <cell r="M1411">
            <v>31</v>
          </cell>
          <cell r="N1411" t="str">
            <v>RESOLUCION</v>
          </cell>
          <cell r="O1411">
            <v>554</v>
          </cell>
          <cell r="P1411">
            <v>43139</v>
          </cell>
          <cell r="Q1411" t="str">
            <v>AYUDA TEMPORAL A LAS FAMILIAS DE VARIAS LOCALIDADES, PARA RELOCALIZACIÓN DE HOGARES LOCALIZADOS EN ZONAS DE ALTO RIESGO NO MITIGABLE ID:2016-08-14904, LOCALIDAD:08 KENNEDY, UPZ:82 PATIO BONITO, SECTOR:PALMITAS</v>
          </cell>
          <cell r="R1411">
            <v>5466487</v>
          </cell>
          <cell r="S1411">
            <v>0</v>
          </cell>
          <cell r="T1411">
            <v>0</v>
          </cell>
          <cell r="U1411">
            <v>5466487</v>
          </cell>
          <cell r="V1411">
            <v>2943493</v>
          </cell>
        </row>
        <row r="1412">
          <cell r="J1412">
            <v>943</v>
          </cell>
          <cell r="K1412">
            <v>43139</v>
          </cell>
          <cell r="L1412" t="str">
            <v>NELVA  CASTRO TRUJILLO</v>
          </cell>
          <cell r="M1412">
            <v>31</v>
          </cell>
          <cell r="N1412" t="str">
            <v>RESOLUCION</v>
          </cell>
          <cell r="O1412">
            <v>555</v>
          </cell>
          <cell r="P1412">
            <v>43139</v>
          </cell>
          <cell r="Q1412" t="str">
            <v>AYUDA TEMPORAL A LAS FAMILIAS DE VARIAS LOCALIDADES, PARA RELOCALIZACIÓN DE HOGARES LOCALIZADOS EN ZONAS DE ALTO RIESGO NO MITIGABLE ID:2016-08-14886, LOCALIDAD:08 KENNEDY, UPZ:82 PATIO BONITO, SECTOR:PALMITAS</v>
          </cell>
          <cell r="R1412">
            <v>6453291</v>
          </cell>
          <cell r="S1412">
            <v>0</v>
          </cell>
          <cell r="T1412">
            <v>0</v>
          </cell>
          <cell r="U1412">
            <v>6453291</v>
          </cell>
          <cell r="V1412">
            <v>3474849</v>
          </cell>
        </row>
        <row r="1413">
          <cell r="J1413">
            <v>944</v>
          </cell>
          <cell r="K1413">
            <v>43139</v>
          </cell>
          <cell r="L1413" t="str">
            <v>TANIA JAEL MEDINA</v>
          </cell>
          <cell r="M1413">
            <v>31</v>
          </cell>
          <cell r="N1413" t="str">
            <v>RESOLUCION</v>
          </cell>
          <cell r="O1413">
            <v>556</v>
          </cell>
          <cell r="P1413">
            <v>43139</v>
          </cell>
          <cell r="Q1413" t="str">
            <v>AYUDA TEMPORAL A LAS FAMILIAS DE VARIAS LOCALIDADES, PARA RELOCALIZACIÓN DE HOGARES LOCALIZADOS EN ZONAS DE ALTO RIESGO NO MITIGABLE ID:2005-19-7653, LOCALIDAD:19 CIUDAD BOLÍVAR, UPZ:67 LUCERO</v>
          </cell>
          <cell r="R1413">
            <v>3473526</v>
          </cell>
          <cell r="S1413">
            <v>496218</v>
          </cell>
          <cell r="T1413">
            <v>0</v>
          </cell>
          <cell r="U1413">
            <v>2977308</v>
          </cell>
          <cell r="V1413">
            <v>2977308</v>
          </cell>
        </row>
        <row r="1414">
          <cell r="J1414">
            <v>945</v>
          </cell>
          <cell r="K1414">
            <v>43139</v>
          </cell>
          <cell r="L1414" t="str">
            <v>GRACIELA  RUIZ SEGURA</v>
          </cell>
          <cell r="M1414">
            <v>31</v>
          </cell>
          <cell r="N1414" t="str">
            <v>RESOLUCION</v>
          </cell>
          <cell r="O1414">
            <v>491</v>
          </cell>
          <cell r="P1414">
            <v>43139</v>
          </cell>
          <cell r="Q1414" t="str">
            <v>AYUDA TEMPORAL A LAS FAMILIAS DE VARIAS LOCALIDADES, PARA RELOCALIZACIÓN DE HOGARES LOCALIZADOS EN ZONAS DE ALTO RIESGO NO MITIGABLE ID:2009-5-11048, LOCALIDAD:05 USME, UPZ:57 GRAN YOMASA</v>
          </cell>
          <cell r="R1414">
            <v>3383254</v>
          </cell>
          <cell r="S1414">
            <v>483322</v>
          </cell>
          <cell r="T1414">
            <v>0</v>
          </cell>
          <cell r="U1414">
            <v>2899932</v>
          </cell>
          <cell r="V1414">
            <v>2899932</v>
          </cell>
        </row>
        <row r="1415">
          <cell r="J1415">
            <v>946</v>
          </cell>
          <cell r="K1415">
            <v>43139</v>
          </cell>
          <cell r="L1415" t="str">
            <v>ANGELA MARIA RODRIGUEZ RUBIANO</v>
          </cell>
          <cell r="M1415">
            <v>31</v>
          </cell>
          <cell r="N1415" t="str">
            <v>RESOLUCION</v>
          </cell>
          <cell r="O1415">
            <v>557</v>
          </cell>
          <cell r="P1415">
            <v>43139</v>
          </cell>
          <cell r="Q1415" t="str">
            <v>AYUDA TEMPORAL A LAS FAMILIAS DE VARIAS LOCALIDADES, PARA RELOCALIZACIÓN DE HOGARES LOCALIZADOS EN ZONAS DE ALTO RIESGO NO MITIGABLE ID:2014-Q09-00805, LOCALIDAD:19 CIUDAD BOLÍVAR, UPZ:67 LUCERO, SECTOR:QUEBRADA TROMPETA</v>
          </cell>
          <cell r="R1415">
            <v>3017000</v>
          </cell>
          <cell r="S1415">
            <v>431000</v>
          </cell>
          <cell r="T1415">
            <v>0</v>
          </cell>
          <cell r="U1415">
            <v>2586000</v>
          </cell>
          <cell r="V1415">
            <v>2586000</v>
          </cell>
        </row>
        <row r="1416">
          <cell r="J1416">
            <v>947</v>
          </cell>
          <cell r="K1416">
            <v>43139</v>
          </cell>
          <cell r="L1416" t="str">
            <v>GILMA  GIRALDO FLOREZ</v>
          </cell>
          <cell r="M1416">
            <v>31</v>
          </cell>
          <cell r="N1416" t="str">
            <v>RESOLUCION</v>
          </cell>
          <cell r="O1416">
            <v>492</v>
          </cell>
          <cell r="P1416">
            <v>43139</v>
          </cell>
          <cell r="Q1416" t="str">
            <v>AYUDA TEMPORAL A LAS FAMILIAS DE VARIAS LOCALIDADES, PARA RELOCALIZACIÓN DE HOGARES LOCALIZADOS EN ZONAS DE ALTO RIESGO NO MITIGABLE ID:2013-Q10-00199, LOCALIDAD:19 CIUDAD BOLÍVAR, UPZ:69 ISMAEL PERDOMO, SECTOR:ZANJÓN MURALLA</v>
          </cell>
          <cell r="R1416">
            <v>5863585</v>
          </cell>
          <cell r="S1416">
            <v>0</v>
          </cell>
          <cell r="T1416">
            <v>0</v>
          </cell>
          <cell r="U1416">
            <v>5863585</v>
          </cell>
          <cell r="V1416">
            <v>3157315</v>
          </cell>
        </row>
        <row r="1417">
          <cell r="J1417">
            <v>948</v>
          </cell>
          <cell r="K1417">
            <v>43139</v>
          </cell>
          <cell r="L1417" t="str">
            <v>LINA MARIA RIAZA CANO</v>
          </cell>
          <cell r="M1417">
            <v>31</v>
          </cell>
          <cell r="N1417" t="str">
            <v>RESOLUCION</v>
          </cell>
          <cell r="O1417">
            <v>558</v>
          </cell>
          <cell r="P1417">
            <v>43139</v>
          </cell>
          <cell r="Q1417" t="str">
            <v>AYUDA TEMPORAL A LAS FAMILIAS DE VARIAS LOCALIDADES, PARA RELOCALIZACIÓN DE HOGARES LOCALIZADOS EN ZONAS DE ALTO RIESGO NO MITIGABLE ID:2011-18-12426, LOCALIDAD:18 RAFAEL URIBE URIBE, UPZ:55 DIANA TURBAY, SECTOR:OLA INVERNAL 2010 FOPAE</v>
          </cell>
          <cell r="R1417">
            <v>3374280</v>
          </cell>
          <cell r="S1417">
            <v>482040</v>
          </cell>
          <cell r="T1417">
            <v>0</v>
          </cell>
          <cell r="U1417">
            <v>2892240</v>
          </cell>
          <cell r="V1417">
            <v>2892240</v>
          </cell>
        </row>
        <row r="1418">
          <cell r="J1418">
            <v>949</v>
          </cell>
          <cell r="K1418">
            <v>43139</v>
          </cell>
          <cell r="L1418" t="str">
            <v>JERSON FABIAN RODRIGUEZ VELASQUEZ</v>
          </cell>
          <cell r="M1418">
            <v>31</v>
          </cell>
          <cell r="N1418" t="str">
            <v>RESOLUCION</v>
          </cell>
          <cell r="O1418">
            <v>493</v>
          </cell>
          <cell r="P1418">
            <v>43139</v>
          </cell>
          <cell r="Q1418" t="str">
            <v>AYUDA TEMPORAL A LAS FAMILIAS DE VARIAS LOCALIDADES, PARA RELOCALIZACIÓN DE HOGARES LOCALIZADOS EN ZONAS DE ALTO RIESGO NO MITIGABLE ID:2015-OTR-01368, LOCALIDAD:11 SUBA, UPZ:71 TIBABUYES, SECTOR:GAVILANES</v>
          </cell>
          <cell r="R1418">
            <v>5946005</v>
          </cell>
          <cell r="S1418">
            <v>0</v>
          </cell>
          <cell r="T1418">
            <v>0</v>
          </cell>
          <cell r="U1418">
            <v>5946005</v>
          </cell>
          <cell r="V1418">
            <v>3201695</v>
          </cell>
        </row>
        <row r="1419">
          <cell r="J1419">
            <v>950</v>
          </cell>
          <cell r="K1419">
            <v>43139</v>
          </cell>
          <cell r="L1419" t="str">
            <v>GEIDY MARCELA SAGANOME CABRERA</v>
          </cell>
          <cell r="M1419">
            <v>31</v>
          </cell>
          <cell r="N1419" t="str">
            <v>RESOLUCION</v>
          </cell>
          <cell r="O1419">
            <v>507</v>
          </cell>
          <cell r="P1419">
            <v>43139</v>
          </cell>
          <cell r="Q1419" t="str">
            <v>AYUDA TEMPORAL A LAS FAMILIAS DE VARIAS LOCALIDADES, PARA RELOCALIZACIÓN DE HOGARES LOCALIZADOS EN ZONAS DE ALTO RIESGO NO MITIGABLE ID:2014-OTR-01193, LOCALIDAD:11 SUBA, UPZ:71 TIBABUYES, SECTOR:GAVILANES</v>
          </cell>
          <cell r="R1419">
            <v>2586000</v>
          </cell>
          <cell r="S1419">
            <v>431000</v>
          </cell>
          <cell r="T1419">
            <v>0</v>
          </cell>
          <cell r="U1419">
            <v>2155000</v>
          </cell>
          <cell r="V1419">
            <v>2155000</v>
          </cell>
        </row>
        <row r="1420">
          <cell r="J1420">
            <v>951</v>
          </cell>
          <cell r="K1420">
            <v>43139</v>
          </cell>
          <cell r="L1420" t="str">
            <v>LUZ MARITSA VALENCIA UYOKE</v>
          </cell>
          <cell r="M1420">
            <v>31</v>
          </cell>
          <cell r="N1420" t="str">
            <v>RESOLUCION</v>
          </cell>
          <cell r="O1420">
            <v>494</v>
          </cell>
          <cell r="P1420">
            <v>43139</v>
          </cell>
          <cell r="Q1420" t="str">
            <v>AYUDA TEMPORAL A LAS FAMILIAS DE VARIAS LOCALIDADES, PARA RELOCALIZACIÓN DE HOGARES LOCALIZADOS EN ZONAS DE ALTO RIESGO NO MITIGABLE ID:2015-W166-411, LOCALIDAD:04 SAN CRISTÓBAL, UPZ:32 SAN BLAS, SECTOR:UITOTO</v>
          </cell>
          <cell r="R1420">
            <v>5947019</v>
          </cell>
          <cell r="S1420">
            <v>0</v>
          </cell>
          <cell r="T1420">
            <v>0</v>
          </cell>
          <cell r="U1420">
            <v>5947019</v>
          </cell>
          <cell r="V1420">
            <v>3202241</v>
          </cell>
        </row>
        <row r="1421">
          <cell r="J1421">
            <v>952</v>
          </cell>
          <cell r="K1421">
            <v>43139</v>
          </cell>
          <cell r="L1421" t="str">
            <v>CLAUDIA PATRICIA POLOCHE</v>
          </cell>
          <cell r="M1421">
            <v>31</v>
          </cell>
          <cell r="N1421" t="str">
            <v>RESOLUCION</v>
          </cell>
          <cell r="O1421">
            <v>559</v>
          </cell>
          <cell r="P1421">
            <v>43139</v>
          </cell>
          <cell r="Q1421" t="str">
            <v>AYUDA TEMPORAL A LAS FAMILIAS DE VARIAS LOCALIDADES, PARA RELOCALIZACIÓN DE HOGARES LOCALIZADOS EN ZONAS DE ALTO RIESGO NO MITIGABLE ID:2010-4-11980, LOCALIDAD:04 SAN CRISTÓBAL, UPZ:32 SAN BLAS, SECTOR:OLA INVERNAL 2010 FOPAE</v>
          </cell>
          <cell r="R1421">
            <v>2845920</v>
          </cell>
          <cell r="S1421">
            <v>406560</v>
          </cell>
          <cell r="T1421">
            <v>0</v>
          </cell>
          <cell r="U1421">
            <v>2439360</v>
          </cell>
          <cell r="V1421">
            <v>2439360</v>
          </cell>
        </row>
        <row r="1422">
          <cell r="J1422">
            <v>953</v>
          </cell>
          <cell r="K1422">
            <v>43139</v>
          </cell>
          <cell r="L1422" t="str">
            <v>CILVINA  RODRIGUEZ ROMERO</v>
          </cell>
          <cell r="M1422">
            <v>31</v>
          </cell>
          <cell r="N1422" t="str">
            <v>RESOLUCION</v>
          </cell>
          <cell r="O1422">
            <v>495</v>
          </cell>
          <cell r="P1422">
            <v>43139</v>
          </cell>
          <cell r="Q1422" t="str">
            <v>AYUDA TEMPORAL A LAS FAMILIAS DE VARIAS LOCALIDADES, PARA RELOCALIZACIÓN DE HOGARES LOCALIZADOS EN ZONAS DE ALTO RIESGO NO MITIGABLE ID:2011-4-12707, LOCALIDAD:04 SAN CRISTÓBAL, UPZ:32 SAN BLAS</v>
          </cell>
          <cell r="R1422">
            <v>2977345</v>
          </cell>
          <cell r="S1422">
            <v>425335</v>
          </cell>
          <cell r="T1422">
            <v>0</v>
          </cell>
          <cell r="U1422">
            <v>2552010</v>
          </cell>
          <cell r="V1422">
            <v>2552010</v>
          </cell>
        </row>
        <row r="1423">
          <cell r="J1423">
            <v>954</v>
          </cell>
          <cell r="K1423">
            <v>43139</v>
          </cell>
          <cell r="L1423" t="str">
            <v>JUAN CARLOS PINILLA MONCADA</v>
          </cell>
          <cell r="M1423">
            <v>31</v>
          </cell>
          <cell r="N1423" t="str">
            <v>RESOLUCION</v>
          </cell>
          <cell r="O1423">
            <v>560</v>
          </cell>
          <cell r="P1423">
            <v>43139</v>
          </cell>
          <cell r="Q1423" t="str">
            <v>AYUDA TEMPORAL A LAS FAMILIAS DE VARIAS LOCALIDADES, PARA RELOCALIZACIÓN DE HOGARES LOCALIZADOS EN ZONAS DE ALTO RIESGO NO MITIGABLE ID:2011-4-12670, LOCALIDAD:04 SAN CRISTÓBAL, UPZ:32 SAN BLAS</v>
          </cell>
          <cell r="R1423">
            <v>4986969</v>
          </cell>
          <cell r="S1423">
            <v>0</v>
          </cell>
          <cell r="T1423">
            <v>0</v>
          </cell>
          <cell r="U1423">
            <v>4986969</v>
          </cell>
          <cell r="V1423">
            <v>2685291</v>
          </cell>
        </row>
        <row r="1424">
          <cell r="J1424">
            <v>955</v>
          </cell>
          <cell r="K1424">
            <v>43139</v>
          </cell>
          <cell r="L1424" t="str">
            <v>LILIANA MARCELA CADENA</v>
          </cell>
          <cell r="M1424">
            <v>31</v>
          </cell>
          <cell r="N1424" t="str">
            <v>RESOLUCION</v>
          </cell>
          <cell r="O1424">
            <v>496</v>
          </cell>
          <cell r="P1424">
            <v>43139</v>
          </cell>
          <cell r="Q1424" t="str">
            <v>AYUDA TEMPORAL A LAS FAMILIAS DE VARIAS LOCALIDADES, PARA RELOCALIZACIÓN DE HOGARES LOCALIZADOS EN ZONAS DE ALTO RIESGO NO MITIGABLE ID:2011-19-12742, LOCALIDAD:19 CIUDAD BOLÍVAR, UPZ:68 EL TESORO, SECTOR:QUEBRADA TROMPETA</v>
          </cell>
          <cell r="R1424">
            <v>2924376</v>
          </cell>
          <cell r="S1424">
            <v>0</v>
          </cell>
          <cell r="T1424">
            <v>0</v>
          </cell>
          <cell r="U1424">
            <v>2924376</v>
          </cell>
          <cell r="V1424">
            <v>2506608</v>
          </cell>
        </row>
        <row r="1425">
          <cell r="J1425">
            <v>956</v>
          </cell>
          <cell r="K1425">
            <v>43139</v>
          </cell>
          <cell r="L1425" t="str">
            <v>CARLOS JOSE DIMATE VILLARRAGA</v>
          </cell>
          <cell r="M1425">
            <v>31</v>
          </cell>
          <cell r="N1425" t="str">
            <v>RESOLUCION</v>
          </cell>
          <cell r="O1425">
            <v>561</v>
          </cell>
          <cell r="P1425">
            <v>43139</v>
          </cell>
          <cell r="Q1425" t="str">
            <v>AYUDA TEMPORAL A LAS FAMILIAS DE VARIAS LOCALIDADES, PARA RELOCALIZACIÓN DE HOGARES LOCALIZADOS EN ZONAS DE ALTO RIESGO NO MITIGABLE ID:2010-5-11555, LOCALIDAD:05 USME, UPZ:57 GRAN YOMASA, SECTOR:OLA INVERNAL 2010 FOPAE</v>
          </cell>
          <cell r="R1425">
            <v>2924376</v>
          </cell>
          <cell r="S1425">
            <v>417768</v>
          </cell>
          <cell r="T1425">
            <v>0</v>
          </cell>
          <cell r="U1425">
            <v>2506608</v>
          </cell>
          <cell r="V1425">
            <v>2506608</v>
          </cell>
        </row>
        <row r="1426">
          <cell r="J1426">
            <v>957</v>
          </cell>
          <cell r="K1426">
            <v>43139</v>
          </cell>
          <cell r="L1426" t="str">
            <v>MARIA MARGARITA COMESAQUIRA RISCANEVO</v>
          </cell>
          <cell r="M1426">
            <v>31</v>
          </cell>
          <cell r="N1426" t="str">
            <v>RESOLUCION</v>
          </cell>
          <cell r="O1426">
            <v>497</v>
          </cell>
          <cell r="P1426">
            <v>43139</v>
          </cell>
          <cell r="Q1426" t="str">
            <v>AYUDA TEMPORAL A LAS FAMILIAS DE VARIAS LOCALIDADES, PARA RELOCALIZACIÓN DE HOGARES LOCALIZADOS EN ZONAS DE ALTO RIESGO NO MITIGABLE ID:2012-19-14152, LOCALIDAD:19 CIUDAD BOLÍVAR, UPZ:68 EL TESORO, SECTOR:QUEBRADA TROMPETA</v>
          </cell>
          <cell r="R1426">
            <v>2582006</v>
          </cell>
          <cell r="S1426">
            <v>368858</v>
          </cell>
          <cell r="T1426">
            <v>0</v>
          </cell>
          <cell r="U1426">
            <v>2213148</v>
          </cell>
          <cell r="V1426">
            <v>2213148</v>
          </cell>
        </row>
        <row r="1427">
          <cell r="J1427">
            <v>958</v>
          </cell>
          <cell r="K1427">
            <v>43139</v>
          </cell>
          <cell r="L1427" t="str">
            <v>MARIA INES ISMARE PIRAZA</v>
          </cell>
          <cell r="M1427">
            <v>31</v>
          </cell>
          <cell r="N1427" t="str">
            <v>RESOLUCION</v>
          </cell>
          <cell r="O1427">
            <v>498</v>
          </cell>
          <cell r="P1427">
            <v>43139</v>
          </cell>
          <cell r="Q1427" t="str">
            <v>AYUDA TEMPORAL A LAS FAMILIAS DE VARIAS LOCALIDADES, PARA RELOCALIZACIÓN DE HOGARES LOCALIZADOS EN ZONAS DE ALTO RIESGO NO MITIGABLE ID:2014-W166-095, LOCALIDAD:19 CIUDAD BOLÍVAR, UPZ:68 EL TESORO, SECTOR:WOUNAAN</v>
          </cell>
          <cell r="R1427">
            <v>6236100</v>
          </cell>
          <cell r="S1427">
            <v>0</v>
          </cell>
          <cell r="T1427">
            <v>0</v>
          </cell>
          <cell r="U1427">
            <v>6236100</v>
          </cell>
          <cell r="V1427">
            <v>3357900</v>
          </cell>
        </row>
        <row r="1428">
          <cell r="J1428">
            <v>959</v>
          </cell>
          <cell r="K1428">
            <v>43139</v>
          </cell>
          <cell r="L1428" t="str">
            <v>ERSIN  MALAGA PIZARIO</v>
          </cell>
          <cell r="M1428">
            <v>31</v>
          </cell>
          <cell r="N1428" t="str">
            <v>RESOLUCION</v>
          </cell>
          <cell r="O1428">
            <v>499</v>
          </cell>
          <cell r="P1428">
            <v>43139</v>
          </cell>
          <cell r="Q1428" t="str">
            <v>AYUDA TEMPORAL A LAS FAMILIAS DE VARIAS LOCALIDADES, PARA RELOCALIZACIÓN DE HOGARES LOCALIZADOS EN ZONAS DE ALTO RIESGO NO MITIGABLE ID:2014-W166-056, LOCALIDAD:19 CIUDAD BOLÍVAR, UPZ:68 EL TESORO, SECTOR:WOUNAAN</v>
          </cell>
          <cell r="R1428">
            <v>4795154</v>
          </cell>
          <cell r="S1428">
            <v>0</v>
          </cell>
          <cell r="T1428">
            <v>0</v>
          </cell>
          <cell r="U1428">
            <v>4795154</v>
          </cell>
          <cell r="V1428">
            <v>2582006</v>
          </cell>
        </row>
        <row r="1429">
          <cell r="J1429">
            <v>960</v>
          </cell>
          <cell r="K1429">
            <v>43139</v>
          </cell>
          <cell r="L1429" t="str">
            <v>NANY  ISMARE PIRAZA</v>
          </cell>
          <cell r="M1429">
            <v>31</v>
          </cell>
          <cell r="N1429" t="str">
            <v>RESOLUCION</v>
          </cell>
          <cell r="O1429">
            <v>500</v>
          </cell>
          <cell r="P1429">
            <v>43139</v>
          </cell>
          <cell r="Q1429" t="str">
            <v>AYUDA TEMPORAL A LAS FAMILIAS DE VARIAS LOCALIDADES, PARA RELOCALIZACIÓN DE HOGARES LOCALIZADOS EN ZONAS DE ALTO RIESGO NO MITIGABLE ID:2014-W166-104, LOCALIDAD:19 CIUDAD BOLÍVAR, UPZ:67 LUCERO, SECTOR:WOUNAAN</v>
          </cell>
          <cell r="R1429">
            <v>5528393</v>
          </cell>
          <cell r="S1429">
            <v>0</v>
          </cell>
          <cell r="T1429">
            <v>0</v>
          </cell>
          <cell r="U1429">
            <v>5528393</v>
          </cell>
          <cell r="V1429">
            <v>2976827</v>
          </cell>
        </row>
        <row r="1430">
          <cell r="J1430">
            <v>961</v>
          </cell>
          <cell r="K1430">
            <v>43139</v>
          </cell>
          <cell r="L1430" t="str">
            <v>NELSY  CHOCHO MEMBACHE</v>
          </cell>
          <cell r="M1430">
            <v>31</v>
          </cell>
          <cell r="N1430" t="str">
            <v>RESOLUCION</v>
          </cell>
          <cell r="O1430">
            <v>508</v>
          </cell>
          <cell r="P1430">
            <v>43139</v>
          </cell>
          <cell r="Q1430" t="str">
            <v>AYUDA TEMPORAL A LAS FAMILIAS DE VARIAS LOCALIDADES, PARA RELOCALIZACIÓN DE HOGARES LOCALIZADOS EN ZONAS DE ALTO RIESGO NO MITIGABLE ID:2015-W166-435, LOCALIDAD:19 CIUDAD BOLÍVAR, UPZ:67 LUCERO, SECTOR:WOUNAAN</v>
          </cell>
          <cell r="R1430">
            <v>5947019</v>
          </cell>
          <cell r="S1430">
            <v>0</v>
          </cell>
          <cell r="T1430">
            <v>0</v>
          </cell>
          <cell r="U1430">
            <v>5947019</v>
          </cell>
          <cell r="V1430">
            <v>3202241</v>
          </cell>
        </row>
        <row r="1431">
          <cell r="J1431">
            <v>962</v>
          </cell>
          <cell r="K1431">
            <v>43139</v>
          </cell>
          <cell r="L1431" t="str">
            <v>ANA DOLORES BERNAL DE OÑATE</v>
          </cell>
          <cell r="M1431">
            <v>31</v>
          </cell>
          <cell r="N1431" t="str">
            <v>RESOLUCION</v>
          </cell>
          <cell r="O1431">
            <v>562</v>
          </cell>
          <cell r="P1431">
            <v>43139</v>
          </cell>
          <cell r="Q1431" t="str">
            <v>AYUDA TEMPORAL A LAS FAMILIAS DE VARIAS LOCALIDADES, PARA RELOCALIZACIÓN DE HOGARES LOCALIZADOS EN ZONAS DE ALTO RIESGO NO MITIGABLE ID:2011-4-13161, LOCALIDAD:04 SAN CRISTÓBAL, UPZ:34 20 DE JULIO</v>
          </cell>
          <cell r="R1431">
            <v>3041416</v>
          </cell>
          <cell r="S1431">
            <v>0</v>
          </cell>
          <cell r="T1431">
            <v>0</v>
          </cell>
          <cell r="U1431">
            <v>3041416</v>
          </cell>
          <cell r="V1431">
            <v>760354</v>
          </cell>
        </row>
        <row r="1432">
          <cell r="J1432">
            <v>963</v>
          </cell>
          <cell r="K1432">
            <v>43139</v>
          </cell>
          <cell r="L1432" t="str">
            <v>RODOLFO  CHIRIMIA MERCAZA</v>
          </cell>
          <cell r="M1432">
            <v>31</v>
          </cell>
          <cell r="N1432" t="str">
            <v>RESOLUCION</v>
          </cell>
          <cell r="O1432">
            <v>501</v>
          </cell>
          <cell r="P1432">
            <v>43139</v>
          </cell>
          <cell r="Q1432" t="str">
            <v>AYUDA TEMPORAL A LAS FAMILIAS DE VARIAS LOCALIDADES, PARA RELOCALIZACIÓN DE HOGARES LOCALIZADOS EN ZONAS DE ALTO RIESGO NO MITIGABLE ID:2014-W166-011, LOCALIDAD:19 CIUDAD BOLÍVAR, UPZ:68 EL TESORO, SECTOR:WOUNAAN</v>
          </cell>
          <cell r="R1432">
            <v>5285280</v>
          </cell>
          <cell r="S1432">
            <v>0</v>
          </cell>
          <cell r="T1432">
            <v>0</v>
          </cell>
          <cell r="U1432">
            <v>5285280</v>
          </cell>
          <cell r="V1432">
            <v>2845920</v>
          </cell>
        </row>
        <row r="1433">
          <cell r="J1433">
            <v>964</v>
          </cell>
          <cell r="K1433">
            <v>43139</v>
          </cell>
          <cell r="L1433" t="str">
            <v>SANDRA MILENA SANCHEZ RODRIGUEZ</v>
          </cell>
          <cell r="M1433">
            <v>31</v>
          </cell>
          <cell r="N1433" t="str">
            <v>RESOLUCION</v>
          </cell>
          <cell r="O1433">
            <v>563</v>
          </cell>
          <cell r="P1433">
            <v>43139</v>
          </cell>
          <cell r="Q1433" t="str">
            <v>AYUDA TEMPORAL A LAS FAMILIAS DE VARIAS LOCALIDADES, PARA RELOCALIZACIÓN DE HOGARES LOCALIZADOS EN ZONAS DE ALTO RIESGO NO MITIGABLE ID:2007-18-10201, LOCALIDAD:18 RAFAEL URIBE URIBE, UPZ:55 DIANA TURBAY</v>
          </cell>
          <cell r="R1433">
            <v>6233708</v>
          </cell>
          <cell r="S1433">
            <v>0</v>
          </cell>
          <cell r="T1433">
            <v>0</v>
          </cell>
          <cell r="U1433">
            <v>6233708</v>
          </cell>
          <cell r="V1433">
            <v>2397580</v>
          </cell>
        </row>
        <row r="1434">
          <cell r="J1434">
            <v>965</v>
          </cell>
          <cell r="K1434">
            <v>43139</v>
          </cell>
          <cell r="L1434" t="str">
            <v>SONIA PATRICIA PINILLA</v>
          </cell>
          <cell r="M1434">
            <v>31</v>
          </cell>
          <cell r="N1434" t="str">
            <v>RESOLUCION</v>
          </cell>
          <cell r="O1434">
            <v>502</v>
          </cell>
          <cell r="P1434">
            <v>43139</v>
          </cell>
          <cell r="Q1434" t="str">
            <v>AYUDA TEMPORAL A LAS FAMILIAS DE VARIAS LOCALIDADES, PARA RELOCALIZACIÓN DE HOGARES LOCALIZADOS EN ZONAS DE ALTO RIESGO NO MITIGABLE ID:2016-08-14790, LOCALIDAD:08 KENNEDY, UPZ:82 PATIO BONITO, SECTOR:PALMITAS</v>
          </cell>
          <cell r="R1434">
            <v>6713226</v>
          </cell>
          <cell r="S1434">
            <v>0</v>
          </cell>
          <cell r="T1434">
            <v>0</v>
          </cell>
          <cell r="U1434">
            <v>6713226</v>
          </cell>
          <cell r="V1434">
            <v>3614814</v>
          </cell>
        </row>
        <row r="1435">
          <cell r="J1435">
            <v>966</v>
          </cell>
          <cell r="K1435">
            <v>43139</v>
          </cell>
          <cell r="L1435" t="str">
            <v>YAMILE HELENA PEREZ LIZARAZO</v>
          </cell>
          <cell r="M1435">
            <v>31</v>
          </cell>
          <cell r="N1435" t="str">
            <v>RESOLUCION</v>
          </cell>
          <cell r="O1435">
            <v>509</v>
          </cell>
          <cell r="P1435">
            <v>43139</v>
          </cell>
          <cell r="Q1435" t="str">
            <v>AYUDA TEMPORAL A LAS FAMILIAS DE VARIAS LOCALIDADES, PARA RELOCALIZACIÓN DE HOGARES LOCALIZADOS EN ZONAS DE ALTO RIESGO NO MITIGABLE ID:2012-ALES-465, LOCALIDAD:19 CIUDAD BOLÍVAR, UPZ:69 ISMAEL PERDOMO, SECTOR:ALTOS DE LA ESTANCIA</v>
          </cell>
          <cell r="R1435">
            <v>3788778</v>
          </cell>
          <cell r="S1435">
            <v>0</v>
          </cell>
          <cell r="T1435">
            <v>0</v>
          </cell>
          <cell r="U1435">
            <v>3788778</v>
          </cell>
          <cell r="V1435">
            <v>2706270</v>
          </cell>
        </row>
        <row r="1436">
          <cell r="J1436">
            <v>967</v>
          </cell>
          <cell r="K1436">
            <v>43139</v>
          </cell>
          <cell r="L1436" t="str">
            <v>NOHORA LIGIA LONDOÑO RINCON</v>
          </cell>
          <cell r="M1436">
            <v>31</v>
          </cell>
          <cell r="N1436" t="str">
            <v>RESOLUCION</v>
          </cell>
          <cell r="O1436">
            <v>503</v>
          </cell>
          <cell r="P1436">
            <v>43139</v>
          </cell>
          <cell r="Q1436" t="str">
            <v>AYUDA TEMPORAL A LAS FAMILIAS DE VARIAS LOCALIDADES, PARA RELOCALIZACIÓN DE HOGARES LOCALIZADOS EN ZONAS DE ALTO RIESGO NO MITIGABLE ID:2012-19-14388, LOCALIDAD:19 CIUDAD BOLÍVAR, UPZ:68 EL TESORO</v>
          </cell>
          <cell r="R1436">
            <v>3136140</v>
          </cell>
          <cell r="S1436">
            <v>448020</v>
          </cell>
          <cell r="T1436">
            <v>0</v>
          </cell>
          <cell r="U1436">
            <v>2688120</v>
          </cell>
          <cell r="V1436">
            <v>2688120</v>
          </cell>
        </row>
        <row r="1437">
          <cell r="J1437">
            <v>968</v>
          </cell>
          <cell r="K1437">
            <v>43139</v>
          </cell>
          <cell r="L1437" t="str">
            <v>CLEMENTINA  CORDOBA TOQUICA</v>
          </cell>
          <cell r="M1437">
            <v>31</v>
          </cell>
          <cell r="N1437" t="str">
            <v>RESOLUCION</v>
          </cell>
          <cell r="O1437">
            <v>564</v>
          </cell>
          <cell r="P1437">
            <v>43139</v>
          </cell>
          <cell r="Q1437" t="str">
            <v>AYUDA TEMPORAL A LAS FAMILIAS DE VARIAS LOCALIDADES, PARA RELOCALIZACIÓN DE HOGARES LOCALIZADOS EN ZONAS DE ALTO RIESGO NO MITIGABLE ID:2013-Q21-00597, LOCALIDAD:19 CIUDAD BOLÍVAR, UPZ:67 LUCERO, SECTOR:BRAZO DERECHO DE LIMAS</v>
          </cell>
          <cell r="R1437">
            <v>3017000</v>
          </cell>
          <cell r="S1437">
            <v>431000</v>
          </cell>
          <cell r="T1437">
            <v>0</v>
          </cell>
          <cell r="U1437">
            <v>2586000</v>
          </cell>
          <cell r="V1437">
            <v>2586000</v>
          </cell>
        </row>
        <row r="1438">
          <cell r="J1438">
            <v>969</v>
          </cell>
          <cell r="K1438">
            <v>43139</v>
          </cell>
          <cell r="L1438" t="str">
            <v>FELICIANO  QUINTERO CHIRIPUA</v>
          </cell>
          <cell r="M1438">
            <v>31</v>
          </cell>
          <cell r="N1438" t="str">
            <v>RESOLUCION</v>
          </cell>
          <cell r="O1438">
            <v>504</v>
          </cell>
          <cell r="P1438">
            <v>43139</v>
          </cell>
          <cell r="Q1438" t="str">
            <v>AYUDA TEMPORAL A LAS FAMILIAS DE VARIAS LOCALIDADES, PARA RELOCALIZACIÓN DE HOGARES LOCALIZADOS EN ZONAS DE ALTO RIESGO NO MITIGABLE ID:2015-W166-425, LOCALIDAD:19 CIUDAD BOLÍVAR, UPZ:68 EL TESORO, SECTOR:WOUNAAN</v>
          </cell>
          <cell r="R1438">
            <v>7036432</v>
          </cell>
          <cell r="S1438">
            <v>0</v>
          </cell>
          <cell r="T1438">
            <v>0</v>
          </cell>
          <cell r="U1438">
            <v>7036432</v>
          </cell>
          <cell r="V1438">
            <v>3788848</v>
          </cell>
        </row>
        <row r="1439">
          <cell r="J1439">
            <v>970</v>
          </cell>
          <cell r="K1439">
            <v>43139</v>
          </cell>
          <cell r="L1439" t="str">
            <v>MARIA GUADALUPE PULIDO GONZALEZ</v>
          </cell>
          <cell r="M1439">
            <v>31</v>
          </cell>
          <cell r="N1439" t="str">
            <v>RESOLUCION</v>
          </cell>
          <cell r="O1439">
            <v>505</v>
          </cell>
          <cell r="P1439">
            <v>43139</v>
          </cell>
          <cell r="Q1439" t="str">
            <v>AYUDA TEMPORAL A LAS FAMILIAS DE VARIAS LOCALIDADES, PARA RELOCALIZACIÓN DE HOGARES LOCALIZADOS EN ZONAS DE ALTO RIESGO NO MITIGABLE ID:2015-OTR-01363, LOCALIDAD:19 CIUDAD BOLÍVAR, UPZ:67 LUCERO, SECTOR:TABOR ALTALOMA</v>
          </cell>
          <cell r="R1439">
            <v>4647615</v>
          </cell>
          <cell r="S1439">
            <v>663945</v>
          </cell>
          <cell r="T1439">
            <v>0</v>
          </cell>
          <cell r="U1439">
            <v>3983670</v>
          </cell>
          <cell r="V1439">
            <v>3983670</v>
          </cell>
        </row>
        <row r="1440">
          <cell r="J1440">
            <v>971</v>
          </cell>
          <cell r="K1440">
            <v>43139</v>
          </cell>
          <cell r="L1440" t="str">
            <v>MARIA KATHERINE GARCIA DEAZA</v>
          </cell>
          <cell r="M1440">
            <v>31</v>
          </cell>
          <cell r="N1440" t="str">
            <v>RESOLUCION</v>
          </cell>
          <cell r="O1440">
            <v>506</v>
          </cell>
          <cell r="P1440">
            <v>43139</v>
          </cell>
          <cell r="Q1440" t="str">
            <v>AYUDA TEMPORAL A LAS FAMILIAS DE VARIAS LOCALIDADES, PARA RELOCALIZACIÓN DE HOGARES LOCALIZADOS EN ZONAS DE ALTO RIESGO NO MITIGABLE ID:2016-08-14806, LOCALIDAD:08 KENNEDY, UPZ:82 PATIO BONITO, SECTOR:PALMITAS</v>
          </cell>
          <cell r="R1440">
            <v>5754190</v>
          </cell>
          <cell r="S1440">
            <v>0</v>
          </cell>
          <cell r="T1440">
            <v>0</v>
          </cell>
          <cell r="U1440">
            <v>5754190</v>
          </cell>
          <cell r="V1440">
            <v>2213150</v>
          </cell>
        </row>
        <row r="1441">
          <cell r="J1441">
            <v>972</v>
          </cell>
          <cell r="K1441">
            <v>43139</v>
          </cell>
          <cell r="L1441" t="str">
            <v>FLOR DABEIBA POSADA BEDOYA</v>
          </cell>
          <cell r="M1441">
            <v>31</v>
          </cell>
          <cell r="N1441" t="str">
            <v>RESOLUCION</v>
          </cell>
          <cell r="O1441">
            <v>510</v>
          </cell>
          <cell r="P1441">
            <v>43139</v>
          </cell>
          <cell r="Q1441" t="str">
            <v>AYUDA TEMPORAL A LAS FAMILIAS DE VARIAS LOCALIDADES, PARA RELOCALIZACIÓN DE HOGARES LOCALIZADOS EN ZONAS DE ALTO RIESGO NO MITIGABLE ID:2016-08-14908, LOCALIDAD:08 KENNEDY, UPZ:82 PATIO BONITO, SECTOR:PALMITAS</v>
          </cell>
          <cell r="R1441">
            <v>5178690</v>
          </cell>
          <cell r="S1441">
            <v>0</v>
          </cell>
          <cell r="T1441">
            <v>0</v>
          </cell>
          <cell r="U1441">
            <v>5178690</v>
          </cell>
          <cell r="V1441">
            <v>4027870</v>
          </cell>
        </row>
        <row r="1442">
          <cell r="J1442">
            <v>973</v>
          </cell>
          <cell r="K1442">
            <v>43139</v>
          </cell>
          <cell r="L1442" t="str">
            <v>HECTOR  DE LA CRUZ MONCAYO</v>
          </cell>
          <cell r="M1442">
            <v>31</v>
          </cell>
          <cell r="N1442" t="str">
            <v>RESOLUCION</v>
          </cell>
          <cell r="O1442">
            <v>511</v>
          </cell>
          <cell r="P1442">
            <v>43139</v>
          </cell>
          <cell r="Q1442" t="str">
            <v>AAYUDA TEMPORAL A LAS FAMILIAS DE VARIAS LOCALIDADES, PARA RELOCALIZACIÓN DE HOGARES LOCALIZADOS EN ZONAS DE ALTO RIESGO NO MITIGABLE ID:2015-D227-00058, LOCALIDAD:04 SAN CRISTÓBAL, UPZ:51 LOS LIBERTADORES, SECTOR:SANTA TERESITA</v>
          </cell>
          <cell r="R1442">
            <v>4774653</v>
          </cell>
          <cell r="S1442">
            <v>0</v>
          </cell>
          <cell r="T1442">
            <v>0</v>
          </cell>
          <cell r="U1442">
            <v>4774653</v>
          </cell>
          <cell r="V1442">
            <v>2570967</v>
          </cell>
        </row>
        <row r="1443">
          <cell r="J1443">
            <v>974</v>
          </cell>
          <cell r="K1443">
            <v>43139</v>
          </cell>
          <cell r="L1443" t="str">
            <v>WILMER  PIRAZA CARPIO</v>
          </cell>
          <cell r="M1443">
            <v>31</v>
          </cell>
          <cell r="N1443" t="str">
            <v>RESOLUCION</v>
          </cell>
          <cell r="O1443">
            <v>585</v>
          </cell>
          <cell r="P1443">
            <v>43139</v>
          </cell>
          <cell r="Q1443" t="str">
            <v>AYUDA TEMPORAL A LAS FAMILIAS DE VARIAS LOCALIDADES, PARA RELOCALIZACIÓN DE HOGARES LOCALIZADOS EN ZONAS DE ALTO RIESGO NO MITIGABLE ID:2014-W166-033, LOCALIDAD:19 CIUDAD BOLÍVAR, UPZ:67 LUCERO, SECTOR:WOUNAAN</v>
          </cell>
          <cell r="R1443">
            <v>5285280</v>
          </cell>
          <cell r="S1443">
            <v>0</v>
          </cell>
          <cell r="T1443">
            <v>0</v>
          </cell>
          <cell r="U1443">
            <v>5285280</v>
          </cell>
          <cell r="V1443">
            <v>2845920</v>
          </cell>
        </row>
        <row r="1444">
          <cell r="J1444">
            <v>975</v>
          </cell>
          <cell r="K1444">
            <v>43139</v>
          </cell>
          <cell r="L1444" t="str">
            <v>RUFINA  PAEZ MONTAÑA</v>
          </cell>
          <cell r="M1444">
            <v>31</v>
          </cell>
          <cell r="N1444" t="str">
            <v>RESOLUCION</v>
          </cell>
          <cell r="O1444">
            <v>586</v>
          </cell>
          <cell r="P1444">
            <v>43139</v>
          </cell>
          <cell r="Q1444" t="str">
            <v>AYUDA TEMPORAL A LAS FAMILIAS DE VARIAS LOCALIDADES, PARA RELOCALIZACIÓN DE HOGARES LOCALIZADOS EN ZONAS DE ALTO RIESGO NO MITIGABLE ID:2011-19-12511, LOCALIDAD:19 CIUDAD BOLÍVAR, UPZ:69 ISMAEL PERDOMO, SECTOR:OLA INVERNAL 2010 FOPAE</v>
          </cell>
          <cell r="R1444">
            <v>2723490</v>
          </cell>
          <cell r="S1444">
            <v>0</v>
          </cell>
          <cell r="T1444">
            <v>0</v>
          </cell>
          <cell r="U1444">
            <v>2723490</v>
          </cell>
          <cell r="V1444">
            <v>1945350</v>
          </cell>
        </row>
        <row r="1445">
          <cell r="J1445">
            <v>976</v>
          </cell>
          <cell r="K1445">
            <v>43139</v>
          </cell>
          <cell r="L1445" t="str">
            <v>SANDRA JASDIBY VILLEGAS CASTRILLON</v>
          </cell>
          <cell r="M1445">
            <v>31</v>
          </cell>
          <cell r="N1445" t="str">
            <v>RESOLUCION</v>
          </cell>
          <cell r="O1445">
            <v>587</v>
          </cell>
          <cell r="P1445">
            <v>43139</v>
          </cell>
          <cell r="Q1445" t="str">
            <v>AYUDA TEMPORAL A LAS FAMILIAS DE VARIAS LOCALIDADES, PARA RELOCALIZACIÓN DE HOGARES LOCALIZADOS EN ZONAS DE ALTO RIESGO NO MITIGABLE ID:2012-19-13798, LOCALIDAD:19 CIUDAD BOLÍVAR, UPZ:67 LUCERO</v>
          </cell>
          <cell r="R1445">
            <v>5430984</v>
          </cell>
          <cell r="S1445">
            <v>0</v>
          </cell>
          <cell r="T1445">
            <v>0</v>
          </cell>
          <cell r="U1445">
            <v>5430984</v>
          </cell>
          <cell r="V1445">
            <v>2924376</v>
          </cell>
        </row>
        <row r="1446">
          <cell r="J1446">
            <v>977</v>
          </cell>
          <cell r="K1446">
            <v>43140</v>
          </cell>
          <cell r="L1446" t="str">
            <v>ANGELA PATRICIA GARZON VARGAS</v>
          </cell>
          <cell r="M1446">
            <v>31</v>
          </cell>
          <cell r="N1446" t="str">
            <v>RESOLUCION</v>
          </cell>
          <cell r="O1446">
            <v>565</v>
          </cell>
          <cell r="P1446">
            <v>43140</v>
          </cell>
          <cell r="Q1446" t="str">
            <v>AYUDA TEMPORAL A LAS FAMILIAS DE VARIAS LOCALIDADES, PARA RELOCALIZACIÓN DE HOGARES LOCALIZADOS EN ZONAS DE ALTO RIESGO NO MITIGABLE ID:2014-4-14692, LOCALIDAD:04 SAN CRISTÓBAL, UPZ:32 SAN BLAS</v>
          </cell>
          <cell r="R1446">
            <v>5603000</v>
          </cell>
          <cell r="S1446">
            <v>0</v>
          </cell>
          <cell r="T1446">
            <v>0</v>
          </cell>
          <cell r="U1446">
            <v>5603000</v>
          </cell>
          <cell r="V1446">
            <v>3017000</v>
          </cell>
        </row>
        <row r="1447">
          <cell r="J1447">
            <v>978</v>
          </cell>
          <cell r="K1447">
            <v>43140</v>
          </cell>
          <cell r="L1447" t="str">
            <v>BLANCA NIEVES GOMEZ PEDRAZA</v>
          </cell>
          <cell r="M1447">
            <v>31</v>
          </cell>
          <cell r="N1447" t="str">
            <v>RESOLUCION</v>
          </cell>
          <cell r="O1447">
            <v>566</v>
          </cell>
          <cell r="P1447">
            <v>43140</v>
          </cell>
          <cell r="Q1447" t="str">
            <v>AYUDA TEMPORAL A LAS FAMILIAS DE VARIAS LOCALIDADES, PARA RELOCALIZACIÓN DE HOGARES LOCALIZADOS EN ZONAS DE ALTO RIESGO NO MITIGABLE ID:2010-19-12181, LOCALIDAD:19 CIUDAD BOLÍVAR, UPZ:67 LUCERO, SECTOR:OLA INVERNAL 2010 FOPAE</v>
          </cell>
          <cell r="R1447">
            <v>5612893</v>
          </cell>
          <cell r="S1447">
            <v>0</v>
          </cell>
          <cell r="T1447">
            <v>0</v>
          </cell>
          <cell r="U1447">
            <v>5612893</v>
          </cell>
          <cell r="V1447">
            <v>3022327</v>
          </cell>
        </row>
        <row r="1448">
          <cell r="J1448">
            <v>979</v>
          </cell>
          <cell r="K1448">
            <v>43140</v>
          </cell>
          <cell r="L1448" t="str">
            <v>ANGELA  GARZON ROA</v>
          </cell>
          <cell r="M1448">
            <v>31</v>
          </cell>
          <cell r="N1448" t="str">
            <v>RESOLUCION</v>
          </cell>
          <cell r="O1448">
            <v>567</v>
          </cell>
          <cell r="P1448">
            <v>43140</v>
          </cell>
          <cell r="Q1448" t="str">
            <v>AYUDA TEMPORAL A LAS FAMILIAS DE VARIAS LOCALIDADES, PARA RELOCALIZACIÓN DE HOGARES LOCALIZADOS EN ZONAS DE ALTO RIESGO NO MITIGABLE ID:2013000262, LOCALIDAD:04 SAN CRISTÓBAL, UPZ:51 LOS LIBERTADORES, SECTOR:QUEBRADA VEREJONES</v>
          </cell>
          <cell r="R1448">
            <v>5031235</v>
          </cell>
          <cell r="S1448">
            <v>0</v>
          </cell>
          <cell r="T1448">
            <v>0</v>
          </cell>
          <cell r="U1448">
            <v>5031235</v>
          </cell>
          <cell r="V1448">
            <v>3201695</v>
          </cell>
        </row>
        <row r="1449">
          <cell r="J1449">
            <v>980</v>
          </cell>
          <cell r="K1449">
            <v>43140</v>
          </cell>
          <cell r="L1449" t="str">
            <v>NELIDA MARTHA CASTILLO HERNANDEZ</v>
          </cell>
          <cell r="M1449">
            <v>31</v>
          </cell>
          <cell r="N1449" t="str">
            <v>RESOLUCION</v>
          </cell>
          <cell r="O1449">
            <v>568</v>
          </cell>
          <cell r="P1449">
            <v>43140</v>
          </cell>
          <cell r="Q1449" t="str">
            <v>AYUDA TEMPORAL A LAS FAMILIAS DE VARIAS LOCALIDADES, PARA RELOCALIZACIÓN DE HOGARES LOCALIZADOS EN ZONAS DE ALTO RIESGO NO MITIGABLE ID:2011-18-12496, LOCALIDAD:18 RAFAEL URIBE URIBE, UPZ:53 MARCO FIDEL SUÁREZ, SECTOR:OLA INVERNAL 2010 FOPAE</v>
          </cell>
          <cell r="R1449">
            <v>3100419</v>
          </cell>
          <cell r="S1449">
            <v>442917</v>
          </cell>
          <cell r="T1449">
            <v>0</v>
          </cell>
          <cell r="U1449">
            <v>2657502</v>
          </cell>
          <cell r="V1449">
            <v>2657502</v>
          </cell>
        </row>
        <row r="1450">
          <cell r="J1450">
            <v>981</v>
          </cell>
          <cell r="K1450">
            <v>43140</v>
          </cell>
          <cell r="L1450" t="str">
            <v>JOSE ARTURO REINA SALGADO</v>
          </cell>
          <cell r="M1450">
            <v>31</v>
          </cell>
          <cell r="N1450" t="str">
            <v>RESOLUCION</v>
          </cell>
          <cell r="O1450">
            <v>569</v>
          </cell>
          <cell r="P1450">
            <v>43140</v>
          </cell>
          <cell r="Q1450" t="str">
            <v>AYUDA TEMPORAL A LAS FAMILIAS DE VARIAS LOCALIDADES, PARA RELOCALIZACIÓN DE HOGARES LOCALIZADOS EN ZONAS DE ALTO RIESGO NO MITIGABLE ID:2007-4-9377, LOCALIDAD:04 SAN CRISTÓBAL, UPZ:32 SAN BLAS</v>
          </cell>
          <cell r="R1450">
            <v>5222100</v>
          </cell>
          <cell r="S1450">
            <v>0</v>
          </cell>
          <cell r="T1450">
            <v>0</v>
          </cell>
          <cell r="U1450">
            <v>5222100</v>
          </cell>
          <cell r="V1450">
            <v>2811900</v>
          </cell>
        </row>
        <row r="1451">
          <cell r="J1451">
            <v>982</v>
          </cell>
          <cell r="K1451">
            <v>43140</v>
          </cell>
          <cell r="L1451" t="str">
            <v>MIGUEL ARCESIO CANIZALES MERCADO</v>
          </cell>
          <cell r="M1451">
            <v>31</v>
          </cell>
          <cell r="N1451" t="str">
            <v>RESOLUCION</v>
          </cell>
          <cell r="O1451">
            <v>570</v>
          </cell>
          <cell r="P1451">
            <v>43140</v>
          </cell>
          <cell r="Q1451" t="str">
            <v>AYUDA TEMPORAL A LAS FAMILIAS DE VARIAS LOCALIDADES, PARA RELOCALIZACIÓN DE HOGARES LOCALIZADOS EN ZONAS DE ALTO RIESGO NO MITIGABLE ID:2016-08-14770, LOCALIDAD:08 KENNEDY, UPZ:82 PATIO BONITO, SECTOR:PALMITAS</v>
          </cell>
          <cell r="R1451">
            <v>6713226</v>
          </cell>
          <cell r="S1451">
            <v>0</v>
          </cell>
          <cell r="T1451">
            <v>0</v>
          </cell>
          <cell r="U1451">
            <v>6713226</v>
          </cell>
          <cell r="V1451">
            <v>3614814</v>
          </cell>
        </row>
        <row r="1452">
          <cell r="J1452">
            <v>983</v>
          </cell>
          <cell r="K1452">
            <v>43140</v>
          </cell>
          <cell r="L1452" t="str">
            <v>SOCORRO  QUIROGA QUIROGA</v>
          </cell>
          <cell r="M1452">
            <v>31</v>
          </cell>
          <cell r="N1452" t="str">
            <v>RESOLUCION</v>
          </cell>
          <cell r="O1452">
            <v>571</v>
          </cell>
          <cell r="P1452">
            <v>43140</v>
          </cell>
          <cell r="Q1452" t="str">
            <v>AYUDA TEMPORAL A LAS FAMILIAS DE VARIAS LOCALIDADES, PARA RELOCALIZACIÓN DE HOGARES LOCALIZADOS EN ZONAS DE ALTO RIESGO NO MITIGABLE ID:2011-4-12923, LOCALIDAD:04 SAN CRISTÓBAL, UPZ:50 LA GLORIA</v>
          </cell>
          <cell r="R1452">
            <v>2895704</v>
          </cell>
          <cell r="S1452">
            <v>413672</v>
          </cell>
          <cell r="T1452">
            <v>0</v>
          </cell>
          <cell r="U1452">
            <v>2482032</v>
          </cell>
          <cell r="V1452">
            <v>2482032</v>
          </cell>
        </row>
        <row r="1453">
          <cell r="J1453">
            <v>984</v>
          </cell>
          <cell r="K1453">
            <v>43140</v>
          </cell>
          <cell r="L1453" t="str">
            <v>GLORIA CECILIA QUIMBAYO SUAREZ</v>
          </cell>
          <cell r="M1453">
            <v>31</v>
          </cell>
          <cell r="N1453" t="str">
            <v>RESOLUCION</v>
          </cell>
          <cell r="O1453">
            <v>572</v>
          </cell>
          <cell r="P1453">
            <v>43140</v>
          </cell>
          <cell r="Q1453" t="str">
            <v>AYUDA TEMPORAL A LAS FAMILIAS DE VARIAS LOCALIDADES, PARA RELOCALIZACIÓN DE HOGARES LOCALIZADOS EN ZONAS DE ALTO RIESGO NO MITIGABLE ID:2003-19-4618, LOCALIDAD:19 CIUDAD BOLÍVAR, UPZ:69 ISMAEL PERDOMO, SECTOR:ALTOS DE LA ESTANCIA</v>
          </cell>
          <cell r="R1453">
            <v>2845920</v>
          </cell>
          <cell r="S1453">
            <v>406560</v>
          </cell>
          <cell r="T1453">
            <v>0</v>
          </cell>
          <cell r="U1453">
            <v>2439360</v>
          </cell>
          <cell r="V1453">
            <v>2439360</v>
          </cell>
        </row>
        <row r="1454">
          <cell r="J1454">
            <v>985</v>
          </cell>
          <cell r="K1454">
            <v>43140</v>
          </cell>
          <cell r="L1454" t="str">
            <v>NANCY  SILVA CRISTIANO</v>
          </cell>
          <cell r="M1454">
            <v>31</v>
          </cell>
          <cell r="N1454" t="str">
            <v>RESOLUCION</v>
          </cell>
          <cell r="O1454">
            <v>573</v>
          </cell>
          <cell r="P1454">
            <v>43140</v>
          </cell>
          <cell r="Q1454" t="str">
            <v>AYUDA TEMPORAL A LAS FAMILIAS DE VARIAS LOCALIDADES, PARA RELOCALIZACIÓN DE HOGARES LOCALIZADOS EN ZONAS DE ALTO RIESGO NO MITIGABLE ID:2012-19-13922, LOCALIDAD:19 CIUDAD BOLÍVAR, UPZ:67 LUCERO</v>
          </cell>
          <cell r="R1454">
            <v>2849392</v>
          </cell>
          <cell r="S1454">
            <v>407056</v>
          </cell>
          <cell r="T1454">
            <v>0</v>
          </cell>
          <cell r="U1454">
            <v>2442336</v>
          </cell>
          <cell r="V1454">
            <v>2442336</v>
          </cell>
        </row>
        <row r="1455">
          <cell r="J1455">
            <v>986</v>
          </cell>
          <cell r="K1455">
            <v>43140</v>
          </cell>
          <cell r="L1455" t="str">
            <v>JOSE GRATINIANO BOJACA OLIVEROS</v>
          </cell>
          <cell r="M1455">
            <v>31</v>
          </cell>
          <cell r="N1455" t="str">
            <v>RESOLUCION</v>
          </cell>
          <cell r="O1455">
            <v>574</v>
          </cell>
          <cell r="P1455">
            <v>43140</v>
          </cell>
          <cell r="Q1455" t="str">
            <v>AYUDA TEMPORAL A LAS FAMILIAS DE VARIAS LOCALIDADES, PARA RELOCALIZACIÓN DE HOGARES LOCALIZADOS EN ZONAS DE ALTO RIESGO NO MITIGABLE ID:2016-04-14919, LOCALIDAD:04 SAN CRISTÓBAL, UPZ:32 SAN BLAS, SECTOR:TRIANGULO ALTO</v>
          </cell>
          <cell r="R1455">
            <v>5754190</v>
          </cell>
          <cell r="S1455">
            <v>0</v>
          </cell>
          <cell r="T1455">
            <v>0</v>
          </cell>
          <cell r="U1455">
            <v>5754190</v>
          </cell>
          <cell r="V1455">
            <v>3098410</v>
          </cell>
        </row>
        <row r="1456">
          <cell r="J1456">
            <v>987</v>
          </cell>
          <cell r="K1456">
            <v>43140</v>
          </cell>
          <cell r="L1456" t="str">
            <v>CARMEN ROSA HERNANDEZ TORRES</v>
          </cell>
          <cell r="M1456">
            <v>31</v>
          </cell>
          <cell r="N1456" t="str">
            <v>RESOLUCION</v>
          </cell>
          <cell r="O1456">
            <v>575</v>
          </cell>
          <cell r="P1456">
            <v>43140</v>
          </cell>
          <cell r="Q1456" t="str">
            <v>AYUDA TEMPORAL A LAS FAMILIAS DE VARIAS LOCALIDADES, PARA RELOCALIZACIÓN DE HOGARES LOCALIZADOS EN ZONAS DE ALTO RIESGO NO MITIGABLE ID:2015-Q03-03349, LOCALIDAD:19 CIUDAD BOLÍVAR, UPZ:67 LUCERO, SECTOR:LIMAS</v>
          </cell>
          <cell r="R1456">
            <v>6233708</v>
          </cell>
          <cell r="S1456">
            <v>0</v>
          </cell>
          <cell r="T1456">
            <v>0</v>
          </cell>
          <cell r="U1456">
            <v>6233708</v>
          </cell>
          <cell r="V1456">
            <v>3356612</v>
          </cell>
        </row>
        <row r="1457">
          <cell r="J1457">
            <v>988</v>
          </cell>
          <cell r="K1457">
            <v>43140</v>
          </cell>
          <cell r="L1457" t="str">
            <v>YECI PAOLA SAMUDIO SIPACON</v>
          </cell>
          <cell r="M1457">
            <v>31</v>
          </cell>
          <cell r="N1457" t="str">
            <v>RESOLUCION</v>
          </cell>
          <cell r="O1457">
            <v>576</v>
          </cell>
          <cell r="P1457">
            <v>43140</v>
          </cell>
          <cell r="Q1457" t="str">
            <v>AYUDA TEMPORAL A LAS FAMILIAS DE VARIAS LOCALIDADES, PARA RELOCALIZACIÓN DE HOGARES LOCALIZADOS EN ZONAS DE ALTO RIESGO NO MITIGABLE ID:2016-08-14773, LOCALIDAD:08 KENNEDY, UPZ:82 PATIO BONITO, SECTOR:PALMITAS</v>
          </cell>
          <cell r="R1457">
            <v>7480447</v>
          </cell>
          <cell r="S1457">
            <v>0</v>
          </cell>
          <cell r="T1457">
            <v>0</v>
          </cell>
          <cell r="U1457">
            <v>7480447</v>
          </cell>
          <cell r="V1457">
            <v>4027933</v>
          </cell>
        </row>
        <row r="1458">
          <cell r="J1458">
            <v>989</v>
          </cell>
          <cell r="K1458">
            <v>43140</v>
          </cell>
          <cell r="L1458" t="str">
            <v>FRAECEDIS  PACHECO TOVAR</v>
          </cell>
          <cell r="M1458">
            <v>31</v>
          </cell>
          <cell r="N1458" t="str">
            <v>RESOLUCION</v>
          </cell>
          <cell r="O1458">
            <v>577</v>
          </cell>
          <cell r="P1458">
            <v>43140</v>
          </cell>
          <cell r="Q1458" t="str">
            <v>AYUDA TEMPORAL A LAS FAMILIAS DE VARIAS LOCALIDADES, PARA RELOCALIZACIÓN DE HOGARES LOCALIZADOS EN ZONAS DE ALTO RIESGO NO MITIGABLE ID:2016-08-14907, LOCALIDAD:08 KENNEDY, UPZ:82 PATIO BONITO, SECTOR:PALMITAS</v>
          </cell>
          <cell r="R1458">
            <v>3873016</v>
          </cell>
          <cell r="S1458">
            <v>0</v>
          </cell>
          <cell r="T1458">
            <v>0</v>
          </cell>
          <cell r="U1458">
            <v>3873016</v>
          </cell>
          <cell r="V1458">
            <v>2766440</v>
          </cell>
        </row>
        <row r="1459">
          <cell r="J1459">
            <v>990</v>
          </cell>
          <cell r="K1459">
            <v>43140</v>
          </cell>
          <cell r="L1459" t="str">
            <v>MANUEL GUILLERMO PEÑA GONZALEZ</v>
          </cell>
          <cell r="M1459">
            <v>31</v>
          </cell>
          <cell r="N1459" t="str">
            <v>RESOLUCION</v>
          </cell>
          <cell r="O1459">
            <v>578</v>
          </cell>
          <cell r="P1459">
            <v>43140</v>
          </cell>
          <cell r="Q1459" t="str">
            <v>AYUDA TEMPORAL A LAS FAMILIAS DE VARIAS LOCALIDADES, PARA RELOCALIZACIÓN DE HOGARES LOCALIZADOS EN ZONAS DE ALTO RIESGO NO MITIGABLE ID:2014-Q07-00924, LOCALIDAD:19 CIUDAD BOLÍVAR, UPZ:67 LUCERO, SECTOR:QUEBRADA TROMPETA</v>
          </cell>
          <cell r="R1459">
            <v>2582006</v>
          </cell>
          <cell r="S1459">
            <v>368858</v>
          </cell>
          <cell r="T1459">
            <v>0</v>
          </cell>
          <cell r="U1459">
            <v>2213148</v>
          </cell>
          <cell r="V1459">
            <v>2213148</v>
          </cell>
        </row>
        <row r="1460">
          <cell r="J1460">
            <v>991</v>
          </cell>
          <cell r="K1460">
            <v>43140</v>
          </cell>
          <cell r="L1460" t="str">
            <v>BENEDICTO  VALBUENA LEON</v>
          </cell>
          <cell r="M1460">
            <v>31</v>
          </cell>
          <cell r="N1460" t="str">
            <v>RESOLUCION</v>
          </cell>
          <cell r="O1460">
            <v>579</v>
          </cell>
          <cell r="P1460">
            <v>43140</v>
          </cell>
          <cell r="Q1460" t="str">
            <v>AYUDA TEMPORAL A LAS FAMILIAS DE VARIAS LOCALIDADES, PARA RELOCALIZACIÓN DE HOGARES LOCALIZADOS EN ZONAS DE ALTO RIESGO NO MITIGABLE ID:2014-OTR-00978, LOCALIDAD:19 CIUDAD BOLÍVAR, UPZ:67 LUCERO, SECTOR:TABOR ALTALOMA</v>
          </cell>
          <cell r="R1460">
            <v>3017000</v>
          </cell>
          <cell r="S1460">
            <v>431000</v>
          </cell>
          <cell r="T1460">
            <v>0</v>
          </cell>
          <cell r="U1460">
            <v>2586000</v>
          </cell>
          <cell r="V1460">
            <v>2586000</v>
          </cell>
        </row>
        <row r="1461">
          <cell r="J1461">
            <v>992</v>
          </cell>
          <cell r="K1461">
            <v>43140</v>
          </cell>
          <cell r="L1461" t="str">
            <v>VICTOR MANUEL ARIZA CABREJO</v>
          </cell>
          <cell r="M1461">
            <v>31</v>
          </cell>
          <cell r="N1461" t="str">
            <v>RESOLUCION</v>
          </cell>
          <cell r="O1461">
            <v>580</v>
          </cell>
          <cell r="P1461">
            <v>43140</v>
          </cell>
          <cell r="Q1461" t="str">
            <v>AYUDA TEMPORAL A LAS FAMILIAS DE VARIAS LOCALIDADES, PARA RELOCALIZACIÓN DE HOGARES LOCALIZADOS EN ZONAS DE ALTO RIESGO NO MITIGABLE ID:2010-5-11546, LOCALIDAD:05 USME, UPZ:57 GRAN YOMASA, SECTOR:OLA INVERNAL 2010 FOPAE</v>
          </cell>
          <cell r="R1461">
            <v>2582006</v>
          </cell>
          <cell r="S1461">
            <v>1844290</v>
          </cell>
          <cell r="T1461">
            <v>0</v>
          </cell>
          <cell r="U1461">
            <v>737716</v>
          </cell>
          <cell r="V1461">
            <v>737716</v>
          </cell>
        </row>
        <row r="1462">
          <cell r="J1462">
            <v>993</v>
          </cell>
          <cell r="K1462">
            <v>43140</v>
          </cell>
          <cell r="L1462" t="str">
            <v>PAOLA KARINA ERASO</v>
          </cell>
          <cell r="M1462">
            <v>31</v>
          </cell>
          <cell r="N1462" t="str">
            <v>RESOLUCION</v>
          </cell>
          <cell r="O1462">
            <v>581</v>
          </cell>
          <cell r="P1462">
            <v>43140</v>
          </cell>
          <cell r="Q1462" t="str">
            <v>AYUDA TEMPORAL A LAS FAMILIAS DE VARIAS LOCALIDADES, PARA RELOCALIZACIÓN DE HOGARES LOCALIZADOS EN ZONAS DE ALTO RIESGO NO MITIGABLE ID:2013-Q17-00086, LOCALIDAD:19 CIUDAD BOLÍVAR, UPZ:67 LUCERO, SECTOR:QUEBRADA TROMPETA</v>
          </cell>
          <cell r="R1462">
            <v>3619000</v>
          </cell>
          <cell r="S1462">
            <v>1034000</v>
          </cell>
          <cell r="T1462">
            <v>0</v>
          </cell>
          <cell r="U1462">
            <v>2585000</v>
          </cell>
          <cell r="V1462">
            <v>2585000</v>
          </cell>
        </row>
        <row r="1463">
          <cell r="J1463">
            <v>994</v>
          </cell>
          <cell r="K1463">
            <v>43140</v>
          </cell>
          <cell r="L1463" t="str">
            <v>HARRISON DAVID BARBOSA RINCON</v>
          </cell>
          <cell r="M1463">
            <v>31</v>
          </cell>
          <cell r="N1463" t="str">
            <v>RESOLUCION</v>
          </cell>
          <cell r="O1463">
            <v>582</v>
          </cell>
          <cell r="P1463">
            <v>43140</v>
          </cell>
          <cell r="Q1463" t="str">
            <v>AYUDA TEMPORAL A LAS FAMILIAS DE VARIAS LOCALIDADES, PARA RELOCALIZACIÓN DE HOGARES LOCALIZADOS EN ZONAS DE ALTO RIESGO NO MITIGABLE ID:2010-18-12342, LOCALIDAD:18 RAFAEL URIBE URIBE, UPZ:55 DIANA TURBAY, SECTOR:OLA INVERNAL 2010 FOPAE</v>
          </cell>
          <cell r="R1463">
            <v>2887073</v>
          </cell>
          <cell r="S1463">
            <v>412439</v>
          </cell>
          <cell r="T1463">
            <v>0</v>
          </cell>
          <cell r="U1463">
            <v>2474634</v>
          </cell>
          <cell r="V1463">
            <v>2474634</v>
          </cell>
        </row>
        <row r="1464">
          <cell r="J1464">
            <v>995</v>
          </cell>
          <cell r="K1464">
            <v>43140</v>
          </cell>
          <cell r="L1464" t="str">
            <v>PAULA ANDREA OTALVARO TORRES</v>
          </cell>
          <cell r="M1464">
            <v>31</v>
          </cell>
          <cell r="N1464" t="str">
            <v>RESOLUCION</v>
          </cell>
          <cell r="O1464">
            <v>583</v>
          </cell>
          <cell r="P1464">
            <v>43140</v>
          </cell>
          <cell r="Q1464" t="str">
            <v>AYUDA TEMPORAL A LAS FAMILIAS DE VARIAS LOCALIDADES, PARA RELOCALIZACIÓN DE HOGARES LOCALIZADOS EN ZONAS DE ALTO RIESGO NO MITIGABLE ID:2016-08-14877, LOCALIDAD:08 KENNEDY, UPZ:82 PATIO BONITO, SECTOR:PALMITAS</v>
          </cell>
          <cell r="R1464">
            <v>5274659</v>
          </cell>
          <cell r="S1464">
            <v>0</v>
          </cell>
          <cell r="T1464">
            <v>0</v>
          </cell>
          <cell r="U1464">
            <v>5274659</v>
          </cell>
          <cell r="V1464">
            <v>2840201</v>
          </cell>
        </row>
        <row r="1465">
          <cell r="J1465">
            <v>996</v>
          </cell>
          <cell r="K1465">
            <v>43140</v>
          </cell>
          <cell r="L1465" t="str">
            <v>JORGE HERNANDO DIAZ SILVA</v>
          </cell>
          <cell r="M1465">
            <v>31</v>
          </cell>
          <cell r="N1465" t="str">
            <v>RESOLUCION</v>
          </cell>
          <cell r="O1465">
            <v>599</v>
          </cell>
          <cell r="P1465">
            <v>43140</v>
          </cell>
          <cell r="Q1465" t="str">
            <v>Asignacion del instrumento financiero a las familias ocupantes del predio que hayan superado la fase de verificacion dentro  del marco del Decreto 457 de 2017. LOCALIDAD: KENNEDY; BARRIO: VEREDITAS; ID: 2017-8-383896</v>
          </cell>
          <cell r="R1465">
            <v>54686940</v>
          </cell>
          <cell r="S1465">
            <v>0</v>
          </cell>
          <cell r="T1465">
            <v>0</v>
          </cell>
          <cell r="U1465">
            <v>54686940</v>
          </cell>
          <cell r="V1465">
            <v>54686940</v>
          </cell>
        </row>
        <row r="1466">
          <cell r="J1466">
            <v>997</v>
          </cell>
          <cell r="K1466">
            <v>43140</v>
          </cell>
          <cell r="L1466" t="str">
            <v>EGBERTO  URREGO VALBUENA</v>
          </cell>
          <cell r="M1466">
            <v>31</v>
          </cell>
          <cell r="N1466" t="str">
            <v>RESOLUCION</v>
          </cell>
          <cell r="O1466">
            <v>605</v>
          </cell>
          <cell r="P1466">
            <v>43140</v>
          </cell>
          <cell r="Q1466" t="str">
            <v>ADQUISICIÓN PREDIAL DTO. 511 DE 2010. LOCALIDAD: USAQUEN; BARRIO: CASA DE TEJA;ID: 2013-Q09-00140</v>
          </cell>
          <cell r="R1466">
            <v>113366000</v>
          </cell>
          <cell r="S1466">
            <v>113366000</v>
          </cell>
          <cell r="T1466">
            <v>0</v>
          </cell>
          <cell r="U1466">
            <v>0</v>
          </cell>
          <cell r="V1466">
            <v>0</v>
          </cell>
        </row>
        <row r="1467">
          <cell r="J1467">
            <v>998</v>
          </cell>
          <cell r="K1467">
            <v>43140</v>
          </cell>
          <cell r="L1467" t="str">
            <v>PASCUAL ALVEIRO SEMANATE ANACONA</v>
          </cell>
          <cell r="M1467">
            <v>31</v>
          </cell>
          <cell r="N1467" t="str">
            <v>RESOLUCION</v>
          </cell>
          <cell r="O1467">
            <v>606</v>
          </cell>
          <cell r="P1467">
            <v>43140</v>
          </cell>
          <cell r="Q1467" t="str">
            <v>VUR DE LA ACTUAL VIGENCIA DE ACUERDO CON EL DECRETO 255 DE 2013. LOCALIDAD: CIUDAD BOLIVAR; BARRIO:EL MIRADOR 3; ID: 2017-19-14960.</v>
          </cell>
          <cell r="R1467">
            <v>39062100</v>
          </cell>
          <cell r="S1467">
            <v>0</v>
          </cell>
          <cell r="T1467">
            <v>0</v>
          </cell>
          <cell r="U1467">
            <v>39062100</v>
          </cell>
          <cell r="V1467">
            <v>39062100</v>
          </cell>
        </row>
        <row r="1468">
          <cell r="J1468">
            <v>999</v>
          </cell>
          <cell r="K1468">
            <v>43140</v>
          </cell>
          <cell r="L1468" t="str">
            <v>EGBERTO  URREGO VALBUENA</v>
          </cell>
          <cell r="M1468">
            <v>31</v>
          </cell>
          <cell r="N1468" t="str">
            <v>RESOLUCION</v>
          </cell>
          <cell r="O1468">
            <v>605</v>
          </cell>
          <cell r="P1468">
            <v>43140</v>
          </cell>
          <cell r="Q1468" t="str">
            <v>ADQUISICIÓN PREDIAL DTO. 511 DE 2010. LOCALIDAD: USAQUEN; BARRIO: CASA DE TEJA;ID: 2013-Q09-00140</v>
          </cell>
          <cell r="R1468">
            <v>113366000</v>
          </cell>
          <cell r="S1468">
            <v>0</v>
          </cell>
          <cell r="T1468">
            <v>0</v>
          </cell>
          <cell r="U1468">
            <v>113366000</v>
          </cell>
          <cell r="V1468">
            <v>34009800</v>
          </cell>
        </row>
        <row r="1469">
          <cell r="J1469">
            <v>1000</v>
          </cell>
          <cell r="K1469">
            <v>43140</v>
          </cell>
          <cell r="L1469" t="str">
            <v>ERNESTO  BUITRAGO TORO</v>
          </cell>
          <cell r="M1469">
            <v>31</v>
          </cell>
          <cell r="N1469" t="str">
            <v>RESOLUCION</v>
          </cell>
          <cell r="O1469">
            <v>588</v>
          </cell>
          <cell r="P1469">
            <v>43140</v>
          </cell>
          <cell r="Q1469" t="str">
            <v>AYUDA TEMPORAL A LAS FAMILIAS DE VARIAS LOCALIDADES, PARA RELOCALIZACIÓN DE HOGARES LOCALIZADOS EN ZONAS DE ALTO RIESGO NO MITIGABLE ID:2014-Q17-01010, LOCALIDAD:19 CIUDAD BOLÍVAR, UPZ:67 LUCERO, SECTOR:ZANJÓN DEL AHORCADO</v>
          </cell>
          <cell r="R1469">
            <v>5946005</v>
          </cell>
          <cell r="S1469">
            <v>4573850</v>
          </cell>
          <cell r="T1469">
            <v>0</v>
          </cell>
          <cell r="U1469">
            <v>1372155</v>
          </cell>
          <cell r="V1469">
            <v>1372155</v>
          </cell>
        </row>
        <row r="1470">
          <cell r="J1470">
            <v>1001</v>
          </cell>
          <cell r="K1470">
            <v>43140</v>
          </cell>
          <cell r="L1470" t="str">
            <v>ALBA FLOR IBAÑEZ JIMENEZ</v>
          </cell>
          <cell r="M1470">
            <v>31</v>
          </cell>
          <cell r="N1470" t="str">
            <v>RESOLUCION</v>
          </cell>
          <cell r="O1470">
            <v>589</v>
          </cell>
          <cell r="P1470">
            <v>43140</v>
          </cell>
          <cell r="Q1470" t="str">
            <v>AYUDA TEMPORAL A LAS FAMILIAS DE VARIAS LOCALIDADES, PARA RELOCALIZACIÓN DE HOGARES LOCALIZADOS EN ZONAS DE ALTO RIESGO NO MITIGABLE ID:2014-Q20-01253, LOCALIDAD:04 SAN CRISTÓBAL, UPZ:50 LA GLORIA, SECTOR:LA CHIGUAZA</v>
          </cell>
          <cell r="R1470">
            <v>2992227</v>
          </cell>
          <cell r="S1470">
            <v>427461</v>
          </cell>
          <cell r="T1470">
            <v>0</v>
          </cell>
          <cell r="U1470">
            <v>2564766</v>
          </cell>
          <cell r="V1470">
            <v>2564766</v>
          </cell>
        </row>
        <row r="1471">
          <cell r="J1471">
            <v>1002</v>
          </cell>
          <cell r="K1471">
            <v>43140</v>
          </cell>
          <cell r="L1471" t="str">
            <v>EDGAR  FRANCO GAONA</v>
          </cell>
          <cell r="M1471">
            <v>31</v>
          </cell>
          <cell r="N1471" t="str">
            <v>RESOLUCION</v>
          </cell>
          <cell r="O1471">
            <v>590</v>
          </cell>
          <cell r="P1471">
            <v>43140</v>
          </cell>
          <cell r="Q1471" t="str">
            <v>AYUDA TEMPORAL A LAS FAMILIAS DE VARIAS LOCALIDADES, PARA RELOCALIZACIÓN DE HOGARES LOCALIZADOS EN ZONAS DE ALTO RIESGO NO MITIGABLE ID:2013-19-14624, LOCALIDAD:19 CIUDAD BOLÍVAR, UPZ:68 EL TESORO</v>
          </cell>
          <cell r="R1471">
            <v>2661659</v>
          </cell>
          <cell r="S1471">
            <v>380237</v>
          </cell>
          <cell r="T1471">
            <v>0</v>
          </cell>
          <cell r="U1471">
            <v>2281422</v>
          </cell>
          <cell r="V1471">
            <v>2281422</v>
          </cell>
        </row>
        <row r="1472">
          <cell r="J1472">
            <v>1003</v>
          </cell>
          <cell r="K1472">
            <v>43140</v>
          </cell>
          <cell r="L1472" t="str">
            <v>GLADYS  OCAMPO ESPINOSA</v>
          </cell>
          <cell r="M1472">
            <v>31</v>
          </cell>
          <cell r="N1472" t="str">
            <v>RESOLUCION</v>
          </cell>
          <cell r="O1472">
            <v>591</v>
          </cell>
          <cell r="P1472">
            <v>43140</v>
          </cell>
          <cell r="Q1472" t="str">
            <v>AYUDA TEMPORAL A LAS FAMILIAS DE VARIAS LOCALIDADES, PARA RELOCALIZACIÓN DE HOGARES LOCALIZADOS EN ZONAS DE ALTO RIESGO NO MITIGABLE ID:2014-Q01-01064, LOCALIDAD:05 USME, UPZ:56 DANUBIO, SECTOR:HOYA DEL RAMO</v>
          </cell>
          <cell r="R1472">
            <v>4131218</v>
          </cell>
          <cell r="S1472">
            <v>590174</v>
          </cell>
          <cell r="T1472">
            <v>0</v>
          </cell>
          <cell r="U1472">
            <v>3541044</v>
          </cell>
          <cell r="V1472">
            <v>3541044</v>
          </cell>
        </row>
        <row r="1473">
          <cell r="J1473">
            <v>1004</v>
          </cell>
          <cell r="K1473">
            <v>43140</v>
          </cell>
          <cell r="L1473" t="str">
            <v>LEIDI VIVIANA MARTINEZ AMEZQUITA</v>
          </cell>
          <cell r="M1473">
            <v>31</v>
          </cell>
          <cell r="N1473" t="str">
            <v>RESOLUCION</v>
          </cell>
          <cell r="O1473">
            <v>592</v>
          </cell>
          <cell r="P1473">
            <v>43140</v>
          </cell>
          <cell r="Q1473" t="str">
            <v>AYUDA TEMPORAL A LAS FAMILIAS DE VARIAS LOCALIDADES, PARA RELOCALIZACIÓN DE HOGARES LOCALIZADOS EN ZONAS DE ALTO RIESGO NO MITIGABLE ID:2016-08-14802, LOCALIDAD:08 KENNEDY, UPZ:82 PATIO BONITO, SECTOR:PALMITAS</v>
          </cell>
          <cell r="R1473">
            <v>5825885</v>
          </cell>
          <cell r="S1473">
            <v>0</v>
          </cell>
          <cell r="T1473">
            <v>0</v>
          </cell>
          <cell r="U1473">
            <v>5825885</v>
          </cell>
          <cell r="V1473">
            <v>896290</v>
          </cell>
        </row>
        <row r="1474">
          <cell r="J1474">
            <v>1005</v>
          </cell>
          <cell r="K1474">
            <v>43140</v>
          </cell>
          <cell r="L1474" t="str">
            <v>PILAR  RIVERA PELAEZ</v>
          </cell>
          <cell r="M1474">
            <v>31</v>
          </cell>
          <cell r="N1474" t="str">
            <v>RESOLUCION</v>
          </cell>
          <cell r="O1474">
            <v>593</v>
          </cell>
          <cell r="P1474">
            <v>43140</v>
          </cell>
          <cell r="Q1474" t="str">
            <v>AYUDA TEMPORAL A LAS FAMILIAS DE VARIAS LOCALIDADES, PARA RELOCALIZACIÓN DE HOGARES LOCALIZADOS EN ZONAS DE ALTO RIESGO NO MITIGABLE ID:2016-08-14836, LOCALIDAD:08 KENNEDY, UPZ:82 PATIO BONITO, SECTOR:PALMITAS</v>
          </cell>
          <cell r="R1474">
            <v>3873016</v>
          </cell>
          <cell r="S1474">
            <v>2213152</v>
          </cell>
          <cell r="T1474">
            <v>0</v>
          </cell>
          <cell r="U1474">
            <v>1659864</v>
          </cell>
          <cell r="V1474">
            <v>1659864</v>
          </cell>
        </row>
        <row r="1475">
          <cell r="J1475">
            <v>1006</v>
          </cell>
          <cell r="K1475">
            <v>43140</v>
          </cell>
          <cell r="L1475" t="str">
            <v>BEYANIRA  GRACIA BARRAGAN</v>
          </cell>
          <cell r="M1475">
            <v>31</v>
          </cell>
          <cell r="N1475" t="str">
            <v>RESOLUCION</v>
          </cell>
          <cell r="O1475">
            <v>594</v>
          </cell>
          <cell r="P1475">
            <v>43140</v>
          </cell>
          <cell r="Q1475" t="str">
            <v>AYUDA TEMPORAL A LAS FAMILIAS DE VARIAS LOCALIDADES, PARA RELOCALIZACIÓN DE HOGARES LOCALIZADOS EN ZONAS DE ALTO RIESGO NO MITIGABLE ID:2013-Q04-00310, LOCALIDAD:04 SAN CRISTÓBAL, UPZ:51 LOS LIBERTADORES, SECTOR:QUEBRADA VEREJONES</v>
          </cell>
          <cell r="R1475">
            <v>7036302</v>
          </cell>
          <cell r="S1475">
            <v>0</v>
          </cell>
          <cell r="T1475">
            <v>0</v>
          </cell>
          <cell r="U1475">
            <v>7036302</v>
          </cell>
          <cell r="V1475">
            <v>3788778</v>
          </cell>
        </row>
        <row r="1476">
          <cell r="J1476">
            <v>1007</v>
          </cell>
          <cell r="K1476">
            <v>43140</v>
          </cell>
          <cell r="L1476" t="str">
            <v>ANA BEATRIZ PEÑA TOVAR</v>
          </cell>
          <cell r="M1476">
            <v>31</v>
          </cell>
          <cell r="N1476" t="str">
            <v>RESOLUCION</v>
          </cell>
          <cell r="O1476">
            <v>595</v>
          </cell>
          <cell r="P1476">
            <v>43140</v>
          </cell>
          <cell r="Q1476" t="str">
            <v>AYUDA TEMPORAL A LAS FAMILIAS DE VARIAS LOCALIDADES, PARA RELOCALIZACIÓN DE HOGARES LOCALIZADOS EN ZONAS DE ALTO RIESGO NO MITIGABLE ID:2014-OTR-00905, LOCALIDAD:03 SANTA FE, UPZ:96 LOURDES, SECTOR:CASA 3</v>
          </cell>
          <cell r="R1476">
            <v>2975525</v>
          </cell>
          <cell r="S1476">
            <v>425075</v>
          </cell>
          <cell r="T1476">
            <v>0</v>
          </cell>
          <cell r="U1476">
            <v>2550450</v>
          </cell>
          <cell r="V1476">
            <v>2550450</v>
          </cell>
        </row>
        <row r="1477">
          <cell r="J1477">
            <v>1008</v>
          </cell>
          <cell r="K1477">
            <v>43140</v>
          </cell>
          <cell r="L1477" t="str">
            <v>MARIA EVANGELINA HERRERA HERRERA</v>
          </cell>
          <cell r="M1477">
            <v>31</v>
          </cell>
          <cell r="N1477" t="str">
            <v>RESOLUCION</v>
          </cell>
          <cell r="O1477">
            <v>596</v>
          </cell>
          <cell r="P1477">
            <v>43443</v>
          </cell>
          <cell r="Q1477" t="str">
            <v>AYUDA TEMPORAL A LAS FAMILIAS DE VARIAS LOCALIDADES, PARA RELOCALIZACIÓN DE HOGARES LOCALIZADOS EN ZONAS DE ALTO RIESGO NO MITIGABLE ID:2013000553, LOCALIDAD:19 CIUDAD BOLÍVAR, UPZ:67 LUCERO, SECTOR:QUEBRADA TROMPETA</v>
          </cell>
          <cell r="R1477">
            <v>3619637</v>
          </cell>
          <cell r="S1477">
            <v>0</v>
          </cell>
          <cell r="T1477">
            <v>0</v>
          </cell>
          <cell r="U1477">
            <v>3619637</v>
          </cell>
          <cell r="V1477">
            <v>1551273</v>
          </cell>
        </row>
        <row r="1478">
          <cell r="J1478">
            <v>1009</v>
          </cell>
          <cell r="K1478">
            <v>43140</v>
          </cell>
          <cell r="L1478" t="str">
            <v>BLANCA LUCIA GIRON ROSERO</v>
          </cell>
          <cell r="M1478">
            <v>31</v>
          </cell>
          <cell r="N1478" t="str">
            <v>RESOLUCION</v>
          </cell>
          <cell r="O1478">
            <v>602</v>
          </cell>
          <cell r="P1478">
            <v>43139</v>
          </cell>
          <cell r="Q1478" t="str">
            <v>AYUDA TEMPORAL A LAS FAMILIAS DE VARIAS LOCALIDADES, PARA RELOCALIZACIÓN DE HOGARES LOCALIZADOS EN ZONAS DE ALTO RIESGO NO MITIGABLE ID:2011-19-13373, LOCALIDAD:19 CIUDAD BOLÍVAR, UPZ:3 UPR RIO TUNJUELO</v>
          </cell>
          <cell r="R1478">
            <v>4027933</v>
          </cell>
          <cell r="S1478">
            <v>0</v>
          </cell>
          <cell r="T1478">
            <v>0</v>
          </cell>
          <cell r="U1478">
            <v>4027933</v>
          </cell>
          <cell r="V1478">
            <v>1726257</v>
          </cell>
        </row>
        <row r="1479">
          <cell r="J1479">
            <v>1010</v>
          </cell>
          <cell r="K1479">
            <v>43140</v>
          </cell>
          <cell r="L1479" t="str">
            <v>ESNEDA  LASSO MACHADO</v>
          </cell>
          <cell r="M1479">
            <v>31</v>
          </cell>
          <cell r="N1479" t="str">
            <v>RESOLUCION</v>
          </cell>
          <cell r="O1479">
            <v>603</v>
          </cell>
          <cell r="P1479">
            <v>43140</v>
          </cell>
          <cell r="Q1479" t="str">
            <v>AYUDA TEMPORAL A LAS FAMILIAS DE VARIAS LOCALIDADES, PARA RELOCALIZACIÓN DE HOGARES LOCALIZADOS EN ZONAS DE ALTO RIESGO NO MITIGABLE ID:2011-19-12866, LOCALIDAD:19 CIUDAD BOLÍVAR, UPZ:67 LUCERO</v>
          </cell>
          <cell r="R1479">
            <v>4795154</v>
          </cell>
          <cell r="S1479">
            <v>0</v>
          </cell>
          <cell r="T1479">
            <v>0</v>
          </cell>
          <cell r="U1479">
            <v>4795154</v>
          </cell>
          <cell r="V1479">
            <v>2582006</v>
          </cell>
        </row>
        <row r="1480">
          <cell r="J1480">
            <v>1011</v>
          </cell>
          <cell r="K1480">
            <v>43140</v>
          </cell>
          <cell r="L1480" t="str">
            <v>JOSE ANTONIO CASTEBLANCO CAMARGO</v>
          </cell>
          <cell r="M1480">
            <v>31</v>
          </cell>
          <cell r="N1480" t="str">
            <v>RESOLUCION</v>
          </cell>
          <cell r="O1480">
            <v>604</v>
          </cell>
          <cell r="P1480">
            <v>43140</v>
          </cell>
          <cell r="Q1480" t="str">
            <v>AYUDA TEMPORAL A LAS FAMILIAS DE VARIAS LOCALIDADES, PARA RELOCALIZACIÓN DE HOGARES LOCALIZADOS EN ZONAS DE ALTO RIESGO NO MITIGABLE ID:2013000167, LOCALIDAD:19 CIUDAD BOLÍVAR, UPZ:67 LUCERO, SECTOR:QUEBRADA TROMPETA</v>
          </cell>
          <cell r="R1480">
            <v>7077200</v>
          </cell>
          <cell r="S1480">
            <v>0</v>
          </cell>
          <cell r="T1480">
            <v>0</v>
          </cell>
          <cell r="U1480">
            <v>7077200</v>
          </cell>
          <cell r="V1480">
            <v>3810800</v>
          </cell>
        </row>
        <row r="1481">
          <cell r="J1481">
            <v>1012</v>
          </cell>
          <cell r="K1481">
            <v>43140</v>
          </cell>
          <cell r="L1481" t="str">
            <v>MARIELA  CHARRY PINTO</v>
          </cell>
          <cell r="M1481">
            <v>31</v>
          </cell>
          <cell r="N1481" t="str">
            <v>RESOLUCION</v>
          </cell>
          <cell r="O1481">
            <v>584</v>
          </cell>
          <cell r="P1481">
            <v>43140</v>
          </cell>
          <cell r="Q1481" t="str">
            <v>AYUDA TEMPORAL A LAS FAMILIAS DE VARIAS LOCALIDADES, PARA RELOCALIZACIÓN DE HOGARES LOCALIZADOS EN ZONAS DE ALTO RIESGO NO MITIGABLE ID:2012-18-14360, LOCALIDAD:18 RAFAEL URIBE URIBE, UPZ:55 DIANA TURBAY</v>
          </cell>
          <cell r="R1481">
            <v>3752413</v>
          </cell>
          <cell r="S1481">
            <v>536059</v>
          </cell>
          <cell r="T1481">
            <v>0</v>
          </cell>
          <cell r="U1481">
            <v>3216354</v>
          </cell>
          <cell r="V1481">
            <v>3216354</v>
          </cell>
        </row>
        <row r="1482">
          <cell r="J1482">
            <v>1013</v>
          </cell>
          <cell r="K1482">
            <v>43140</v>
          </cell>
          <cell r="L1482" t="str">
            <v>MARIA FANNY PERDOMO AMAYA</v>
          </cell>
          <cell r="M1482">
            <v>31</v>
          </cell>
          <cell r="N1482" t="str">
            <v>RESOLUCION</v>
          </cell>
          <cell r="O1482">
            <v>883</v>
          </cell>
          <cell r="P1482">
            <v>43140</v>
          </cell>
          <cell r="Q1482" t="str">
            <v>VUR de la actual vigencia de acuerdo con el Decreto 255 de 2013. LOCALIDAD: CIUDAD BOLIVAR; BARRIO: PARAISO QUIBA; ID: 2015-Q04-03692</v>
          </cell>
          <cell r="R1482">
            <v>39062100</v>
          </cell>
          <cell r="S1482">
            <v>0</v>
          </cell>
          <cell r="T1482">
            <v>0</v>
          </cell>
          <cell r="U1482">
            <v>39062100</v>
          </cell>
          <cell r="V1482">
            <v>39062100</v>
          </cell>
        </row>
        <row r="1483">
          <cell r="J1483">
            <v>1016</v>
          </cell>
          <cell r="K1483">
            <v>43140</v>
          </cell>
          <cell r="L1483" t="str">
            <v>ANGGIE JULIETH MARENTE BUSTOS</v>
          </cell>
          <cell r="M1483">
            <v>31</v>
          </cell>
          <cell r="N1483" t="str">
            <v>RESOLUCION</v>
          </cell>
          <cell r="O1483">
            <v>767</v>
          </cell>
          <cell r="P1483">
            <v>43140</v>
          </cell>
          <cell r="Q1483" t="str">
            <v>Asignacion del instrumento financiero a las familias ocupantes del predio que hayan superado la fase de verificacion dentro  del marco del Decreto 457 de 2017. LOCALIDAD: KENNEDY; BARRIO: VEREDITAS; ID: 2018-8-15017</v>
          </cell>
          <cell r="R1483">
            <v>54686940</v>
          </cell>
          <cell r="S1483">
            <v>0</v>
          </cell>
          <cell r="T1483">
            <v>0</v>
          </cell>
          <cell r="U1483">
            <v>54686940</v>
          </cell>
          <cell r="V1483">
            <v>54686940</v>
          </cell>
        </row>
        <row r="1484">
          <cell r="J1484">
            <v>1017</v>
          </cell>
          <cell r="K1484">
            <v>43140</v>
          </cell>
          <cell r="L1484" t="str">
            <v>BLANCA LEONOR AREVALO CAICEDO</v>
          </cell>
          <cell r="M1484">
            <v>31</v>
          </cell>
          <cell r="N1484" t="str">
            <v>RESOLUCION</v>
          </cell>
          <cell r="O1484">
            <v>766</v>
          </cell>
          <cell r="P1484">
            <v>43140</v>
          </cell>
          <cell r="Q1484" t="str">
            <v>Asignacion del instrumento financiero a las familias ocupantes del predio que hayan superado la fase de verificacion dentro  del marco del Decreto 457 de 2017. LOCALIDAD: KENNEDY; BARRIO: VEREDITAS; ID: 2018-8-383906</v>
          </cell>
          <cell r="R1484">
            <v>54686940</v>
          </cell>
          <cell r="S1484">
            <v>0</v>
          </cell>
          <cell r="T1484">
            <v>0</v>
          </cell>
          <cell r="U1484">
            <v>54686940</v>
          </cell>
          <cell r="V1484">
            <v>54686940</v>
          </cell>
        </row>
        <row r="1485">
          <cell r="J1485">
            <v>1018</v>
          </cell>
          <cell r="K1485">
            <v>43140</v>
          </cell>
          <cell r="L1485" t="str">
            <v>ANGELICA  CARO BERMUDEZ</v>
          </cell>
          <cell r="M1485">
            <v>31</v>
          </cell>
          <cell r="N1485" t="str">
            <v>RESOLUCION</v>
          </cell>
          <cell r="O1485">
            <v>765</v>
          </cell>
          <cell r="P1485">
            <v>43140</v>
          </cell>
          <cell r="Q1485" t="str">
            <v>Asignacion del instrumento financiero a las familias ocupantes del predio que hayan superado la fase de verificacion dentro  del marco del Decreto 457 de 2017. LOCALIDAD: KENNEDY; BARRIO: VEREDITAS; ID: 2018-8-383899</v>
          </cell>
          <cell r="R1485">
            <v>54686940</v>
          </cell>
          <cell r="S1485">
            <v>0</v>
          </cell>
          <cell r="T1485">
            <v>0</v>
          </cell>
          <cell r="U1485">
            <v>54686940</v>
          </cell>
          <cell r="V1485">
            <v>54686940</v>
          </cell>
        </row>
        <row r="1486">
          <cell r="J1486">
            <v>1020</v>
          </cell>
          <cell r="K1486">
            <v>43140</v>
          </cell>
          <cell r="L1486" t="str">
            <v>MARIA INES GALINDO CASTEBLANCO</v>
          </cell>
          <cell r="M1486">
            <v>31</v>
          </cell>
          <cell r="N1486" t="str">
            <v>RESOLUCION</v>
          </cell>
          <cell r="O1486">
            <v>764</v>
          </cell>
          <cell r="P1486">
            <v>43140</v>
          </cell>
          <cell r="Q1486" t="str">
            <v>Asignacion del instrumento financiero a las familias ocupantes del predio que hayan superado la fase de verificacion dentro  del marco del Decreto 457 de 2017. LOCALIDAD: KENNEDY; BARRIO: VEREDITAS; ID: 2017-8-383639</v>
          </cell>
          <cell r="R1486">
            <v>54686940</v>
          </cell>
          <cell r="S1486">
            <v>0</v>
          </cell>
          <cell r="T1486">
            <v>0</v>
          </cell>
          <cell r="U1486">
            <v>54686940</v>
          </cell>
          <cell r="V1486">
            <v>54686940</v>
          </cell>
        </row>
        <row r="1487">
          <cell r="J1487">
            <v>1023</v>
          </cell>
          <cell r="K1487">
            <v>43140</v>
          </cell>
          <cell r="L1487" t="str">
            <v>OLGA LUCIA MORALES RICO</v>
          </cell>
          <cell r="M1487">
            <v>31</v>
          </cell>
          <cell r="N1487" t="str">
            <v>RESOLUCION</v>
          </cell>
          <cell r="O1487">
            <v>763</v>
          </cell>
          <cell r="P1487">
            <v>43140</v>
          </cell>
          <cell r="Q1487" t="str">
            <v>Asignacion del instrumento financiero a las familias ocupantes del predio que hayan superado la fase de verificacion dentro  del marco del Decreto 457 de 2017. LOCALIDAD: KENNEDY; BARRIO: VEREDITAS; ID: 2017-8-383717</v>
          </cell>
          <cell r="R1487">
            <v>54686940</v>
          </cell>
          <cell r="S1487">
            <v>0</v>
          </cell>
          <cell r="T1487">
            <v>0</v>
          </cell>
          <cell r="U1487">
            <v>54686940</v>
          </cell>
          <cell r="V1487">
            <v>0</v>
          </cell>
        </row>
        <row r="1488">
          <cell r="J1488">
            <v>1024</v>
          </cell>
          <cell r="K1488">
            <v>43140</v>
          </cell>
          <cell r="L1488" t="str">
            <v>EDINSON  LOPEZ RODRIGUEZ</v>
          </cell>
          <cell r="M1488">
            <v>31</v>
          </cell>
          <cell r="N1488" t="str">
            <v>RESOLUCION</v>
          </cell>
          <cell r="O1488">
            <v>760</v>
          </cell>
          <cell r="P1488">
            <v>43140</v>
          </cell>
          <cell r="Q1488" t="str">
            <v>Asignacion del instrumento financiero a las familias ocupantes del predio que hayan superado la fase de verificacion dentro  del marco del Decreto 457 de 2017. LOCALIDAD: KENNEDY; BARRIO: VEREDITAS; ID: 2017-8-383895</v>
          </cell>
          <cell r="R1488">
            <v>54686940</v>
          </cell>
          <cell r="S1488">
            <v>0</v>
          </cell>
          <cell r="T1488">
            <v>0</v>
          </cell>
          <cell r="U1488">
            <v>54686940</v>
          </cell>
          <cell r="V1488">
            <v>54686940</v>
          </cell>
        </row>
        <row r="1489">
          <cell r="J1489">
            <v>1025</v>
          </cell>
          <cell r="K1489">
            <v>43140</v>
          </cell>
          <cell r="L1489" t="str">
            <v>EDWARD ANDRES MARENTE BUSTOS</v>
          </cell>
          <cell r="M1489">
            <v>31</v>
          </cell>
          <cell r="N1489" t="str">
            <v>RESOLUCION</v>
          </cell>
          <cell r="O1489">
            <v>761</v>
          </cell>
          <cell r="P1489">
            <v>43140</v>
          </cell>
          <cell r="Q1489" t="str">
            <v>Asignacion del instrumento financiero a las familias ocupantes del predio que hayan superado la fase de verificacion dentro  del marco del Decreto 457 de 2017. LOCALIDAD: KENNEDY; BARRIO: VEREDITAS; ID: 2018-8-15015</v>
          </cell>
          <cell r="R1489">
            <v>54686940</v>
          </cell>
          <cell r="S1489">
            <v>0</v>
          </cell>
          <cell r="T1489">
            <v>0</v>
          </cell>
          <cell r="U1489">
            <v>54686940</v>
          </cell>
          <cell r="V1489">
            <v>54686940</v>
          </cell>
        </row>
        <row r="1490">
          <cell r="J1490">
            <v>1026</v>
          </cell>
          <cell r="K1490">
            <v>43140</v>
          </cell>
          <cell r="L1490" t="str">
            <v>LIZETH PAOLA VILLA YAGUARA</v>
          </cell>
          <cell r="M1490">
            <v>31</v>
          </cell>
          <cell r="N1490" t="str">
            <v>RESOLUCION</v>
          </cell>
          <cell r="O1490">
            <v>759</v>
          </cell>
          <cell r="P1490">
            <v>43140</v>
          </cell>
          <cell r="Q1490" t="str">
            <v>Asignacion del instrumento financiero a las familias ocupantes del predio que hayan superado la fase de verificacion dentro  del marco del Decreto 457 de 2017. LOCALIDAD: KENNEDY; BARRIO: VEREDITAS; ID: 2017-8-383839</v>
          </cell>
          <cell r="R1490">
            <v>54686940</v>
          </cell>
          <cell r="S1490">
            <v>0</v>
          </cell>
          <cell r="T1490">
            <v>0</v>
          </cell>
          <cell r="U1490">
            <v>54686940</v>
          </cell>
          <cell r="V1490">
            <v>54686940</v>
          </cell>
        </row>
        <row r="1491">
          <cell r="J1491">
            <v>1027</v>
          </cell>
          <cell r="K1491">
            <v>43140</v>
          </cell>
          <cell r="L1491" t="str">
            <v>DOLORES  MUNAR DE LOMBANA</v>
          </cell>
          <cell r="M1491">
            <v>31</v>
          </cell>
          <cell r="N1491" t="str">
            <v>RESOLUCION</v>
          </cell>
          <cell r="O1491">
            <v>757</v>
          </cell>
          <cell r="P1491">
            <v>43140</v>
          </cell>
          <cell r="Q1491" t="str">
            <v>VUR de la actual vigencia de acuerdo con el Decreto 255 de 2013. LOCALIDAD: USAQUEN; BARRIO:CERRO NORTE; ID: 2006-1-9146</v>
          </cell>
          <cell r="R1491">
            <v>39062100</v>
          </cell>
          <cell r="S1491">
            <v>0</v>
          </cell>
          <cell r="T1491">
            <v>0</v>
          </cell>
          <cell r="U1491">
            <v>39062100</v>
          </cell>
          <cell r="V1491">
            <v>39062100</v>
          </cell>
        </row>
        <row r="1492">
          <cell r="J1492">
            <v>1030</v>
          </cell>
          <cell r="K1492">
            <v>43143</v>
          </cell>
          <cell r="L1492" t="str">
            <v>VICTOR JAVIER RODRIGUEZ GARZON</v>
          </cell>
          <cell r="M1492">
            <v>31</v>
          </cell>
          <cell r="N1492" t="str">
            <v>RESOLUCION</v>
          </cell>
          <cell r="O1492">
            <v>680</v>
          </cell>
          <cell r="P1492">
            <v>43143</v>
          </cell>
          <cell r="Q1492" t="str">
            <v>AYUDA TEMPORAL A LAS FAMILIAS DE VARIAS LOCALIDADES, PARA RELOCALIZACIÓN DE HOGARES LOCALIZADOS EN ZONAS DE ALTO RIESGO NO MITIGABLE ID:2012-18-14327, LOCALIDAD:18 RAFAEL URIBE URIBE, UPZ:55 DIANA TURBAY</v>
          </cell>
          <cell r="R1492">
            <v>4986969</v>
          </cell>
          <cell r="S1492">
            <v>0</v>
          </cell>
          <cell r="T1492">
            <v>0</v>
          </cell>
          <cell r="U1492">
            <v>4986969</v>
          </cell>
          <cell r="V1492">
            <v>2685291</v>
          </cell>
        </row>
        <row r="1493">
          <cell r="J1493">
            <v>1031</v>
          </cell>
          <cell r="K1493">
            <v>43143</v>
          </cell>
          <cell r="L1493" t="str">
            <v>ANA GLORIA GIRALDO ROJAS</v>
          </cell>
          <cell r="M1493">
            <v>31</v>
          </cell>
          <cell r="N1493" t="str">
            <v>RESOLUCION</v>
          </cell>
          <cell r="O1493">
            <v>681</v>
          </cell>
          <cell r="P1493">
            <v>43143</v>
          </cell>
          <cell r="Q1493" t="str">
            <v>AYUDA TEMPORAL A LAS FAMILIAS DE VARIAS LOCALIDADES, PARA RELOCALIZACIÓN DE HOGARES LOCALIZADOS EN ZONAS DE ALTO RIESGO NO MITIGABLE ID:2012-5-14149, LOCALIDAD:05 USME, UPZ:56 DANUBIO</v>
          </cell>
          <cell r="R1493">
            <v>3094182</v>
          </cell>
          <cell r="S1493">
            <v>0</v>
          </cell>
          <cell r="T1493">
            <v>0</v>
          </cell>
          <cell r="U1493">
            <v>3094182</v>
          </cell>
          <cell r="V1493">
            <v>1326078</v>
          </cell>
        </row>
        <row r="1494">
          <cell r="J1494">
            <v>1032</v>
          </cell>
          <cell r="K1494">
            <v>43143</v>
          </cell>
          <cell r="L1494" t="str">
            <v>GLORIA INES RICO BERNAL</v>
          </cell>
          <cell r="M1494">
            <v>31</v>
          </cell>
          <cell r="N1494" t="str">
            <v>RESOLUCION</v>
          </cell>
          <cell r="O1494">
            <v>649</v>
          </cell>
          <cell r="P1494">
            <v>43143</v>
          </cell>
          <cell r="Q1494" t="str">
            <v>AYUDA TEMPORAL A LAS FAMILIAS DE VARIAS LOCALIDADES, PARA RELOCALIZACIÓN DE HOGARES LOCALIZADOS EN ZONAS DE ALTO RIESGO NO MITIGABLE ID:2012-4-14203, LOCALIDAD:04 SAN CRISTÓBAL, UPZ:32 SAN BLAS, SECTOR:</v>
          </cell>
          <cell r="R1494">
            <v>5598996</v>
          </cell>
          <cell r="S1494">
            <v>0</v>
          </cell>
          <cell r="T1494">
            <v>0</v>
          </cell>
          <cell r="U1494">
            <v>5598996</v>
          </cell>
          <cell r="V1494">
            <v>3014844</v>
          </cell>
        </row>
        <row r="1495">
          <cell r="J1495">
            <v>1033</v>
          </cell>
          <cell r="K1495">
            <v>43143</v>
          </cell>
          <cell r="L1495" t="str">
            <v>MARTHA CECILIA LASSO MACHADO</v>
          </cell>
          <cell r="M1495">
            <v>31</v>
          </cell>
          <cell r="N1495" t="str">
            <v>RESOLUCION</v>
          </cell>
          <cell r="O1495">
            <v>648</v>
          </cell>
          <cell r="P1495">
            <v>43143</v>
          </cell>
          <cell r="Q1495" t="str">
            <v>AYUDA TEMPORAL A LAS FAMILIAS DE VARIAS LOCALIDADES, PARA RELOCALIZACIÓN DE HOGARES LOCALIZADOS EN ZONAS DE ALTO RIESGO NO MITIGABLE ID:2011-19-12867, LOCALIDAD:19 CIUDAD BOLÍVAR, UPZ:67 LUCERO, SECTOR:</v>
          </cell>
          <cell r="R1495">
            <v>2924376</v>
          </cell>
          <cell r="S1495">
            <v>417768</v>
          </cell>
          <cell r="T1495">
            <v>0</v>
          </cell>
          <cell r="U1495">
            <v>2506608</v>
          </cell>
          <cell r="V1495">
            <v>2506608</v>
          </cell>
        </row>
        <row r="1496">
          <cell r="J1496">
            <v>1034</v>
          </cell>
          <cell r="K1496">
            <v>43143</v>
          </cell>
          <cell r="L1496" t="str">
            <v>FIDELIA  OTAVO</v>
          </cell>
          <cell r="M1496">
            <v>31</v>
          </cell>
          <cell r="N1496" t="str">
            <v>RESOLUCION</v>
          </cell>
          <cell r="O1496">
            <v>682</v>
          </cell>
          <cell r="P1496">
            <v>43143</v>
          </cell>
          <cell r="Q1496" t="str">
            <v>AYUDA TEMPORAL A LAS FAMILIAS DE VARIAS LOCALIDADES, PARA RELOCALIZACIÓN DE HOGARES LOCALIZADOS EN ZONAS DE ALTO RIESGO NO MITIGABLE ID:2011-19-13704, LOCALIDAD:19 CIUDAD BOLÍVAR, UPZ:67 LUCERO,</v>
          </cell>
          <cell r="R1496">
            <v>2924376</v>
          </cell>
          <cell r="S1496">
            <v>0</v>
          </cell>
          <cell r="T1496">
            <v>0</v>
          </cell>
          <cell r="U1496">
            <v>2924376</v>
          </cell>
          <cell r="V1496">
            <v>2088840</v>
          </cell>
        </row>
        <row r="1497">
          <cell r="J1497">
            <v>1035</v>
          </cell>
          <cell r="K1497">
            <v>43143</v>
          </cell>
          <cell r="L1497" t="str">
            <v>PEDRO ISMAEL RICO BERNAL</v>
          </cell>
          <cell r="M1497">
            <v>31</v>
          </cell>
          <cell r="N1497" t="str">
            <v>RESOLUCION</v>
          </cell>
          <cell r="O1497">
            <v>620</v>
          </cell>
          <cell r="P1497">
            <v>43143</v>
          </cell>
          <cell r="Q1497" t="str">
            <v>AYUDA TEMPORAL A LAS FAMILIAS DE VARIAS LOCALIDADES, PARA RELOCALIZACIÓN DE HOGARES LOCALIZADOS EN ZONAS DE ALTO RIESGO NO MITIGABLE ID:2012-4-14205, LOCALIDAD:04 SAN CRISTÓBAL, UPZ:32 SAN BLAS, SECTOR:</v>
          </cell>
          <cell r="R1497">
            <v>4795154</v>
          </cell>
          <cell r="S1497">
            <v>0</v>
          </cell>
          <cell r="T1497">
            <v>0</v>
          </cell>
          <cell r="U1497">
            <v>4795154</v>
          </cell>
          <cell r="V1497">
            <v>1475432</v>
          </cell>
        </row>
        <row r="1498">
          <cell r="J1498">
            <v>1036</v>
          </cell>
          <cell r="K1498">
            <v>43143</v>
          </cell>
          <cell r="L1498" t="str">
            <v>DIANA PAOLA ARIAS CASTILLO</v>
          </cell>
          <cell r="M1498">
            <v>31</v>
          </cell>
          <cell r="N1498" t="str">
            <v>RESOLUCION</v>
          </cell>
          <cell r="O1498">
            <v>683</v>
          </cell>
          <cell r="P1498">
            <v>43143</v>
          </cell>
          <cell r="Q1498" t="str">
            <v>AYUDA TEMPORAL A LAS FAMILIAS DE VARIAS LOCALIDADES, PARA RELOCALIZACIÓN DE HOGARES LOCALIZADOS EN ZONAS DE ALTO RIESGO NO MITIGABLE ID:2012-ALES-231, LOCALIDAD:19 CIUDAD BOLÍVAR, UPZ:69 ISMAEL PERDOMO</v>
          </cell>
          <cell r="R1498">
            <v>3157315</v>
          </cell>
          <cell r="S1498">
            <v>451045</v>
          </cell>
          <cell r="T1498">
            <v>0</v>
          </cell>
          <cell r="U1498">
            <v>2706270</v>
          </cell>
          <cell r="V1498">
            <v>2706270</v>
          </cell>
        </row>
        <row r="1499">
          <cell r="J1499">
            <v>1037</v>
          </cell>
          <cell r="K1499">
            <v>43143</v>
          </cell>
          <cell r="L1499" t="str">
            <v>OLGA LUCIA GONZALEZ AREVALO</v>
          </cell>
          <cell r="M1499">
            <v>31</v>
          </cell>
          <cell r="N1499" t="str">
            <v>RESOLUCION</v>
          </cell>
          <cell r="O1499">
            <v>621</v>
          </cell>
          <cell r="P1499">
            <v>43143</v>
          </cell>
          <cell r="Q1499" t="str">
            <v>AYUDA TEMPORAL A LAS FAMILIAS DE VARIAS LOCALIDADES, PARA RELOCALIZACIÓN DE HOGARES LOCALIZADOS EN ZONAS DE ALTO RIESGO NO MITIGABLE ID:2003-19-5062, LOCALIDAD:19 CIUDAD BOLÍVAR, UPZ:69 ISMAEL PERDOMO, SECTOR:ALTOS DE LA ESTANCIA</v>
          </cell>
          <cell r="R1499">
            <v>3383254</v>
          </cell>
          <cell r="S1499">
            <v>0</v>
          </cell>
          <cell r="T1499">
            <v>0</v>
          </cell>
          <cell r="U1499">
            <v>3383254</v>
          </cell>
          <cell r="V1499">
            <v>1449966</v>
          </cell>
        </row>
        <row r="1500">
          <cell r="J1500">
            <v>1038</v>
          </cell>
          <cell r="K1500">
            <v>43143</v>
          </cell>
          <cell r="L1500" t="str">
            <v>ANA CRISTINA GONZALEZ ESTRADA</v>
          </cell>
          <cell r="M1500">
            <v>31</v>
          </cell>
          <cell r="N1500" t="str">
            <v>RESOLUCION</v>
          </cell>
          <cell r="O1500">
            <v>622</v>
          </cell>
          <cell r="P1500">
            <v>43143</v>
          </cell>
          <cell r="Q1500" t="str">
            <v>AYUDA TEMPORAL A LAS FAMILIAS DE VARIAS LOCALIDADES, PARA RELOCALIZACIÓN DE HOGARES LOCALIZADOS EN ZONAS DE ALTO RIESGO NO MITIGABLE ID:2011-4-12696, LOCALIDAD:04 SAN CRISTÓBAL, UPZ:32 SAN BLAS, SECTOR:</v>
          </cell>
          <cell r="R1500">
            <v>2582006</v>
          </cell>
          <cell r="S1500">
            <v>368858</v>
          </cell>
          <cell r="T1500">
            <v>0</v>
          </cell>
          <cell r="U1500">
            <v>2213148</v>
          </cell>
          <cell r="V1500">
            <v>2213148</v>
          </cell>
        </row>
        <row r="1501">
          <cell r="J1501">
            <v>1039</v>
          </cell>
          <cell r="K1501">
            <v>43143</v>
          </cell>
          <cell r="L1501" t="str">
            <v>MARIA STELLA PEÑA VELOSA</v>
          </cell>
          <cell r="M1501">
            <v>31</v>
          </cell>
          <cell r="N1501" t="str">
            <v>RESOLUCION</v>
          </cell>
          <cell r="O1501">
            <v>684</v>
          </cell>
          <cell r="P1501">
            <v>43143</v>
          </cell>
          <cell r="Q1501" t="str">
            <v>AYUDA TEMPORAL A LAS FAMILIAS DE VARIAS LOCALIDADES, PARA RELOCALIZACIÓN DE HOGARES LOCALIZADOS EN ZONAS DE ALTO RIESGO NO MITIGABLE ID:2011-4-12659, LOCALIDAD:04 SAN CRISTÓBAL, UPZ:32 SAN BLAS.</v>
          </cell>
          <cell r="R1501">
            <v>6233708</v>
          </cell>
          <cell r="S1501">
            <v>0</v>
          </cell>
          <cell r="T1501">
            <v>0</v>
          </cell>
          <cell r="U1501">
            <v>6233708</v>
          </cell>
          <cell r="V1501">
            <v>3356612</v>
          </cell>
        </row>
        <row r="1502">
          <cell r="J1502">
            <v>1040</v>
          </cell>
          <cell r="K1502">
            <v>43143</v>
          </cell>
          <cell r="L1502" t="str">
            <v>MARTHA CECILIA RUBIO ALVIS</v>
          </cell>
          <cell r="M1502">
            <v>31</v>
          </cell>
          <cell r="N1502" t="str">
            <v>RESOLUCION</v>
          </cell>
          <cell r="O1502">
            <v>623</v>
          </cell>
          <cell r="P1502">
            <v>43143</v>
          </cell>
          <cell r="Q1502" t="str">
            <v>AYUDA TEMPORAL A LAS FAMILIAS DE VARIAS LOCALIDADES, PARA RELOCALIZACIÓN DE HOGARES LOCALIZADOS EN ZONAS DE ALTO RIESGO NO MITIGABLE ID:2015-Q09-03181, LOCALIDAD:19 CIUDAD BOLÍVAR, UPZ:68 EL TESORO, SECTOR:QUEBRADA TROMPETA</v>
          </cell>
          <cell r="R1502">
            <v>6713226</v>
          </cell>
          <cell r="S1502">
            <v>0</v>
          </cell>
          <cell r="T1502">
            <v>0</v>
          </cell>
          <cell r="U1502">
            <v>6713226</v>
          </cell>
          <cell r="V1502">
            <v>3614814</v>
          </cell>
        </row>
        <row r="1503">
          <cell r="J1503">
            <v>1041</v>
          </cell>
          <cell r="K1503">
            <v>43143</v>
          </cell>
          <cell r="L1503" t="str">
            <v>SANDRA MILENA LESMES RODRIGUEZ</v>
          </cell>
          <cell r="M1503">
            <v>31</v>
          </cell>
          <cell r="N1503" t="str">
            <v>RESOLUCION</v>
          </cell>
          <cell r="O1503">
            <v>685</v>
          </cell>
          <cell r="P1503">
            <v>43143</v>
          </cell>
          <cell r="Q1503" t="str">
            <v>AYUDA TEMPORAL A LAS FAMILIAS DE VARIAS LOCALIDADES, PARA RELOCALIZACIÓN DE HOGARES LOCALIZADOS EN ZONAS DE ALTO RIESGO NO MITIGABLE ID:2011-19-12628, LOCALIDAD:19 CIUDAD BOLÍVAR, UPZ:68 EL TESORO, SECTOR:OLA INVERNAL 2010 FOPAE</v>
          </cell>
          <cell r="R1503">
            <v>2845920</v>
          </cell>
          <cell r="S1503">
            <v>406560</v>
          </cell>
          <cell r="T1503">
            <v>0</v>
          </cell>
          <cell r="U1503">
            <v>2439360</v>
          </cell>
          <cell r="V1503">
            <v>2439360</v>
          </cell>
        </row>
        <row r="1504">
          <cell r="J1504">
            <v>1042</v>
          </cell>
          <cell r="K1504">
            <v>43143</v>
          </cell>
          <cell r="L1504" t="str">
            <v>ADELA  BERMUDEZ FORERO</v>
          </cell>
          <cell r="M1504">
            <v>31</v>
          </cell>
          <cell r="N1504" t="str">
            <v>RESOLUCION</v>
          </cell>
          <cell r="O1504">
            <v>686</v>
          </cell>
          <cell r="P1504">
            <v>43143</v>
          </cell>
          <cell r="Q1504" t="str">
            <v>AYUDA TEMPORAL A LAS FAMILIAS DE VARIAS LOCALIDADES, PARA RELOCALIZACIÓN DE HOGARES LOCALIZADOS EN ZONAS DE ALTO RIESGO NO MITIGABLE ID:2016-08-14824, LOCALIDAD:08 KENNEDY, UPZ:82 PATIO BONITO, SECTOR:PALMITAS</v>
          </cell>
          <cell r="R1504">
            <v>4986969</v>
          </cell>
          <cell r="S1504">
            <v>0</v>
          </cell>
          <cell r="T1504">
            <v>0</v>
          </cell>
          <cell r="U1504">
            <v>4986969</v>
          </cell>
          <cell r="V1504">
            <v>2685291</v>
          </cell>
        </row>
        <row r="1505">
          <cell r="J1505">
            <v>1043</v>
          </cell>
          <cell r="K1505">
            <v>43143</v>
          </cell>
          <cell r="L1505" t="str">
            <v>HUMBERTO  LOZANO SILVA</v>
          </cell>
          <cell r="M1505">
            <v>31</v>
          </cell>
          <cell r="N1505" t="str">
            <v>RESOLUCION</v>
          </cell>
          <cell r="O1505">
            <v>687</v>
          </cell>
          <cell r="P1505">
            <v>43143</v>
          </cell>
          <cell r="Q1505" t="str">
            <v>AYUDA TEMPORAL A LAS FAMILIAS DE VARIAS LOCALIDADES, PARA RELOCALIZACIÓN DE HOGARES LOCALIZADOS EN ZONAS DE ALTO RIESGO NO MITIGABLE ID:2015-Q03-03386, LOCALIDAD:19 CIUDAD BOLÍVAR, UPZ:67 LUCERO, SECTOR:LIMAS</v>
          </cell>
          <cell r="R1505">
            <v>5612594</v>
          </cell>
          <cell r="S1505">
            <v>0</v>
          </cell>
          <cell r="T1505">
            <v>0</v>
          </cell>
          <cell r="U1505">
            <v>5612594</v>
          </cell>
          <cell r="V1505">
            <v>3022166</v>
          </cell>
        </row>
        <row r="1506">
          <cell r="J1506">
            <v>1044</v>
          </cell>
          <cell r="K1506">
            <v>43143</v>
          </cell>
          <cell r="L1506" t="str">
            <v>LUZ MARINA DIOSA RENDON</v>
          </cell>
          <cell r="M1506">
            <v>31</v>
          </cell>
          <cell r="N1506" t="str">
            <v>RESOLUCION</v>
          </cell>
          <cell r="O1506">
            <v>624</v>
          </cell>
          <cell r="P1506">
            <v>43143</v>
          </cell>
          <cell r="Q1506" t="str">
            <v>AYUDA TEMPORAL A LAS FAMILIAS DE VARIAS LOCALIDADES, PARA RELOCALIZACIÓN DE HOGARES LOCALIZADOS EN ZONAS DE ALTO RIESGO NO MITIGABLE ID:2014-Q21-00704, LOCALIDAD:19 CIUDAD BOLÍVAR, UPZ:67 LUCERO, SECTOR:PEÑA COLORADA</v>
          </cell>
          <cell r="R1506">
            <v>920976</v>
          </cell>
          <cell r="S1506">
            <v>460488</v>
          </cell>
          <cell r="T1506">
            <v>0</v>
          </cell>
          <cell r="U1506">
            <v>460488</v>
          </cell>
          <cell r="V1506">
            <v>460488</v>
          </cell>
        </row>
        <row r="1507">
          <cell r="J1507">
            <v>1045</v>
          </cell>
          <cell r="K1507">
            <v>43143</v>
          </cell>
          <cell r="L1507" t="str">
            <v>MARIA INES MARTINEZ PINTO</v>
          </cell>
          <cell r="M1507">
            <v>31</v>
          </cell>
          <cell r="N1507" t="str">
            <v>RESOLUCION</v>
          </cell>
          <cell r="O1507">
            <v>688</v>
          </cell>
          <cell r="P1507">
            <v>43143</v>
          </cell>
          <cell r="Q1507" t="str">
            <v>AYUDA TEMPORAL A LAS FAMILIAS DE VARIAS LOCALIDADES, PARA RELOCALIZACIÓN DE HOGARES LOCALIZADOS EN ZONAS DE ALTO RIESGO NO MITIGABLE ID:2013000530, LOCALIDAD:19 CIUDAD BOLÍVAR, UPZ:67 LUCERO, SECTOR:QUEBRADA TROMPETA</v>
          </cell>
          <cell r="R1507">
            <v>6721000</v>
          </cell>
          <cell r="S1507">
            <v>0</v>
          </cell>
          <cell r="T1507">
            <v>0</v>
          </cell>
          <cell r="U1507">
            <v>6721000</v>
          </cell>
          <cell r="V1507">
            <v>3619000</v>
          </cell>
        </row>
        <row r="1508">
          <cell r="J1508">
            <v>1046</v>
          </cell>
          <cell r="K1508">
            <v>43143</v>
          </cell>
          <cell r="L1508" t="str">
            <v>ANADELIA  MELO JOYA</v>
          </cell>
          <cell r="M1508">
            <v>31</v>
          </cell>
          <cell r="N1508" t="str">
            <v>RESOLUCION</v>
          </cell>
          <cell r="O1508">
            <v>652</v>
          </cell>
          <cell r="P1508">
            <v>43143</v>
          </cell>
          <cell r="Q1508" t="str">
            <v>AYUDA TEMPORAL A LAS FAMILIAS DE VARIAS LOCALIDADES, PARA RELOCALIZACIÓN DE HOGARES LOCALIZADOS EN ZONAS DE ALTO RIESGO NO MITIGABLE ID:2003-19-5220, LOCALIDAD:19 CIUDAD BOLÍVAR, UPZ:69 ISMAEL PERDOMO, SECTOR:ALTOS DE LA ESTANCIA</v>
          </cell>
          <cell r="R1508">
            <v>3363507</v>
          </cell>
          <cell r="S1508">
            <v>480501</v>
          </cell>
          <cell r="T1508">
            <v>0</v>
          </cell>
          <cell r="U1508">
            <v>2883006</v>
          </cell>
          <cell r="V1508">
            <v>2883006</v>
          </cell>
        </row>
        <row r="1509">
          <cell r="J1509">
            <v>1047</v>
          </cell>
          <cell r="K1509">
            <v>43143</v>
          </cell>
          <cell r="L1509" t="str">
            <v>LUZ MARINA DIOSA RENDON</v>
          </cell>
          <cell r="M1509">
            <v>31</v>
          </cell>
          <cell r="N1509" t="str">
            <v>RESOLUCION</v>
          </cell>
          <cell r="O1509">
            <v>625</v>
          </cell>
          <cell r="P1509">
            <v>43143</v>
          </cell>
          <cell r="Q1509" t="str">
            <v>AYUDA TEMPORAL A LAS FAMILIAS DE VARIAS LOCALIDADES, PARA RELOCALIZACIÓN DE HOGARES LOCALIZADOS EN ZONAS DE ALTO RIESGO NO MITIGABLE ID:2014-Q21-00704, LOCALIDAD:19 CIUDAD BOLÍVAR, UPZ:67 LUCERO, SECTOR:PEÑA COLORADA</v>
          </cell>
          <cell r="R1509">
            <v>5525856</v>
          </cell>
          <cell r="S1509">
            <v>0</v>
          </cell>
          <cell r="T1509">
            <v>0</v>
          </cell>
          <cell r="U1509">
            <v>5525856</v>
          </cell>
          <cell r="V1509">
            <v>2762928</v>
          </cell>
        </row>
        <row r="1510">
          <cell r="J1510">
            <v>1048</v>
          </cell>
          <cell r="K1510">
            <v>43143</v>
          </cell>
          <cell r="L1510" t="str">
            <v>BARBARA  BOHORQUEZ CABALLERO</v>
          </cell>
          <cell r="M1510">
            <v>31</v>
          </cell>
          <cell r="N1510" t="str">
            <v>RESOLUCION</v>
          </cell>
          <cell r="O1510">
            <v>689</v>
          </cell>
          <cell r="P1510">
            <v>43143</v>
          </cell>
          <cell r="Q1510" t="str">
            <v>AYUDA TEMPORAL A LAS FAMILIAS DE VARIAS LOCALIDADES, PARA RELOCALIZACIÓN DE HOGARES LOCALIZADOS EN ZONAS DE ALTO RIESGO NO MITIGABLE ID:2004-5-5564, LOCALIDAD:05 USME, UPZ:57 GRAN YOMASA,</v>
          </cell>
          <cell r="R1510">
            <v>3523107</v>
          </cell>
          <cell r="S1510">
            <v>2516505</v>
          </cell>
          <cell r="T1510">
            <v>0</v>
          </cell>
          <cell r="U1510">
            <v>1006602</v>
          </cell>
          <cell r="V1510">
            <v>1006602</v>
          </cell>
        </row>
        <row r="1511">
          <cell r="J1511">
            <v>1049</v>
          </cell>
          <cell r="K1511">
            <v>43143</v>
          </cell>
          <cell r="L1511" t="str">
            <v>ARACELY  ARCE AGUDELO</v>
          </cell>
          <cell r="M1511">
            <v>31</v>
          </cell>
          <cell r="N1511" t="str">
            <v>RESOLUCION</v>
          </cell>
          <cell r="O1511">
            <v>653</v>
          </cell>
          <cell r="P1511">
            <v>43143</v>
          </cell>
          <cell r="Q1511" t="str">
            <v>AYUDA TEMPORAL A LAS FAMILIAS DE VARIAS LOCALIDADES, PARA RELOCALIZACIÓN DE HOGARES LOCALIZADOS EN ZONAS DE ALTO RIESGO NO MITIGABLE ID:2013000473, LOCALIDAD:19 CIUDAD BOLÍVAR, UPZ:67 LUCERO, SECTOR:QUEBRADA TROMPETA</v>
          </cell>
          <cell r="R1511">
            <v>3017000</v>
          </cell>
          <cell r="S1511">
            <v>862000</v>
          </cell>
          <cell r="T1511">
            <v>0</v>
          </cell>
          <cell r="U1511">
            <v>2155000</v>
          </cell>
          <cell r="V1511">
            <v>2155000</v>
          </cell>
        </row>
        <row r="1512">
          <cell r="J1512">
            <v>1050</v>
          </cell>
          <cell r="K1512">
            <v>43143</v>
          </cell>
          <cell r="L1512" t="str">
            <v>ALBERTO  CARDONA</v>
          </cell>
          <cell r="M1512">
            <v>31</v>
          </cell>
          <cell r="N1512" t="str">
            <v>RESOLUCION</v>
          </cell>
          <cell r="O1512">
            <v>626</v>
          </cell>
          <cell r="P1512">
            <v>43143</v>
          </cell>
          <cell r="Q1512" t="str">
            <v>AYUDA TEMPORAL A LAS FAMILIAS DE VARIAS LOCALIDADES, PARA RELOCALIZACIÓN DE HOGARES LOCALIZADOS EN ZONAS DE ALTO RIESGO NO MITIGABLE ID:2007-4-9373, LOCALIDAD:04 SAN CRISTÓBAL, UPZ:32 SAN BLAS, SECTOR:</v>
          </cell>
          <cell r="R1512">
            <v>2582006</v>
          </cell>
          <cell r="S1512">
            <v>368858</v>
          </cell>
          <cell r="T1512">
            <v>0</v>
          </cell>
          <cell r="U1512">
            <v>2213148</v>
          </cell>
          <cell r="V1512">
            <v>2213148</v>
          </cell>
        </row>
        <row r="1513">
          <cell r="J1513">
            <v>1051</v>
          </cell>
          <cell r="K1513">
            <v>43143</v>
          </cell>
          <cell r="L1513" t="str">
            <v>HILDA MARLENY PEREZ</v>
          </cell>
          <cell r="M1513">
            <v>31</v>
          </cell>
          <cell r="N1513" t="str">
            <v>RESOLUCION</v>
          </cell>
          <cell r="O1513">
            <v>654</v>
          </cell>
          <cell r="P1513">
            <v>43143</v>
          </cell>
          <cell r="Q1513" t="str">
            <v>AYUDA TEMPORAL A LAS FAMILIAS DE VARIAS LOCALIDADES, PARA RELOCALIZACIÓN DE HOGARES LOCALIZADOS EN ZONAS DE ALTO RIESGO NO MITIGABLE ID:2013000267, LOCALIDAD:04 SAN CRISTÓBAL, UPZ:51 LOS LIBERTADORES, SECTOR:QUEBRADA VEREJONES</v>
          </cell>
          <cell r="R1513">
            <v>5780541</v>
          </cell>
          <cell r="S1513">
            <v>0</v>
          </cell>
          <cell r="T1513">
            <v>0</v>
          </cell>
          <cell r="U1513">
            <v>5780541</v>
          </cell>
          <cell r="V1513">
            <v>2667942</v>
          </cell>
        </row>
        <row r="1514">
          <cell r="J1514">
            <v>1052</v>
          </cell>
          <cell r="K1514">
            <v>43143</v>
          </cell>
          <cell r="L1514" t="str">
            <v>YURY GISELL BERMUDEZ FORERO</v>
          </cell>
          <cell r="M1514">
            <v>31</v>
          </cell>
          <cell r="N1514" t="str">
            <v>RESOLUCION</v>
          </cell>
          <cell r="O1514">
            <v>690</v>
          </cell>
          <cell r="P1514">
            <v>43143</v>
          </cell>
          <cell r="Q1514" t="str">
            <v>AYUDA TEMPORAL A LAS FAMILIAS DE VARIAS LOCALIDADES, PARA RELOCALIZACIÓN DE HOGARES LOCALIZADOS EN ZONAS DE ALTO RIESGO NO MITIGABLE ID:2016-08-14813, LOCALIDAD:08 KENNEDY, UPZ:82 PATIO BONITO, SECTOR:PALMITAS</v>
          </cell>
          <cell r="R1514">
            <v>4929600</v>
          </cell>
          <cell r="S1514">
            <v>0</v>
          </cell>
          <cell r="T1514">
            <v>0</v>
          </cell>
          <cell r="U1514">
            <v>4929600</v>
          </cell>
          <cell r="V1514">
            <v>2654400</v>
          </cell>
        </row>
        <row r="1515">
          <cell r="J1515">
            <v>1053</v>
          </cell>
          <cell r="K1515">
            <v>43143</v>
          </cell>
          <cell r="L1515" t="str">
            <v>ALEXANDER JOAQUIN RODRIGUEZ LOPEZ</v>
          </cell>
          <cell r="M1515">
            <v>31</v>
          </cell>
          <cell r="N1515" t="str">
            <v>RESOLUCION</v>
          </cell>
          <cell r="O1515">
            <v>627</v>
          </cell>
          <cell r="P1515">
            <v>43143</v>
          </cell>
          <cell r="Q1515" t="str">
            <v>AYUDA TEMPORAL A LAS FAMILIAS DE VARIAS LOCALIDADES, PARA RELOCALIZACIÓN DE HOGARES LOCALIZADOS EN ZONAS DE ALTO RIESGO NO MITIGABLE ID:2014-Q03-01109, LOCALIDAD:19 CIUDAD BOLÍVAR, UPZ:66 SAN FRANCISCO, SECTOR:LIMAS</v>
          </cell>
          <cell r="R1515">
            <v>3157315</v>
          </cell>
          <cell r="S1515">
            <v>451045</v>
          </cell>
          <cell r="T1515">
            <v>0</v>
          </cell>
          <cell r="U1515">
            <v>2706270</v>
          </cell>
          <cell r="V1515">
            <v>2706270</v>
          </cell>
        </row>
        <row r="1516">
          <cell r="J1516">
            <v>1054</v>
          </cell>
          <cell r="K1516">
            <v>43143</v>
          </cell>
          <cell r="L1516" t="str">
            <v>JESUS LIBORIO GONZALEZ GALEANO</v>
          </cell>
          <cell r="M1516">
            <v>31</v>
          </cell>
          <cell r="N1516" t="str">
            <v>RESOLUCION</v>
          </cell>
          <cell r="O1516">
            <v>655</v>
          </cell>
          <cell r="P1516">
            <v>43143</v>
          </cell>
          <cell r="Q1516" t="str">
            <v>AYUDA TEMPORAL A LAS FAMILIAS DE VARIAS LOCALIDADES, PARA RELOCALIZACIÓN DE HOGARES LOCALIZADOS EN ZONAS DE ALTO RIESGO NO MITIGABLE ID:2012-ALES-65, LOCALIDAD:19 CIUDAD BOLÍVAR, UPZ:69 ISMAEL PERDOMO, SECTOR:ALTOS DE LA ESTANCIA</v>
          </cell>
          <cell r="R1516">
            <v>4329855</v>
          </cell>
          <cell r="S1516">
            <v>0</v>
          </cell>
          <cell r="T1516">
            <v>0</v>
          </cell>
          <cell r="U1516">
            <v>4329855</v>
          </cell>
          <cell r="V1516">
            <v>3367665</v>
          </cell>
        </row>
        <row r="1517">
          <cell r="J1517">
            <v>1055</v>
          </cell>
          <cell r="K1517">
            <v>43143</v>
          </cell>
          <cell r="L1517" t="str">
            <v>ALVARO  GUTIERREZ ARTUNDUAGA</v>
          </cell>
          <cell r="M1517">
            <v>31</v>
          </cell>
          <cell r="N1517" t="str">
            <v>RESOLUCION</v>
          </cell>
          <cell r="O1517">
            <v>628</v>
          </cell>
          <cell r="P1517">
            <v>43143</v>
          </cell>
          <cell r="Q1517" t="str">
            <v>AYUDA TEMPORAL A LAS FAMILIAS DE VARIAS LOCALIDADES, PARA RELOCALIZACIÓN DE HOGARES LOCALIZADOS EN ZONAS DE ALTO RIESGO NO MITIGABLE ID:2013000411, LOCALIDAD:04 SAN CRISTÓBAL, UPZ:51 LOS LIBERTADORES, SECTOR:QUEBRADA VEREJONES</v>
          </cell>
          <cell r="R1517">
            <v>3038112</v>
          </cell>
          <cell r="S1517">
            <v>434016</v>
          </cell>
          <cell r="T1517">
            <v>0</v>
          </cell>
          <cell r="U1517">
            <v>2604096</v>
          </cell>
          <cell r="V1517">
            <v>2604096</v>
          </cell>
        </row>
        <row r="1518">
          <cell r="J1518">
            <v>1056</v>
          </cell>
          <cell r="K1518">
            <v>43143</v>
          </cell>
          <cell r="L1518" t="str">
            <v>ELIZABETH  VEGA PARRA</v>
          </cell>
          <cell r="M1518">
            <v>31</v>
          </cell>
          <cell r="N1518" t="str">
            <v>RESOLUCION</v>
          </cell>
          <cell r="O1518">
            <v>691</v>
          </cell>
          <cell r="P1518">
            <v>43143</v>
          </cell>
          <cell r="Q1518" t="str">
            <v>AYUDA TEMPORAL A LAS FAMILIAS DE VARIAS LOCALIDADES, PARA RELOCALIZACIÓN DE HOGARES LOCALIZADOS EN ZONAS DE ALTO RIESGO NO MITIGABLE ID:2012-18-14356, LOCALIDAD:18 RAFAEL URIBE URIBE, UPZ:55 DIANA TURBAY, SECTOR:</v>
          </cell>
          <cell r="R1518">
            <v>6713226</v>
          </cell>
          <cell r="S1518">
            <v>0</v>
          </cell>
          <cell r="T1518">
            <v>0</v>
          </cell>
          <cell r="U1518">
            <v>6713226</v>
          </cell>
          <cell r="V1518">
            <v>3614814</v>
          </cell>
        </row>
        <row r="1519">
          <cell r="J1519">
            <v>1057</v>
          </cell>
          <cell r="K1519">
            <v>43143</v>
          </cell>
          <cell r="L1519" t="str">
            <v>YUDI KATERINE RAMIREZ RODRIGUEZ</v>
          </cell>
          <cell r="M1519">
            <v>31</v>
          </cell>
          <cell r="N1519" t="str">
            <v>RESOLUCION</v>
          </cell>
          <cell r="O1519">
            <v>656</v>
          </cell>
          <cell r="P1519">
            <v>43143</v>
          </cell>
          <cell r="Q1519" t="str">
            <v>AYUDA TEMPORAL A LAS FAMILIAS DE VARIAS LOCALIDADES, PARA RELOCALIZACIÓN DE HOGARES LOCALIZADOS EN ZONAS DE ALTO RIESGO NO MITIGABLE ID:2014-OTR-00882, LOCALIDAD:03 SANTA FE, UPZ:96 LOURDES, SECTOR:CASA 2</v>
          </cell>
          <cell r="R1519">
            <v>3518186</v>
          </cell>
          <cell r="S1519">
            <v>502598</v>
          </cell>
          <cell r="T1519">
            <v>0</v>
          </cell>
          <cell r="U1519">
            <v>3015588</v>
          </cell>
          <cell r="V1519">
            <v>3015588</v>
          </cell>
        </row>
        <row r="1520">
          <cell r="J1520">
            <v>1058</v>
          </cell>
          <cell r="K1520">
            <v>43143</v>
          </cell>
          <cell r="L1520" t="str">
            <v>MARINELA  GAONA GONZALEZ</v>
          </cell>
          <cell r="M1520">
            <v>31</v>
          </cell>
          <cell r="N1520" t="str">
            <v>RESOLUCION</v>
          </cell>
          <cell r="O1520">
            <v>629</v>
          </cell>
          <cell r="P1520">
            <v>43143</v>
          </cell>
          <cell r="Q1520" t="str">
            <v>AYUDA TEMPORAL A LAS FAMILIAS DE VARIAS LOCALIDADES, PARA RELOCALIZACIÓN DE HOGARES LOCALIZADOS EN ZONAS DE ALTO RIESGO NO MITIGABLE ID:2012-4-14293, LOCALIDAD:04 SAN CRISTÓBAL, UPZ:50 LA GLORIA, SECTOR:</v>
          </cell>
          <cell r="R1520">
            <v>3017000</v>
          </cell>
          <cell r="S1520">
            <v>431000</v>
          </cell>
          <cell r="T1520">
            <v>0</v>
          </cell>
          <cell r="U1520">
            <v>2586000</v>
          </cell>
          <cell r="V1520">
            <v>2586000</v>
          </cell>
        </row>
        <row r="1521">
          <cell r="J1521">
            <v>1059</v>
          </cell>
          <cell r="K1521">
            <v>43143</v>
          </cell>
          <cell r="L1521" t="str">
            <v>VICTORIA EUGENIA BENITEZ BASTIDAS</v>
          </cell>
          <cell r="M1521">
            <v>31</v>
          </cell>
          <cell r="N1521" t="str">
            <v>RESOLUCION</v>
          </cell>
          <cell r="O1521">
            <v>657</v>
          </cell>
          <cell r="P1521">
            <v>43143</v>
          </cell>
          <cell r="Q1521" t="str">
            <v>AYUDA TEMPORAL A LAS FAMILIAS DE VARIAS LOCALIDADES, PARA RELOCALIZACIÓN DE HOGARES LOCALIZADOS EN ZONAS DE ALTO RIESGO NO MITIGABLE ID:2012-19-14380, LOCALIDAD:19 CIUDAD BOLÍVAR, UPZ:68 EL TESORO</v>
          </cell>
          <cell r="R1521">
            <v>3698947</v>
          </cell>
          <cell r="S1521">
            <v>528421</v>
          </cell>
          <cell r="T1521">
            <v>0</v>
          </cell>
          <cell r="U1521">
            <v>3170526</v>
          </cell>
          <cell r="V1521">
            <v>3170526</v>
          </cell>
        </row>
        <row r="1522">
          <cell r="J1522">
            <v>1060</v>
          </cell>
          <cell r="K1522">
            <v>43143</v>
          </cell>
          <cell r="L1522" t="str">
            <v>MYRIAM JACQUELINE ABRIL CRUZ</v>
          </cell>
          <cell r="M1522">
            <v>31</v>
          </cell>
          <cell r="N1522" t="str">
            <v>RESOLUCION</v>
          </cell>
          <cell r="O1522">
            <v>692</v>
          </cell>
          <cell r="P1522">
            <v>43143</v>
          </cell>
          <cell r="Q1522" t="str">
            <v>AYUDA TEMPORAL A LAS FAMILIAS DE VARIAS LOCALIDADES, PARA RELOCALIZACIÓN DE HOGARES LOCALIZADOS EN ZONAS DE ALTO RIESGO NO MITIGABLE ID:2012-18-14319, LOCALIDAD:18 RAFAEL URIBE URIBE, UPZ:55 DIANA TURBAY,</v>
          </cell>
          <cell r="R1522">
            <v>3094182</v>
          </cell>
          <cell r="S1522">
            <v>442026</v>
          </cell>
          <cell r="T1522">
            <v>0</v>
          </cell>
          <cell r="U1522">
            <v>2652156</v>
          </cell>
          <cell r="V1522">
            <v>2652156</v>
          </cell>
        </row>
        <row r="1523">
          <cell r="J1523">
            <v>1061</v>
          </cell>
          <cell r="K1523">
            <v>43143</v>
          </cell>
          <cell r="L1523" t="str">
            <v>ERIKA STELLA RIOS WILCHES</v>
          </cell>
          <cell r="M1523">
            <v>31</v>
          </cell>
          <cell r="N1523" t="str">
            <v>RESOLUCION</v>
          </cell>
          <cell r="O1523">
            <v>658</v>
          </cell>
          <cell r="P1523">
            <v>43143</v>
          </cell>
          <cell r="Q1523" t="str">
            <v>AYUDA TEMPORAL A LAS FAMILIAS DE VARIAS LOCALIDADES, PARA RELOCALIZACIÓN DE HOGARES LOCALIZADOS EN ZONAS DE ALTO RIESGO NO MITIGABLE ID:2011-19-13384, LOCALIDAD:19 CIUDAD BOLÍVAR, UPZ:68 EL TESORO.</v>
          </cell>
          <cell r="R1523">
            <v>5754190</v>
          </cell>
          <cell r="S1523">
            <v>0</v>
          </cell>
          <cell r="T1523">
            <v>0</v>
          </cell>
          <cell r="U1523">
            <v>5754190</v>
          </cell>
          <cell r="V1523">
            <v>3098410</v>
          </cell>
        </row>
        <row r="1524">
          <cell r="J1524">
            <v>1062</v>
          </cell>
          <cell r="K1524">
            <v>43143</v>
          </cell>
          <cell r="L1524" t="str">
            <v>ALBA MARINA ARIAS DIAZ</v>
          </cell>
          <cell r="M1524">
            <v>31</v>
          </cell>
          <cell r="N1524" t="str">
            <v>RESOLUCION</v>
          </cell>
          <cell r="O1524">
            <v>693</v>
          </cell>
          <cell r="P1524">
            <v>43143</v>
          </cell>
          <cell r="Q1524" t="str">
            <v>AYUDA TEMPORAL A LAS FAMILIAS DE VARIAS LOCALIDADES, PARA RELOCALIZACIÓN DE HOGARES LOCALIZADOS EN ZONAS DE ALTO RIESGO NO MITIGABLE ID:2016-08-14804, LOCALIDAD:08 KENNEDY, UPZ:82 PATIO BONITO, SECTOR:PALMITAS</v>
          </cell>
          <cell r="R1524">
            <v>7480447</v>
          </cell>
          <cell r="S1524">
            <v>0</v>
          </cell>
          <cell r="T1524">
            <v>0</v>
          </cell>
          <cell r="U1524">
            <v>7480447</v>
          </cell>
          <cell r="V1524">
            <v>4027933</v>
          </cell>
        </row>
        <row r="1525">
          <cell r="J1525">
            <v>1063</v>
          </cell>
          <cell r="K1525">
            <v>43143</v>
          </cell>
          <cell r="L1525" t="str">
            <v>LUIS ALBERTO URREA LEMUS</v>
          </cell>
          <cell r="M1525">
            <v>31</v>
          </cell>
          <cell r="N1525" t="str">
            <v>RESOLUCION</v>
          </cell>
          <cell r="O1525">
            <v>650</v>
          </cell>
          <cell r="P1525">
            <v>43143</v>
          </cell>
          <cell r="Q1525" t="str">
            <v>AYUDA TEMPORAL A LAS FAMILIAS DE VARIAS LOCALIDADES, PARA RELOCALIZACIÓN DE HOGARES LOCALIZADOS EN ZONAS DE ALTO RIESGO NO MITIGABLE ID:2013-Q21-00354, LOCALIDAD:19 CIUDAD BOLÍVAR, UPZ:67 LUCERO, SECTOR:BRAZO DERECHO DE LIMAS</v>
          </cell>
          <cell r="R1525">
            <v>2586752</v>
          </cell>
          <cell r="S1525">
            <v>369536</v>
          </cell>
          <cell r="T1525">
            <v>0</v>
          </cell>
          <cell r="U1525">
            <v>2217216</v>
          </cell>
          <cell r="V1525">
            <v>2217216</v>
          </cell>
        </row>
        <row r="1526">
          <cell r="J1526">
            <v>1064</v>
          </cell>
          <cell r="K1526">
            <v>43143</v>
          </cell>
          <cell r="L1526" t="str">
            <v>JOSE BERCELI MOSUCHA MOYA</v>
          </cell>
          <cell r="M1526">
            <v>31</v>
          </cell>
          <cell r="N1526" t="str">
            <v>RESOLUCION</v>
          </cell>
          <cell r="O1526">
            <v>651</v>
          </cell>
          <cell r="P1526">
            <v>43143</v>
          </cell>
          <cell r="Q1526" t="str">
            <v>AYUDA TEMPORAL A LAS FAMILIAS DE VARIAS LOCALIDADES, PARA RELOCALIZACIÓN DE HOGARES LOCALIZADOS EN ZONAS DE ALTO RIESGO NO MITIGABLE ID:2013-Q22-00622, LOCALIDAD:04 SAN CRISTÓBAL, UPZ:32 SAN BLAS, SECTOR:FUCHA</v>
          </cell>
          <cell r="R1526">
            <v>3713850</v>
          </cell>
          <cell r="S1526">
            <v>0</v>
          </cell>
          <cell r="T1526">
            <v>0</v>
          </cell>
          <cell r="U1526">
            <v>3713850</v>
          </cell>
          <cell r="V1526">
            <v>1591650</v>
          </cell>
        </row>
        <row r="1527">
          <cell r="J1527">
            <v>1065</v>
          </cell>
          <cell r="K1527">
            <v>43143</v>
          </cell>
          <cell r="L1527" t="str">
            <v>JOSE LEONARDO LOZANO GUTIERREZ</v>
          </cell>
          <cell r="M1527">
            <v>31</v>
          </cell>
          <cell r="N1527" t="str">
            <v>RESOLUCION</v>
          </cell>
          <cell r="O1527">
            <v>659</v>
          </cell>
          <cell r="P1527">
            <v>43143</v>
          </cell>
          <cell r="Q1527" t="str">
            <v>AYUDA TEMPORAL A LAS FAMILIAS DE VARIAS LOCALIDADES, PARA RELOCALIZACIÓN DE HOGARES LOCALIZADOS EN ZONAS DE ALTO RIESGO NO MITIGABLE ID:2013000321, LOCALIDAD:19 CIUDAD BOLÍVAR, UPZ:67 LUCERO, SECTOR:PEÑA COLORADA</v>
          </cell>
          <cell r="R1527">
            <v>3463215</v>
          </cell>
          <cell r="S1527">
            <v>989490</v>
          </cell>
          <cell r="T1527">
            <v>0</v>
          </cell>
          <cell r="U1527">
            <v>2473725</v>
          </cell>
          <cell r="V1527">
            <v>2473725</v>
          </cell>
        </row>
        <row r="1528">
          <cell r="J1528">
            <v>1066</v>
          </cell>
          <cell r="K1528">
            <v>43143</v>
          </cell>
          <cell r="L1528" t="str">
            <v>JEINNY ANDREA NAVARRETE</v>
          </cell>
          <cell r="M1528">
            <v>31</v>
          </cell>
          <cell r="N1528" t="str">
            <v>RESOLUCION</v>
          </cell>
          <cell r="O1528">
            <v>694</v>
          </cell>
          <cell r="P1528">
            <v>43143</v>
          </cell>
          <cell r="Q1528" t="str">
            <v>AYUDA TEMPORAL A LAS FAMILIAS DE VARIAS LOCALIDADES, PARA RELOCALIZACIÓN DE HOGARES LOCALIZADOS EN ZONAS DE ALTO RIESGO NO MITIGABLE ID:2014-OTR-00898, LOCALIDAD:03 SANTA FE, UPZ:96 LOURDES, SECTOR:CASA 3</v>
          </cell>
          <cell r="R1528">
            <v>2582006</v>
          </cell>
          <cell r="S1528">
            <v>368858</v>
          </cell>
          <cell r="T1528">
            <v>0</v>
          </cell>
          <cell r="U1528">
            <v>2213148</v>
          </cell>
          <cell r="V1528">
            <v>2213148</v>
          </cell>
        </row>
        <row r="1529">
          <cell r="J1529">
            <v>1067</v>
          </cell>
          <cell r="K1529">
            <v>43143</v>
          </cell>
          <cell r="L1529" t="str">
            <v>DIEGO LEONARDO PEÑA PEÑA</v>
          </cell>
          <cell r="M1529">
            <v>31</v>
          </cell>
          <cell r="N1529" t="str">
            <v>RESOLUCION</v>
          </cell>
          <cell r="O1529">
            <v>708</v>
          </cell>
          <cell r="P1529">
            <v>43143</v>
          </cell>
          <cell r="Q1529" t="str">
            <v>AYUDA TEMPORAL A LAS FAMILIAS DE VARIAS LOCALIDADES, PARA RELOCALIZACIÓN DE HOGARES LOCALIZADOS EN ZONAS DE ALTO RIESGO NO MITIGABLE ID:2016-08-14791, LOCALIDAD:08 KENNEDY, UPZ:82 PATIO BONITO, SECTOR:PALMITAS</v>
          </cell>
          <cell r="R1529">
            <v>3201695</v>
          </cell>
          <cell r="S1529">
            <v>1372155</v>
          </cell>
          <cell r="T1529">
            <v>0</v>
          </cell>
          <cell r="U1529">
            <v>1829540</v>
          </cell>
          <cell r="V1529">
            <v>1829540</v>
          </cell>
        </row>
        <row r="1530">
          <cell r="J1530">
            <v>1068</v>
          </cell>
          <cell r="K1530">
            <v>43143</v>
          </cell>
          <cell r="L1530" t="str">
            <v>SANDRA CEILIA ZAMUDIO VARGAS</v>
          </cell>
          <cell r="M1530">
            <v>31</v>
          </cell>
          <cell r="N1530" t="str">
            <v>RESOLUCION</v>
          </cell>
          <cell r="O1530">
            <v>630</v>
          </cell>
          <cell r="P1530">
            <v>43143</v>
          </cell>
          <cell r="Q1530" t="str">
            <v>AYUDA TEMPORAL A LAS FAMILIAS DE VARIAS LOCALIDADES, PARA RELOCALIZACIÓN DE HOGARES LOCALIZADOS EN ZONAS DE ALTO RIESGO NO MITIGABLE ID:2015-Q03-01306, LOCALIDAD:19 CIUDAD BOLÍVAR, UPZ:67 LUCERO, SECTOR:LIMAS</v>
          </cell>
          <cell r="R1530">
            <v>6041906</v>
          </cell>
          <cell r="S1530">
            <v>0</v>
          </cell>
          <cell r="T1530">
            <v>0</v>
          </cell>
          <cell r="U1530">
            <v>6041906</v>
          </cell>
          <cell r="V1530">
            <v>2323810</v>
          </cell>
        </row>
        <row r="1531">
          <cell r="J1531">
            <v>1069</v>
          </cell>
          <cell r="K1531">
            <v>43143</v>
          </cell>
          <cell r="L1531" t="str">
            <v>MARIA ISABEL CUELLAR GOMEZ</v>
          </cell>
          <cell r="M1531">
            <v>31</v>
          </cell>
          <cell r="N1531" t="str">
            <v>RESOLUCION</v>
          </cell>
          <cell r="O1531">
            <v>660</v>
          </cell>
          <cell r="P1531">
            <v>43143</v>
          </cell>
          <cell r="Q1531" t="str">
            <v>AYUDA TEMPORAL A LAS FAMILIAS DE VARIAS LOCALIDADES, PARA RELOCALIZACIÓN DE HOGARES LOCALIZADOS EN ZONAS DE ALTO RIESGO NO MITIGABLE ID:2013-Q09-00152, LOCALIDAD:19 CIUDAD BOLÍVAR, UPZ:67 LUCERO, SECTOR:QUEBRADA TROMPETA</v>
          </cell>
          <cell r="R1531">
            <v>2685291</v>
          </cell>
          <cell r="S1531">
            <v>0</v>
          </cell>
          <cell r="T1531">
            <v>0</v>
          </cell>
          <cell r="U1531">
            <v>2685291</v>
          </cell>
          <cell r="V1531">
            <v>1150839</v>
          </cell>
        </row>
        <row r="1532">
          <cell r="J1532">
            <v>1070</v>
          </cell>
          <cell r="K1532">
            <v>43143</v>
          </cell>
          <cell r="L1532" t="str">
            <v>GLORIA INES SANCHEZ RODRIGUEZ</v>
          </cell>
          <cell r="M1532">
            <v>31</v>
          </cell>
          <cell r="N1532" t="str">
            <v>RESOLUCION</v>
          </cell>
          <cell r="O1532">
            <v>631</v>
          </cell>
          <cell r="P1532">
            <v>43143</v>
          </cell>
          <cell r="Q1532" t="str">
            <v>AYUDA TEMPORAL A LAS FAMILIAS DE VARIAS LOCALIDADES, PARA RELOCALIZACIÓN DE HOGARES LOCALIZADOS EN ZONAS DE ALTO RIESGO NO MITIGABLE ID:2010-5-11596, LOCALIDAD:05 USME, UPZ:57 GRAN YOMASA, SECTOR:OLA INVERNAL 2010 FOPAE</v>
          </cell>
          <cell r="R1532">
            <v>3374280</v>
          </cell>
          <cell r="S1532">
            <v>482040</v>
          </cell>
          <cell r="T1532">
            <v>0</v>
          </cell>
          <cell r="U1532">
            <v>2892240</v>
          </cell>
          <cell r="V1532">
            <v>2892240</v>
          </cell>
        </row>
        <row r="1533">
          <cell r="J1533">
            <v>1071</v>
          </cell>
          <cell r="K1533">
            <v>43143</v>
          </cell>
          <cell r="L1533" t="str">
            <v>YOLANDA  VELASQUEZ SIERRA</v>
          </cell>
          <cell r="M1533">
            <v>31</v>
          </cell>
          <cell r="N1533" t="str">
            <v>RESOLUCION</v>
          </cell>
          <cell r="O1533">
            <v>661</v>
          </cell>
          <cell r="P1533">
            <v>43143</v>
          </cell>
          <cell r="Q1533" t="str">
            <v>AYUDA TEMPORAL A LAS FAMILIAS DE VARIAS LOCALIDADES, PARA RELOCALIZACIÓN DE HOGARES LOCALIZADOS EN ZONAS DE ALTO RIESGO NO MITIGABLE ID:2013-Q21-00478, LOCALIDAD:19 CIUDAD BOLÍVAR, UPZ:67 LUCERO, SECTOR:BRAZO DERECHO DE LIMAS</v>
          </cell>
          <cell r="R1533">
            <v>2582006</v>
          </cell>
          <cell r="S1533">
            <v>368858</v>
          </cell>
          <cell r="T1533">
            <v>0</v>
          </cell>
          <cell r="U1533">
            <v>2213148</v>
          </cell>
          <cell r="V1533">
            <v>2213148</v>
          </cell>
        </row>
        <row r="1534">
          <cell r="J1534">
            <v>1072</v>
          </cell>
          <cell r="K1534">
            <v>43143</v>
          </cell>
          <cell r="L1534" t="str">
            <v>JAIME ALBERTO MOLINA</v>
          </cell>
          <cell r="M1534">
            <v>31</v>
          </cell>
          <cell r="N1534" t="str">
            <v>RESOLUCION</v>
          </cell>
          <cell r="O1534">
            <v>696</v>
          </cell>
          <cell r="P1534">
            <v>43143</v>
          </cell>
          <cell r="Q1534" t="str">
            <v>AYUDA TEMPORAL A LAS FAMILIAS DE VARIAS LOCALIDADES, PARA RELOCALIZACIÓN DE HOGARES LOCALIZADOS EN ZONAS DE ALTO RIESGO NO MITIGABLE ID:2002-4-2657, LOCALIDAD:04 SAN CRISTÓBAL, UPZ:32 SAN BLAS,</v>
          </cell>
          <cell r="R1534">
            <v>5430984</v>
          </cell>
          <cell r="S1534">
            <v>0</v>
          </cell>
          <cell r="T1534">
            <v>0</v>
          </cell>
          <cell r="U1534">
            <v>5430984</v>
          </cell>
          <cell r="V1534">
            <v>2924376</v>
          </cell>
        </row>
        <row r="1535">
          <cell r="J1535">
            <v>1073</v>
          </cell>
          <cell r="K1535">
            <v>43143</v>
          </cell>
          <cell r="L1535" t="str">
            <v>JOSE MIGUEL VILLALOBOS HIGUERA</v>
          </cell>
          <cell r="M1535">
            <v>31</v>
          </cell>
          <cell r="N1535" t="str">
            <v>RESOLUCION</v>
          </cell>
          <cell r="O1535">
            <v>632</v>
          </cell>
          <cell r="P1535">
            <v>43143</v>
          </cell>
          <cell r="Q1535" t="str">
            <v>AYUDA TEMPORAL A LAS FAMILIAS DE VARIAS LOCALIDADES, PARA RELOCALIZACIÓN DE HOGARES LOCALIZADOS EN ZONAS DE ALTO RIESGO NO MITIGABLE ID:2016-08-14794, LOCALIDAD:08 KENNEDY, UPZ:82 PATIO BONITO, SECTOR:PALMITAS</v>
          </cell>
          <cell r="R1535">
            <v>6901440</v>
          </cell>
          <cell r="S1535">
            <v>0</v>
          </cell>
          <cell r="T1535">
            <v>0</v>
          </cell>
          <cell r="U1535">
            <v>6901440</v>
          </cell>
          <cell r="V1535">
            <v>3716160</v>
          </cell>
        </row>
        <row r="1536">
          <cell r="J1536">
            <v>1074</v>
          </cell>
          <cell r="K1536">
            <v>43143</v>
          </cell>
          <cell r="L1536" t="str">
            <v>LUIS AUDICEL MELO MARTIN</v>
          </cell>
          <cell r="M1536">
            <v>31</v>
          </cell>
          <cell r="N1536" t="str">
            <v>RESOLUCION</v>
          </cell>
          <cell r="O1536">
            <v>662</v>
          </cell>
          <cell r="P1536">
            <v>43143</v>
          </cell>
          <cell r="Q1536" t="str">
            <v>AYUDA TEMPORAL A LAS FAMILIAS DE VARIAS LOCALIDADES, PARA RELOCALIZACIÓN DE HOGARES LOCALIZADOS EN ZONAS DE ALTO RIESGO NO MITIGABLE ID:2017-19-14969, LOCALIDAD:19 CIUDAD BOLÍVAR, UPZ:67 LUCERO, SECTOR:LAS MANITAS II</v>
          </cell>
          <cell r="R1536">
            <v>4131218</v>
          </cell>
          <cell r="S1536">
            <v>0</v>
          </cell>
          <cell r="T1536">
            <v>0</v>
          </cell>
          <cell r="U1536">
            <v>4131218</v>
          </cell>
          <cell r="V1536">
            <v>3541044</v>
          </cell>
        </row>
        <row r="1537">
          <cell r="J1537">
            <v>1075</v>
          </cell>
          <cell r="K1537">
            <v>43143</v>
          </cell>
          <cell r="L1537" t="str">
            <v>CARLOS ALBERTO MARTINEZ MORENO</v>
          </cell>
          <cell r="M1537">
            <v>31</v>
          </cell>
          <cell r="N1537" t="str">
            <v>RESOLUCION</v>
          </cell>
          <cell r="O1537">
            <v>697</v>
          </cell>
          <cell r="P1537">
            <v>43143</v>
          </cell>
          <cell r="Q1537" t="str">
            <v>AYUDA TEMPORAL A LAS FAMILIAS DE VARIAS LOCALIDADES, PARA RELOCALIZACIÓN DE HOGARES LOCALIZADOS EN ZONAS DE ALTO RIESGO NO MITIGABLE ID:2014-Q06-01006, LOCALIDAD:19 CIUDAD BOLÍVAR, UPZ:67 LUCERO, SECTOR:QUEBRADA EL INFIERNO</v>
          </cell>
          <cell r="R1537">
            <v>5612893</v>
          </cell>
          <cell r="S1537">
            <v>0</v>
          </cell>
          <cell r="T1537">
            <v>0</v>
          </cell>
          <cell r="U1537">
            <v>5612893</v>
          </cell>
          <cell r="V1537">
            <v>2158805</v>
          </cell>
        </row>
        <row r="1538">
          <cell r="J1538">
            <v>1076</v>
          </cell>
          <cell r="K1538">
            <v>43143</v>
          </cell>
          <cell r="L1538" t="str">
            <v>EDITH  MALAGON RINCON</v>
          </cell>
          <cell r="M1538">
            <v>31</v>
          </cell>
          <cell r="N1538" t="str">
            <v>RESOLUCION</v>
          </cell>
          <cell r="O1538">
            <v>663</v>
          </cell>
          <cell r="P1538">
            <v>43143</v>
          </cell>
          <cell r="Q1538" t="str">
            <v>AYUDA TEMPORAL A LAS FAMILIAS DE VARIAS LOCALIDADES, PARA RELOCALIZACIÓN DE HOGARES LOCALIZADOS EN ZONAS DE ALTO RIESGO NO MITIGABLE ID:2016-08-14829, LOCALIDAD:08 KENNEDY, UPZ:82 PATIO BONITO, SECTOR:PALMITAS</v>
          </cell>
          <cell r="R1538">
            <v>3098410</v>
          </cell>
          <cell r="S1538">
            <v>0</v>
          </cell>
          <cell r="T1538">
            <v>0</v>
          </cell>
          <cell r="U1538">
            <v>3098410</v>
          </cell>
          <cell r="V1538">
            <v>2655780</v>
          </cell>
        </row>
        <row r="1539">
          <cell r="J1539">
            <v>1077</v>
          </cell>
          <cell r="K1539">
            <v>43143</v>
          </cell>
          <cell r="L1539" t="str">
            <v>UBERTO GABRIEL SERPA JIMENEZ</v>
          </cell>
          <cell r="M1539">
            <v>31</v>
          </cell>
          <cell r="N1539" t="str">
            <v>RESOLUCION</v>
          </cell>
          <cell r="O1539">
            <v>633</v>
          </cell>
          <cell r="P1539">
            <v>43143</v>
          </cell>
          <cell r="Q1539" t="str">
            <v>AYUDA TEMPORAL A LAS FAMILIAS DE VARIAS LOCALIDADES, PARA RELOCALIZACIÓN DE HOGARES LOCALIZADOS EN ZONAS DE ALTO RIESGO NO MITIGABLE ID:2016-08-14872, LOCALIDAD:08 KENNEDY, UPZ:82 PATIO BONITO, SECTOR:PALMITAS</v>
          </cell>
          <cell r="R1539">
            <v>5311566</v>
          </cell>
          <cell r="S1539">
            <v>0</v>
          </cell>
          <cell r="T1539">
            <v>0</v>
          </cell>
          <cell r="U1539">
            <v>5311566</v>
          </cell>
          <cell r="V1539">
            <v>4131218</v>
          </cell>
        </row>
        <row r="1540">
          <cell r="J1540">
            <v>1078</v>
          </cell>
          <cell r="K1540">
            <v>43143</v>
          </cell>
          <cell r="L1540" t="str">
            <v>ABELARDO  CHOCO CHIRIVIRO</v>
          </cell>
          <cell r="M1540">
            <v>31</v>
          </cell>
          <cell r="N1540" t="str">
            <v>RESOLUCION</v>
          </cell>
          <cell r="O1540">
            <v>709</v>
          </cell>
          <cell r="P1540">
            <v>43143</v>
          </cell>
          <cell r="Q1540" t="str">
            <v>AYUDA TEMPORAL A LAS FAMILIAS DE VARIAS LOCALIDADES, PARA RELOCALIZACIÓN DE HOGARES LOCALIZADOS EN ZONAS DE ALTO RIESGO NO MITIGABLE ID:2014-W166-046, LOCALIDAD:19 CIUDAD BOLÍVAR, UPZ:68 EL TESORO, SECTOR:WOUNAAN</v>
          </cell>
          <cell r="R1540">
            <v>7202000</v>
          </cell>
          <cell r="S1540">
            <v>0</v>
          </cell>
          <cell r="T1540">
            <v>0</v>
          </cell>
          <cell r="U1540">
            <v>7202000</v>
          </cell>
          <cell r="V1540">
            <v>3878000</v>
          </cell>
        </row>
        <row r="1541">
          <cell r="J1541">
            <v>1079</v>
          </cell>
          <cell r="K1541">
            <v>43143</v>
          </cell>
          <cell r="L1541" t="str">
            <v>ADONAY  ESCALANTE DOMINGUEZ</v>
          </cell>
          <cell r="M1541">
            <v>31</v>
          </cell>
          <cell r="N1541" t="str">
            <v>RESOLUCION</v>
          </cell>
          <cell r="O1541">
            <v>664</v>
          </cell>
          <cell r="P1541">
            <v>43143</v>
          </cell>
          <cell r="Q1541" t="str">
            <v>AYUDA TEMPORAL A LAS FAMILIAS DE VARIAS LOCALIDADES, PARA RELOCALIZACIÓN DE HOGARES LOCALIZADOS EN ZONAS DE ALTO RIESGO NO MITIGABLE ID:2011-19-12824, LOCALIDAD:19 CIUDAD BOLÍVAR, UPZ:68 EL TESORO, SECTOR:QUEBRADA TROMPETA</v>
          </cell>
          <cell r="R1541">
            <v>5291728</v>
          </cell>
          <cell r="S1541">
            <v>0</v>
          </cell>
          <cell r="T1541">
            <v>0</v>
          </cell>
          <cell r="U1541">
            <v>5291728</v>
          </cell>
          <cell r="V1541">
            <v>2849392</v>
          </cell>
        </row>
        <row r="1542">
          <cell r="J1542">
            <v>1080</v>
          </cell>
          <cell r="K1542">
            <v>43143</v>
          </cell>
          <cell r="L1542" t="str">
            <v>AMANDA  GONZALEZ</v>
          </cell>
          <cell r="M1542">
            <v>31</v>
          </cell>
          <cell r="N1542" t="str">
            <v>RESOLUCION</v>
          </cell>
          <cell r="O1542">
            <v>710</v>
          </cell>
          <cell r="P1542">
            <v>43143</v>
          </cell>
          <cell r="Q1542" t="str">
            <v>AYUDA TEMPORAL A LAS FAMILIAS DE VARIAS LOCALIDADES, PARA RELOCALIZACIÓN DE HOGARES LOCALIZADOS EN ZONAS DE ALTO RIESGO NO MITIGABLE ID:2014-Q09-01206, LOCALIDAD:19 CIUDAD BOLÍVAR, UPZ:67 LUCERO, SECTOR:QUEBRADA TROMPETA</v>
          </cell>
          <cell r="R1542">
            <v>3157315</v>
          </cell>
          <cell r="S1542">
            <v>451045</v>
          </cell>
          <cell r="T1542">
            <v>0</v>
          </cell>
          <cell r="U1542">
            <v>2706270</v>
          </cell>
          <cell r="V1542">
            <v>2706270</v>
          </cell>
        </row>
        <row r="1543">
          <cell r="J1543">
            <v>1081</v>
          </cell>
          <cell r="K1543">
            <v>43143</v>
          </cell>
          <cell r="L1543" t="str">
            <v>MATILDE  HERREÑO SUAREZ</v>
          </cell>
          <cell r="M1543">
            <v>31</v>
          </cell>
          <cell r="N1543" t="str">
            <v>RESOLUCION</v>
          </cell>
          <cell r="O1543">
            <v>634</v>
          </cell>
          <cell r="P1543">
            <v>43143</v>
          </cell>
          <cell r="Q1543" t="str">
            <v>AYUDA TEMPORAL A LAS FAMILIAS DE VARIAS LOCALIDADES, PARA RELOCALIZACIÓN DE HOGARES LOCALIZADOS EN ZONAS DE ALTO RIESGO NO MITIGABLE ID:2010-19-12001, LOCALIDAD:19 CIUDAD BOLÍVAR, UPZ:68 EL TESORO, SECTOR:OLA INVERNAL 2010 FOPAE</v>
          </cell>
          <cell r="R1543">
            <v>2582006</v>
          </cell>
          <cell r="S1543">
            <v>0</v>
          </cell>
          <cell r="T1543">
            <v>0</v>
          </cell>
          <cell r="U1543">
            <v>2582006</v>
          </cell>
          <cell r="V1543">
            <v>1475432</v>
          </cell>
        </row>
        <row r="1544">
          <cell r="J1544">
            <v>1082</v>
          </cell>
          <cell r="K1544">
            <v>43143</v>
          </cell>
          <cell r="L1544" t="str">
            <v>YOLANDA  DAZA RAMIREZ</v>
          </cell>
          <cell r="M1544">
            <v>31</v>
          </cell>
          <cell r="N1544" t="str">
            <v>RESOLUCION</v>
          </cell>
          <cell r="O1544">
            <v>698</v>
          </cell>
          <cell r="P1544">
            <v>43143</v>
          </cell>
          <cell r="Q1544" t="str">
            <v>AYUDA TEMPORAL A LAS FAMILIAS DE VARIAS LOCALIDADES, PARA RELOCALIZACIÓN DE HOGARES LOCALIZADOS EN ZONAS DE ALTO RIESGO NO MITIGABLE ID:2016-08-14849, LOCALIDAD:08 KENNEDY, UPZ:82 PATIO BONITO, SECTOR:PALMITAS</v>
          </cell>
          <cell r="R1544">
            <v>7192744</v>
          </cell>
          <cell r="S1544">
            <v>0</v>
          </cell>
          <cell r="T1544">
            <v>0</v>
          </cell>
          <cell r="U1544">
            <v>7192744</v>
          </cell>
          <cell r="V1544">
            <v>2766440</v>
          </cell>
        </row>
        <row r="1545">
          <cell r="J1545">
            <v>1083</v>
          </cell>
          <cell r="K1545">
            <v>43143</v>
          </cell>
          <cell r="L1545" t="str">
            <v>PEDRO MIGUEL GONZALEZ</v>
          </cell>
          <cell r="M1545">
            <v>31</v>
          </cell>
          <cell r="N1545" t="str">
            <v>RESOLUCION</v>
          </cell>
          <cell r="O1545">
            <v>711</v>
          </cell>
          <cell r="P1545">
            <v>43143</v>
          </cell>
          <cell r="Q1545" t="str">
            <v>AYUDA TEMPORAL A LAS FAMILIAS DE VARIAS LOCALIDADES, PARA RELOCALIZACIÓN DE HOGARES LOCALIZADOS EN ZONAS DE ALTO RIESGO NO MITIGABLE ID:2013-Q04-00107, LOCALIDAD:04 SAN CRISTÓBAL, UPZ:51 LOS LIBERTADORES, SECTOR:QUEBRADA VEREJONES</v>
          </cell>
          <cell r="R1545">
            <v>5285280</v>
          </cell>
          <cell r="S1545">
            <v>0</v>
          </cell>
          <cell r="T1545">
            <v>0</v>
          </cell>
          <cell r="U1545">
            <v>5285280</v>
          </cell>
          <cell r="V1545">
            <v>2845920</v>
          </cell>
        </row>
        <row r="1546">
          <cell r="J1546">
            <v>1084</v>
          </cell>
          <cell r="K1546">
            <v>43143</v>
          </cell>
          <cell r="L1546" t="str">
            <v>LUZ GIOVANNA HERNANDEZ GUTIERREZ</v>
          </cell>
          <cell r="M1546">
            <v>31</v>
          </cell>
          <cell r="N1546" t="str">
            <v>RESOLUCION</v>
          </cell>
          <cell r="O1546">
            <v>665</v>
          </cell>
          <cell r="P1546">
            <v>43143</v>
          </cell>
          <cell r="Q1546" t="str">
            <v>AYUDA TEMPORAL A LAS FAMILIAS DE VARIAS LOCALIDADES, PARA RELOCALIZACIÓN DE HOGARES LOCALIZADOS EN ZONAS DE ALTO RIESGO NO MITIGABLE ID:2014-OTR-00951, LOCALIDAD:19 CIUDAD BOLÍVAR, UPZ:67 LUCERO, SECTOR:TABOR ALTALOMA</v>
          </cell>
          <cell r="R1546">
            <v>3112599</v>
          </cell>
          <cell r="S1546">
            <v>444657</v>
          </cell>
          <cell r="T1546">
            <v>0</v>
          </cell>
          <cell r="U1546">
            <v>2667942</v>
          </cell>
          <cell r="V1546">
            <v>2667942</v>
          </cell>
        </row>
        <row r="1547">
          <cell r="J1547">
            <v>1085</v>
          </cell>
          <cell r="K1547">
            <v>43143</v>
          </cell>
          <cell r="L1547" t="str">
            <v>EDGAR GERMAN LEON HERNANDEZ</v>
          </cell>
          <cell r="M1547">
            <v>31</v>
          </cell>
          <cell r="N1547" t="str">
            <v>RESOLUCION</v>
          </cell>
          <cell r="O1547">
            <v>635</v>
          </cell>
          <cell r="P1547">
            <v>43143</v>
          </cell>
          <cell r="Q1547" t="str">
            <v>AYUDA TEMPORAL A LAS FAMILIAS DE VARIAS LOCALIDADES, PARA RELOCALIZACIÓN DE HOGARES LOCALIZADOS EN ZONAS DE ALTO RIESGO NO MITIGABLE ID:2011-19-13539, LOCALIDAD:19 CIUDAD BOLÍVAR, UPZ:68 EL TESORO, SECTOR:</v>
          </cell>
          <cell r="R1547">
            <v>2582006</v>
          </cell>
          <cell r="S1547">
            <v>368858</v>
          </cell>
          <cell r="T1547">
            <v>0</v>
          </cell>
          <cell r="U1547">
            <v>2213148</v>
          </cell>
          <cell r="V1547">
            <v>2213148</v>
          </cell>
        </row>
        <row r="1548">
          <cell r="J1548">
            <v>1086</v>
          </cell>
          <cell r="K1548">
            <v>43143</v>
          </cell>
          <cell r="L1548" t="str">
            <v>JOSE HERESMILDO CRUZ AVILA</v>
          </cell>
          <cell r="M1548">
            <v>31</v>
          </cell>
          <cell r="N1548" t="str">
            <v>RESOLUCION</v>
          </cell>
          <cell r="O1548">
            <v>712</v>
          </cell>
          <cell r="P1548">
            <v>43143</v>
          </cell>
          <cell r="Q1548" t="str">
            <v>AYUDA TEMPORAL A LAS FAMILIAS DE VARIAS LOCALIDADES, PARA RELOCALIZACIÓN DE HOGARES LOCALIZADOS EN ZONAS DE ALTO RIESGO NO MITIGABLE ID:2013000378, LOCALIDAD:19 CIUDAD BOLÍVAR, UPZ:67 LUCERO, SECTOR:PEÑA COLORADA</v>
          </cell>
          <cell r="R1548">
            <v>7170319</v>
          </cell>
          <cell r="S1548">
            <v>0</v>
          </cell>
          <cell r="T1548">
            <v>0</v>
          </cell>
          <cell r="U1548">
            <v>7170319</v>
          </cell>
          <cell r="V1548">
            <v>3860941</v>
          </cell>
        </row>
        <row r="1549">
          <cell r="J1549">
            <v>1087</v>
          </cell>
          <cell r="K1549">
            <v>43143</v>
          </cell>
          <cell r="L1549" t="str">
            <v>LUZ ADRIANA LAGUNA CUELLAR</v>
          </cell>
          <cell r="M1549">
            <v>31</v>
          </cell>
          <cell r="N1549" t="str">
            <v>RESOLUCION</v>
          </cell>
          <cell r="O1549">
            <v>666</v>
          </cell>
          <cell r="P1549">
            <v>43143</v>
          </cell>
          <cell r="Q1549" t="str">
            <v>AYUDA TEMPORAL A LAS FAMILIAS DE VARIAS LOCALIDADES, PARA RELOCALIZACIÓN DE HOGARES LOCALIZADOS EN ZONAS DE ALTO RIESGO NO MITIGABLE ID:2016-Q09-14768, LOCALIDAD:19 CIUDAD BOLÍVAR, UPZ:67 LUCERO, SECTOR:QUEBRADA TROMPETA</v>
          </cell>
          <cell r="R1549">
            <v>5754190</v>
          </cell>
          <cell r="S1549">
            <v>0</v>
          </cell>
          <cell r="T1549">
            <v>0</v>
          </cell>
          <cell r="U1549">
            <v>5754190</v>
          </cell>
          <cell r="V1549">
            <v>3098410</v>
          </cell>
        </row>
        <row r="1550">
          <cell r="J1550">
            <v>1088</v>
          </cell>
          <cell r="K1550">
            <v>43143</v>
          </cell>
          <cell r="L1550" t="str">
            <v>AYDA LUZ PIAMBA MAJIN</v>
          </cell>
          <cell r="M1550">
            <v>31</v>
          </cell>
          <cell r="N1550" t="str">
            <v>RESOLUCION</v>
          </cell>
          <cell r="O1550">
            <v>636</v>
          </cell>
          <cell r="P1550">
            <v>43143</v>
          </cell>
          <cell r="Q1550" t="str">
            <v>AYUDA TEMPORAL A LAS FAMILIAS DE VARIAS LOCALIDADES, PARA RELOCALIZACIÓN DE HOGARES LOCALIZADOS EN ZONAS DE ALTO RIESGO NO MITIGABLE ID:2011-4-13076, LOCALIDAD:04 SAN CRISTÓBAL, UPZ:51 LOS LIBERTADORES, SECTOR:QUEBRADA VEREJONES</v>
          </cell>
          <cell r="R1550">
            <v>2924376</v>
          </cell>
          <cell r="S1550">
            <v>417768</v>
          </cell>
          <cell r="T1550">
            <v>0</v>
          </cell>
          <cell r="U1550">
            <v>2506608</v>
          </cell>
          <cell r="V1550">
            <v>2506608</v>
          </cell>
        </row>
        <row r="1551">
          <cell r="J1551">
            <v>1089</v>
          </cell>
          <cell r="K1551">
            <v>43143</v>
          </cell>
          <cell r="L1551" t="str">
            <v>ARAMINTA  PIÑEROS MARTIN</v>
          </cell>
          <cell r="M1551">
            <v>31</v>
          </cell>
          <cell r="N1551" t="str">
            <v>RESOLUCION</v>
          </cell>
          <cell r="O1551">
            <v>713</v>
          </cell>
          <cell r="P1551">
            <v>43143</v>
          </cell>
          <cell r="Q1551" t="str">
            <v>AYUDA TEMPORAL A LAS FAMILIAS DE VARIAS LOCALIDADES, PARA RELOCALIZACIÓN DE HOGARES LOCALIZADOS EN ZONAS DE ALTO RIESGO NO MITIGABLE ID:2011-5-13039, LOCALIDAD:05 USME, UPZ:56 DANUBIO, SECTOR:</v>
          </cell>
          <cell r="R1551">
            <v>3201695</v>
          </cell>
          <cell r="S1551">
            <v>457385</v>
          </cell>
          <cell r="T1551">
            <v>0</v>
          </cell>
          <cell r="U1551">
            <v>2744310</v>
          </cell>
          <cell r="V1551">
            <v>2744310</v>
          </cell>
        </row>
        <row r="1552">
          <cell r="J1552">
            <v>1090</v>
          </cell>
          <cell r="K1552">
            <v>43143</v>
          </cell>
          <cell r="L1552" t="str">
            <v>FRANCISCO ALBERTO BANDERA MARTINEZ</v>
          </cell>
          <cell r="M1552">
            <v>31</v>
          </cell>
          <cell r="N1552" t="str">
            <v>RESOLUCION</v>
          </cell>
          <cell r="O1552">
            <v>637</v>
          </cell>
          <cell r="P1552">
            <v>43143</v>
          </cell>
          <cell r="Q1552" t="str">
            <v>AYUDA TEMPORAL A LAS FAMILIAS DE VARIAS LOCALIDADES, PARA RELOCALIZACIÓN DE HOGARES LOCALIZADOS EN ZONAS DE ALTO RIESGO NO MITIGABLE ID:2011-4-13552, LOCALIDAD:04 SAN CRISTÓBAL, UPZ:51 LOS LIBERTADORES, SECTOR:QUEBRADA VEREJONES</v>
          </cell>
          <cell r="R1552">
            <v>2582006</v>
          </cell>
          <cell r="S1552">
            <v>368858</v>
          </cell>
          <cell r="T1552">
            <v>0</v>
          </cell>
          <cell r="U1552">
            <v>2213148</v>
          </cell>
          <cell r="V1552">
            <v>2213148</v>
          </cell>
        </row>
        <row r="1553">
          <cell r="J1553">
            <v>1091</v>
          </cell>
          <cell r="K1553">
            <v>43143</v>
          </cell>
          <cell r="L1553" t="str">
            <v>MARLENY  GUTIERREZ SANCHEZ</v>
          </cell>
          <cell r="M1553">
            <v>31</v>
          </cell>
          <cell r="N1553" t="str">
            <v>RESOLUCION</v>
          </cell>
          <cell r="O1553">
            <v>667</v>
          </cell>
          <cell r="P1553">
            <v>43143</v>
          </cell>
          <cell r="Q1553" t="str">
            <v>AYUDA TEMPORAL A LAS FAMILIAS DE VARIAS LOCALIDADES, PARA RELOCALIZACIÓN DE HOGARES LOCALIZADOS EN ZONAS DE ALTO RIESGO NO MITIGABLE ID:2014-OTR-00953, LOCALIDAD:19 CIUDAD BOLÍVAR, UPZ:67 LUCERO, SECTOR:TABOR ALTALOMA</v>
          </cell>
          <cell r="R1553">
            <v>6721000</v>
          </cell>
          <cell r="S1553">
            <v>0</v>
          </cell>
          <cell r="T1553">
            <v>0</v>
          </cell>
          <cell r="U1553">
            <v>6721000</v>
          </cell>
          <cell r="V1553">
            <v>3619000</v>
          </cell>
        </row>
        <row r="1554">
          <cell r="J1554">
            <v>1092</v>
          </cell>
          <cell r="K1554">
            <v>43143</v>
          </cell>
          <cell r="L1554" t="str">
            <v>MIGUEL ANGEL BELTRAN CASTRO</v>
          </cell>
          <cell r="M1554">
            <v>86</v>
          </cell>
          <cell r="N1554" t="str">
            <v>ESCRITURA PUBLICA</v>
          </cell>
          <cell r="O1554">
            <v>714</v>
          </cell>
          <cell r="P1554">
            <v>43143</v>
          </cell>
          <cell r="Q1554" t="str">
            <v>AYUDA TEMPORAL A LAS FAMILIAS DE VARIAS LOCALIDADES, PARA RELOCALIZACIÓN DE HOGARES LOCALIZADOS EN ZONAS DE ALTO RIESGO NO MITIGABLE ID:2014-OTR-01026, LOCALIDAD:19 CIUDAD BOLÍVAR, UPZ:67 LUCERO, SECTOR:TABOR ALTALOMA</v>
          </cell>
          <cell r="R1554">
            <v>3157315</v>
          </cell>
          <cell r="S1554">
            <v>3157315</v>
          </cell>
          <cell r="T1554">
            <v>0</v>
          </cell>
          <cell r="U1554">
            <v>0</v>
          </cell>
          <cell r="V1554">
            <v>0</v>
          </cell>
        </row>
        <row r="1555">
          <cell r="J1555">
            <v>1093</v>
          </cell>
          <cell r="K1555">
            <v>43143</v>
          </cell>
          <cell r="L1555" t="str">
            <v>RUTH  PEREIRA CAMACHO</v>
          </cell>
          <cell r="M1555">
            <v>31</v>
          </cell>
          <cell r="N1555" t="str">
            <v>RESOLUCION</v>
          </cell>
          <cell r="O1555">
            <v>638</v>
          </cell>
          <cell r="P1555">
            <v>43143</v>
          </cell>
          <cell r="Q1555" t="str">
            <v>AYUDA TEMPORAL A LAS FAMILIAS DE VARIAS LOCALIDADES, PARA RELOCALIZACIÓN DE HOGARES LOCALIZADOS EN ZONAS DE ALTO RIESGO NO MITIGABLE ID:2015-Q10-01506, LOCALIDAD:04 SAN CRISTÓBAL, UPZ:51 LOS LIBERTADORES, SECTOR:QUEBRADA VEREJONES</v>
          </cell>
          <cell r="R1555">
            <v>5361707</v>
          </cell>
          <cell r="S1555">
            <v>0</v>
          </cell>
          <cell r="T1555">
            <v>0</v>
          </cell>
          <cell r="U1555">
            <v>5361707</v>
          </cell>
          <cell r="V1555">
            <v>2887073</v>
          </cell>
        </row>
        <row r="1556">
          <cell r="J1556">
            <v>1094</v>
          </cell>
          <cell r="K1556">
            <v>43143</v>
          </cell>
          <cell r="L1556" t="str">
            <v>BLANCA NUBIA RODRIGUEZ CABRERA</v>
          </cell>
          <cell r="M1556">
            <v>31</v>
          </cell>
          <cell r="N1556" t="str">
            <v>RESOLUCION</v>
          </cell>
          <cell r="O1556">
            <v>668</v>
          </cell>
          <cell r="P1556">
            <v>43143</v>
          </cell>
          <cell r="Q1556" t="str">
            <v>AYUDA TEMPORAL A LAS FAMILIAS DE VARIAS LOCALIDADES, PARA RELOCALIZACIÓN DE HOGARES LOCALIZADOS EN ZONAS DE ALTO RIESGO NO MITIGABLE ID:2006-4-8967, LOCALIDAD:04 SAN CRISTÓBAL, UPZ:32 SAN BLAS</v>
          </cell>
          <cell r="R1556">
            <v>5612893</v>
          </cell>
          <cell r="S1556">
            <v>0</v>
          </cell>
          <cell r="T1556">
            <v>0</v>
          </cell>
          <cell r="U1556">
            <v>5612893</v>
          </cell>
          <cell r="V1556">
            <v>3022327</v>
          </cell>
        </row>
        <row r="1557">
          <cell r="J1557">
            <v>1095</v>
          </cell>
          <cell r="K1557">
            <v>43143</v>
          </cell>
          <cell r="L1557" t="str">
            <v>MARIA LUCRECIA LOPEZ TORRES</v>
          </cell>
          <cell r="M1557">
            <v>31</v>
          </cell>
          <cell r="N1557" t="str">
            <v>RESOLUCION</v>
          </cell>
          <cell r="O1557">
            <v>639</v>
          </cell>
          <cell r="P1557">
            <v>43143</v>
          </cell>
          <cell r="Q1557" t="str">
            <v>AYUDA TEMPORAL A LAS FAMILIAS DE VARIAS LOCALIDADES, PARA RELOCALIZACIÓN DE HOGARES LOCALIZADOS EN ZONAS DE ALTO RIESGO NO MITIGABLE ID:2014-Q09-00913, LOCALIDAD:19 CIUDAD BOLÍVAR, UPZ:67 LUCERO, SECTOR:QUEBRADA TROMPETA</v>
          </cell>
          <cell r="R1557">
            <v>3463222</v>
          </cell>
          <cell r="S1557">
            <v>494746</v>
          </cell>
          <cell r="T1557">
            <v>0</v>
          </cell>
          <cell r="U1557">
            <v>2968476</v>
          </cell>
          <cell r="V1557">
            <v>2968476</v>
          </cell>
        </row>
        <row r="1558">
          <cell r="J1558">
            <v>1096</v>
          </cell>
          <cell r="K1558">
            <v>43143</v>
          </cell>
          <cell r="L1558" t="str">
            <v>ADRIANA  ALARCON GIRON</v>
          </cell>
          <cell r="M1558">
            <v>31</v>
          </cell>
          <cell r="N1558" t="str">
            <v>RESOLUCION</v>
          </cell>
          <cell r="O1558">
            <v>699</v>
          </cell>
          <cell r="P1558">
            <v>43143</v>
          </cell>
          <cell r="Q1558" t="str">
            <v>AYUDA TEMPORAL A LAS FAMILIAS DE VARIAS LOCALIDADES, PARA RELOCALIZACIÓN DE HOGARES LOCALIZADOS EN ZONAS DE ALTO RIESGO NO MITIGABLE ID:2012-19-13841, LOCALIDAD:19 CIUDAD BOLÍVAR, UPZ:67 LUCERO,</v>
          </cell>
          <cell r="R1558">
            <v>2887073</v>
          </cell>
          <cell r="S1558">
            <v>0</v>
          </cell>
          <cell r="T1558">
            <v>0</v>
          </cell>
          <cell r="U1558">
            <v>2887073</v>
          </cell>
          <cell r="V1558">
            <v>2062195</v>
          </cell>
        </row>
        <row r="1559">
          <cell r="J1559">
            <v>1097</v>
          </cell>
          <cell r="K1559">
            <v>43143</v>
          </cell>
          <cell r="L1559" t="str">
            <v>OMAR  PRIETO DIAZ</v>
          </cell>
          <cell r="M1559">
            <v>31</v>
          </cell>
          <cell r="N1559" t="str">
            <v>RESOLUCION</v>
          </cell>
          <cell r="O1559">
            <v>669</v>
          </cell>
          <cell r="P1559">
            <v>43143</v>
          </cell>
          <cell r="Q1559" t="str">
            <v>AYUDA TEMPORAL A LAS FAMILIAS DE VARIAS LOCALIDADES, PARA RELOCALIZACIÓN DE HOGARES LOCALIZADOS EN ZONAS DE ALTO RIESGO NO MITIGABLE ID:2013000209, LOCALIDAD:19 CIUDAD BOLÍVAR, UPZ:67 LUCERO, SECTOR:QUEBRADA EL INFIERNO</v>
          </cell>
          <cell r="R1559">
            <v>6713226</v>
          </cell>
          <cell r="S1559">
            <v>0</v>
          </cell>
          <cell r="T1559">
            <v>0</v>
          </cell>
          <cell r="U1559">
            <v>6713226</v>
          </cell>
          <cell r="V1559">
            <v>3614814</v>
          </cell>
        </row>
        <row r="1560">
          <cell r="J1560">
            <v>1098</v>
          </cell>
          <cell r="K1560">
            <v>43143</v>
          </cell>
          <cell r="L1560" t="str">
            <v>MIGUEL ANGEL BELTRAN CASTRO</v>
          </cell>
          <cell r="M1560">
            <v>31</v>
          </cell>
          <cell r="N1560" t="str">
            <v>RESOLUCION</v>
          </cell>
          <cell r="O1560">
            <v>714</v>
          </cell>
          <cell r="P1560">
            <v>43143</v>
          </cell>
          <cell r="Q1560" t="str">
            <v>AYUDA TEMPORAL A LAS FAMILIAS DE VARIAS LOCALIDADES, PARA RELOCALIZACIÓN DE HOGARES LOCALIZADOS EN ZONAS DE ALTO RIESGO NO MITIGABLE ID:2014-OTR-01026, LOCALIDAD:19 CIUDAD BOLÍVAR, UPZ:67 LUCERO, SECTOR:TABOR ALTALOMA</v>
          </cell>
          <cell r="R1560">
            <v>3157315</v>
          </cell>
          <cell r="S1560">
            <v>451045</v>
          </cell>
          <cell r="T1560">
            <v>0</v>
          </cell>
          <cell r="U1560">
            <v>2706270</v>
          </cell>
          <cell r="V1560">
            <v>2706270</v>
          </cell>
        </row>
        <row r="1561">
          <cell r="J1561">
            <v>1099</v>
          </cell>
          <cell r="K1561">
            <v>43143</v>
          </cell>
          <cell r="L1561" t="str">
            <v>LURENCITA  CHAMAPURO PEÑA</v>
          </cell>
          <cell r="M1561">
            <v>31</v>
          </cell>
          <cell r="N1561" t="str">
            <v>RESOLUCION</v>
          </cell>
          <cell r="O1561">
            <v>640</v>
          </cell>
          <cell r="P1561">
            <v>43143</v>
          </cell>
          <cell r="Q1561" t="str">
            <v>AYUDA TEMPORAL A LAS FAMILIAS DE VARIAS LOCALIDADES, PARA RELOCALIZACIÓN DE HOGARES LOCALIZADOS EN ZONAS DE ALTO RIESGO NO MITIGABLE ID:2015-W166-414, LOCALIDAD:19 CIUDAD BOLÍVAR, UPZ:67 LUCERO, SECTOR:WOUNAAN</v>
          </cell>
          <cell r="R1561">
            <v>7706738</v>
          </cell>
          <cell r="S1561">
            <v>0</v>
          </cell>
          <cell r="T1561">
            <v>0</v>
          </cell>
          <cell r="U1561">
            <v>7706738</v>
          </cell>
          <cell r="V1561">
            <v>4149782</v>
          </cell>
        </row>
        <row r="1562">
          <cell r="J1562">
            <v>1100</v>
          </cell>
          <cell r="K1562">
            <v>43143</v>
          </cell>
          <cell r="L1562" t="str">
            <v>MABEL  MONTOYA RAMIREZ</v>
          </cell>
          <cell r="M1562">
            <v>31</v>
          </cell>
          <cell r="N1562" t="str">
            <v>RESOLUCION</v>
          </cell>
          <cell r="O1562">
            <v>670</v>
          </cell>
          <cell r="P1562">
            <v>43143</v>
          </cell>
          <cell r="Q1562" t="str">
            <v>AYUDA TEMPORAL A LAS FAMILIAS DE VARIAS LOCALIDADES, PARA RELOCALIZACIÓN DE HOGARES LOCALIZADOS EN ZONAS DE ALTO RIESGO NO MITIGABLE ID:2007-4-10216, LOCALIDAD:04 SAN CRISTÓBAL, UPZ:32 SAN BLAS</v>
          </cell>
          <cell r="R1562">
            <v>5430984</v>
          </cell>
          <cell r="S1562">
            <v>0</v>
          </cell>
          <cell r="T1562">
            <v>0</v>
          </cell>
          <cell r="U1562">
            <v>5430984</v>
          </cell>
          <cell r="V1562">
            <v>2924376</v>
          </cell>
        </row>
        <row r="1563">
          <cell r="J1563">
            <v>1101</v>
          </cell>
          <cell r="K1563">
            <v>43143</v>
          </cell>
          <cell r="L1563" t="str">
            <v>FRANCY  QUEVEDO DAZA</v>
          </cell>
          <cell r="M1563">
            <v>31</v>
          </cell>
          <cell r="N1563" t="str">
            <v>RESOLUCION</v>
          </cell>
          <cell r="O1563">
            <v>700</v>
          </cell>
          <cell r="P1563">
            <v>43143</v>
          </cell>
          <cell r="Q1563" t="str">
            <v>AYUDA TEMPORAL A LAS FAMILIAS DE VARIAS LOCALIDADES, PARA RELOCALIZACIÓN DE HOGARES LOCALIZADOS EN ZONAS DE ALTO RIESGO NO MITIGABLE ID:2016-08-14852, LOCALIDAD:08 KENNEDY, UPZ:82 PATIO BONITO, SECTOR:PALMITAS</v>
          </cell>
          <cell r="R1563">
            <v>5466487</v>
          </cell>
          <cell r="S1563">
            <v>0</v>
          </cell>
          <cell r="T1563">
            <v>0</v>
          </cell>
          <cell r="U1563">
            <v>5466487</v>
          </cell>
          <cell r="V1563">
            <v>2943493</v>
          </cell>
        </row>
        <row r="1564">
          <cell r="J1564">
            <v>1102</v>
          </cell>
          <cell r="K1564">
            <v>43143</v>
          </cell>
          <cell r="L1564" t="str">
            <v>FLOR MARINA MARTIN PIÑEROS</v>
          </cell>
          <cell r="M1564">
            <v>31</v>
          </cell>
          <cell r="N1564" t="str">
            <v>RESOLUCION</v>
          </cell>
          <cell r="O1564">
            <v>715</v>
          </cell>
          <cell r="P1564">
            <v>43143</v>
          </cell>
          <cell r="Q1564" t="str">
            <v>AYUDA TEMPORAL A LAS FAMILIAS DE VARIAS LOCALIDADES, PARA RELOCALIZACIÓN DE HOGARES LOCALIZADOS EN ZONAS DE ALTO RIESGO NO MITIGABLE ID:2011-5-13083, LOCALIDAD:05 USME, UPZ:56 DANUBIO</v>
          </cell>
          <cell r="R1564">
            <v>3718092</v>
          </cell>
          <cell r="S1564">
            <v>0</v>
          </cell>
          <cell r="T1564">
            <v>0</v>
          </cell>
          <cell r="U1564">
            <v>3718092</v>
          </cell>
          <cell r="V1564">
            <v>1593468</v>
          </cell>
        </row>
        <row r="1565">
          <cell r="J1565">
            <v>1103</v>
          </cell>
          <cell r="K1565">
            <v>43143</v>
          </cell>
          <cell r="L1565" t="str">
            <v>YURY TATIANA VILLALOBOS HIGUERA</v>
          </cell>
          <cell r="M1565">
            <v>31</v>
          </cell>
          <cell r="N1565" t="str">
            <v>RESOLUCION</v>
          </cell>
          <cell r="O1565">
            <v>641</v>
          </cell>
          <cell r="P1565">
            <v>43143</v>
          </cell>
          <cell r="Q1565" t="str">
            <v>AYUDA TEMPORAL A LAS FAMILIAS DE VARIAS LOCALIDADES, PARA RELOCALIZACIÓN DE HOGARES LOCALIZADOS EN ZONAS DE ALTO RIESGO NO MITIGABLE ID:2016-08-14785, LOCALIDAD:08 KENNEDY, UPZ:82 PATIO BONITO, SECTOR:PALMITAS</v>
          </cell>
          <cell r="R1565">
            <v>5946005</v>
          </cell>
          <cell r="S1565">
            <v>0</v>
          </cell>
          <cell r="T1565">
            <v>0</v>
          </cell>
          <cell r="U1565">
            <v>5946005</v>
          </cell>
          <cell r="V1565">
            <v>3201695</v>
          </cell>
        </row>
        <row r="1566">
          <cell r="J1566">
            <v>1104</v>
          </cell>
          <cell r="K1566">
            <v>43143</v>
          </cell>
          <cell r="L1566" t="str">
            <v>GEORGINA  HERNANDEZ</v>
          </cell>
          <cell r="M1566">
            <v>31</v>
          </cell>
          <cell r="N1566" t="str">
            <v>RESOLUCION</v>
          </cell>
          <cell r="O1566">
            <v>716</v>
          </cell>
          <cell r="P1566">
            <v>43143</v>
          </cell>
          <cell r="Q1566" t="str">
            <v>AYUDA TEMPORAL A LAS FAMILIAS DE VARIAS LOCALIDADES, PARA RELOCALIZACIÓN DE HOGARES LOCALIZADOS EN ZONAS DE ALTO RIESGO NO MITIGABLE ID:2013000463, LOCALIDAD:04 SAN CRISTÓBAL, UPZ:51 LOS LIBERTADORES, SECTOR:QUEBRADA VEREJONES</v>
          </cell>
          <cell r="R1566">
            <v>6030557</v>
          </cell>
          <cell r="S1566">
            <v>0</v>
          </cell>
          <cell r="T1566">
            <v>0</v>
          </cell>
          <cell r="U1566">
            <v>6030557</v>
          </cell>
          <cell r="V1566">
            <v>3247223</v>
          </cell>
        </row>
        <row r="1567">
          <cell r="J1567">
            <v>1105</v>
          </cell>
          <cell r="K1567">
            <v>43143</v>
          </cell>
          <cell r="L1567" t="str">
            <v>MARIBEL  GONZALEZ CUBILLOS</v>
          </cell>
          <cell r="M1567">
            <v>31</v>
          </cell>
          <cell r="N1567" t="str">
            <v>RESOLUCION</v>
          </cell>
          <cell r="O1567">
            <v>671</v>
          </cell>
          <cell r="P1567">
            <v>43143</v>
          </cell>
          <cell r="Q1567" t="str">
            <v>AYUDA TEMPORAL A LAS FAMILIAS DE VARIAS LOCALIDADES, PARA RELOCALIZACIÓN DE HOGARES LOCALIZADOS EN ZONAS DE ALTO RIESGO NO MITIGABLE ID:2012-19-13820, LOCALIDAD:19 CIUDAD BOLÍVAR, UPZ:67 LUCERO.</v>
          </cell>
          <cell r="R1567">
            <v>4795154</v>
          </cell>
          <cell r="S1567">
            <v>0</v>
          </cell>
          <cell r="T1567">
            <v>0</v>
          </cell>
          <cell r="U1567">
            <v>4795154</v>
          </cell>
          <cell r="V1567">
            <v>2582006</v>
          </cell>
        </row>
        <row r="1568">
          <cell r="J1568">
            <v>1106</v>
          </cell>
          <cell r="K1568">
            <v>43143</v>
          </cell>
          <cell r="L1568" t="str">
            <v>DIANA DEL PILAR GALINDO GONZALEZ</v>
          </cell>
          <cell r="M1568">
            <v>31</v>
          </cell>
          <cell r="N1568" t="str">
            <v>RESOLUCION</v>
          </cell>
          <cell r="O1568">
            <v>717</v>
          </cell>
          <cell r="P1568">
            <v>43143</v>
          </cell>
          <cell r="Q1568" t="str">
            <v>AYUDA TEMPORAL A LAS FAMILIAS DE VARIAS LOCALIDADES, PARA RELOCALIZACIÓN DE HOGARES LOCALIZADOS EN ZONAS DE ALTO RIESGO NO MITIGABLE ID:2014-OTR-00946, LOCALIDAD:19 CIUDAD BOLÍVAR, UPZ:67 LUCERO, SECTOR:TABOR ALTALOMA</v>
          </cell>
          <cell r="R1568">
            <v>3248007</v>
          </cell>
          <cell r="S1568">
            <v>464001</v>
          </cell>
          <cell r="T1568">
            <v>0</v>
          </cell>
          <cell r="U1568">
            <v>2784006</v>
          </cell>
          <cell r="V1568">
            <v>2784006</v>
          </cell>
        </row>
        <row r="1569">
          <cell r="J1569">
            <v>1107</v>
          </cell>
          <cell r="K1569">
            <v>43143</v>
          </cell>
          <cell r="L1569" t="str">
            <v>JOSUE  MERCAZA PIRAZA</v>
          </cell>
          <cell r="M1569">
            <v>31</v>
          </cell>
          <cell r="N1569" t="str">
            <v>RESOLUCION</v>
          </cell>
          <cell r="O1569">
            <v>642</v>
          </cell>
          <cell r="P1569">
            <v>43143</v>
          </cell>
          <cell r="Q1569" t="str">
            <v>AYUDA TEMPORAL A LAS FAMILIAS DE VARIAS LOCALIDADES, PARA RELOCALIZACIÓN DE HOGARES LOCALIZADOS EN ZONAS DE ALTO RIESGO NO MITIGABLE ID:2014-W166-074, LOCALIDAD:19 CIUDAD BOLÍVAR, UPZ:68 EL TESORO, SECTOR:WOUNAAN</v>
          </cell>
          <cell r="R1569">
            <v>7000929</v>
          </cell>
          <cell r="S1569">
            <v>0</v>
          </cell>
          <cell r="T1569">
            <v>0</v>
          </cell>
          <cell r="U1569">
            <v>7000929</v>
          </cell>
          <cell r="V1569">
            <v>3769731</v>
          </cell>
        </row>
        <row r="1570">
          <cell r="J1570">
            <v>1108</v>
          </cell>
          <cell r="K1570">
            <v>43143</v>
          </cell>
          <cell r="L1570" t="str">
            <v>ANA LIBIA GORDILLO LEON</v>
          </cell>
          <cell r="M1570">
            <v>31</v>
          </cell>
          <cell r="N1570" t="str">
            <v>RESOLUCION</v>
          </cell>
          <cell r="O1570">
            <v>701</v>
          </cell>
          <cell r="P1570">
            <v>43143</v>
          </cell>
          <cell r="Q1570" t="str">
            <v>AYUDA TEMPORAL A LAS FAMILIAS DE VARIAS LOCALIDADES, PARA RELOCALIZACIÓN DE HOGARES LOCALIZADOS EN ZONAS DE ALTO RIESGO NO MITIGABLE ID:2011-4-12719, LOCALIDAD:04 SAN CRISTÓBAL, UPZ:32 SAN BLAS, SECTOR:</v>
          </cell>
          <cell r="R1570">
            <v>3022327</v>
          </cell>
          <cell r="S1570">
            <v>431761</v>
          </cell>
          <cell r="T1570">
            <v>0</v>
          </cell>
          <cell r="U1570">
            <v>2590566</v>
          </cell>
          <cell r="V1570">
            <v>2590566</v>
          </cell>
        </row>
        <row r="1571">
          <cell r="J1571">
            <v>1109</v>
          </cell>
          <cell r="K1571">
            <v>43143</v>
          </cell>
          <cell r="L1571" t="str">
            <v>LUZ MARINA GONZALEZ JUZGA</v>
          </cell>
          <cell r="M1571">
            <v>31</v>
          </cell>
          <cell r="N1571" t="str">
            <v>RESOLUCION</v>
          </cell>
          <cell r="O1571">
            <v>672</v>
          </cell>
          <cell r="P1571">
            <v>43143</v>
          </cell>
          <cell r="Q1571" t="str">
            <v>AYUDA TEMPORAL A LAS FAMILIAS DE VARIAS LOCALIDADES, PARA RELOCALIZACIÓN DE HOGARES LOCALIZADOS EN ZONAS DE ALTO RIESGO NO MITIGABLE ID:2014-Q05-01096, LOCALIDAD:19 CIUDAD BOLÍVAR, UPZ:67 LUCERO, SECTOR:QUEBRADA CAÑO BAÚL</v>
          </cell>
          <cell r="R1571">
            <v>5946005</v>
          </cell>
          <cell r="S1571">
            <v>0</v>
          </cell>
          <cell r="T1571">
            <v>0</v>
          </cell>
          <cell r="U1571">
            <v>5946005</v>
          </cell>
          <cell r="V1571">
            <v>3201695</v>
          </cell>
        </row>
        <row r="1572">
          <cell r="J1572">
            <v>1110</v>
          </cell>
          <cell r="K1572">
            <v>43143</v>
          </cell>
          <cell r="L1572" t="str">
            <v>JULIO CESAR MORENO VARGAS</v>
          </cell>
          <cell r="M1572">
            <v>31</v>
          </cell>
          <cell r="N1572" t="str">
            <v>RESOLUCION</v>
          </cell>
          <cell r="O1572">
            <v>718</v>
          </cell>
          <cell r="P1572">
            <v>43143</v>
          </cell>
          <cell r="Q1572" t="str">
            <v>AYUDA TEMPORAL A LAS FAMILIAS DE VARIAS LOCALIDADES, PARA RELOCALIZACIÓN DE HOGARES LOCALIZADOS EN ZONAS DE ALTO RIESGO NO MITIGABLE ID:2011-4-12664, LOCALIDAD:04 SAN CRISTÓBAL, UPZ:32 SAN BLAS</v>
          </cell>
          <cell r="R1572">
            <v>4795154</v>
          </cell>
          <cell r="S1572">
            <v>0</v>
          </cell>
          <cell r="T1572">
            <v>0</v>
          </cell>
          <cell r="U1572">
            <v>4795154</v>
          </cell>
          <cell r="V1572">
            <v>2582006</v>
          </cell>
        </row>
        <row r="1573">
          <cell r="J1573">
            <v>1111</v>
          </cell>
          <cell r="K1573">
            <v>43143</v>
          </cell>
          <cell r="L1573" t="str">
            <v>LUIS ALEJANDRO ARIAS VANEGAS</v>
          </cell>
          <cell r="M1573">
            <v>31</v>
          </cell>
          <cell r="N1573" t="str">
            <v>RESOLUCION</v>
          </cell>
          <cell r="O1573">
            <v>643</v>
          </cell>
          <cell r="P1573">
            <v>43143</v>
          </cell>
          <cell r="Q1573" t="str">
            <v>AYUDA TEMPORAL A LAS FAMILIAS DE VARIAS LOCALIDADES, PARA RELOCALIZACIÓN DE HOGARES LOCALIZADOS EN ZONAS DE ALTO RIESGO NO MITIGABLE ID:2013-Q10-00668, LOCALIDAD:04 SAN CRISTÓBAL, UPZ:51 LOS LIBERTADORES, SECTOR:QUEBRADA VEREJONES</v>
          </cell>
          <cell r="R1573">
            <v>6530693</v>
          </cell>
          <cell r="S1573">
            <v>0</v>
          </cell>
          <cell r="T1573">
            <v>0</v>
          </cell>
          <cell r="U1573">
            <v>6530693</v>
          </cell>
          <cell r="V1573">
            <v>3516527</v>
          </cell>
        </row>
        <row r="1574">
          <cell r="J1574">
            <v>1112</v>
          </cell>
          <cell r="K1574">
            <v>43143</v>
          </cell>
          <cell r="L1574" t="str">
            <v>GLORIA PATRICIA TANGARIFE GOMEZ</v>
          </cell>
          <cell r="M1574">
            <v>31</v>
          </cell>
          <cell r="N1574" t="str">
            <v>RESOLUCION</v>
          </cell>
          <cell r="O1574">
            <v>673</v>
          </cell>
          <cell r="P1574">
            <v>43143</v>
          </cell>
          <cell r="Q1574" t="str">
            <v>AYUDA TEMPORAL A LAS FAMILIAS DE VARIAS LOCALIDADES, PARA RELOCALIZACIÓN DE HOGARES LOCALIZADOS EN ZONAS DE ALTO RIESGO NO MITIGABLE ID:2015-D227-00027, LOCALIDAD:04 SAN CRISTÓBAL, UPZ:51 LOS LIBERTADORES, SECTOR:SANTA TERESITA</v>
          </cell>
          <cell r="R1574">
            <v>5529355</v>
          </cell>
          <cell r="S1574">
            <v>0</v>
          </cell>
          <cell r="T1574">
            <v>0</v>
          </cell>
          <cell r="U1574">
            <v>5529355</v>
          </cell>
          <cell r="V1574">
            <v>2977345</v>
          </cell>
        </row>
        <row r="1575">
          <cell r="J1575">
            <v>1113</v>
          </cell>
          <cell r="K1575">
            <v>43143</v>
          </cell>
          <cell r="L1575" t="str">
            <v>GLADYS  TRIANA BASTO</v>
          </cell>
          <cell r="M1575">
            <v>31</v>
          </cell>
          <cell r="N1575" t="str">
            <v>RESOLUCION</v>
          </cell>
          <cell r="O1575">
            <v>719</v>
          </cell>
          <cell r="P1575">
            <v>43143</v>
          </cell>
          <cell r="Q1575" t="str">
            <v>AYUDA TEMPORAL A LAS FAMILIAS DE VARIAS LOCALIDADES, PARA RELOCALIZACIÓN DE HOGARES LOCALIZADOS EN ZONAS DE ALTO RIESGO NO MITIGABLE ID:2010-19-12064, LOCALIDAD:19 CIUDAD BOLÍVAR, UPZ:69 ISMAEL PERDOMO, SECTOR:ALTOS DE LA ESTANCIA - OLA INVERNAL 2010 FOPAE</v>
          </cell>
          <cell r="R1575">
            <v>6991062</v>
          </cell>
          <cell r="S1575">
            <v>0</v>
          </cell>
          <cell r="T1575">
            <v>0</v>
          </cell>
          <cell r="U1575">
            <v>6991062</v>
          </cell>
          <cell r="V1575">
            <v>3764418</v>
          </cell>
        </row>
        <row r="1576">
          <cell r="J1576">
            <v>1114</v>
          </cell>
          <cell r="K1576">
            <v>43143</v>
          </cell>
          <cell r="L1576" t="str">
            <v>MARIA CIELITO RINCON GONZALEZ</v>
          </cell>
          <cell r="M1576">
            <v>31</v>
          </cell>
          <cell r="N1576" t="str">
            <v>RESOLUCION</v>
          </cell>
          <cell r="O1576">
            <v>702</v>
          </cell>
          <cell r="P1576">
            <v>43143</v>
          </cell>
          <cell r="Q1576" t="str">
            <v>AYUDA TEMPORAL A LAS FAMILIAS DE VARIAS LOCALIDADES, PARA RELOCALIZACIÓN DE HOGARES LOCALIZADOS EN ZONAS DE ALTO RIESGO NO MITIGABLE ID:2011-4-12663, LOCALIDAD:04 SAN CRISTÓBAL, UPZ:32 SAN BLAS, SECTOR:</v>
          </cell>
          <cell r="R1576">
            <v>5612893</v>
          </cell>
          <cell r="S1576">
            <v>0</v>
          </cell>
          <cell r="T1576">
            <v>0</v>
          </cell>
          <cell r="U1576">
            <v>5612893</v>
          </cell>
          <cell r="V1576">
            <v>3022327</v>
          </cell>
        </row>
        <row r="1577">
          <cell r="J1577">
            <v>1115</v>
          </cell>
          <cell r="K1577">
            <v>43143</v>
          </cell>
          <cell r="L1577" t="str">
            <v>CLAUDIA YANETH GONZALEZ MOYA</v>
          </cell>
          <cell r="M1577">
            <v>31</v>
          </cell>
          <cell r="N1577" t="str">
            <v>RESOLUCION</v>
          </cell>
          <cell r="O1577">
            <v>644</v>
          </cell>
          <cell r="P1577">
            <v>43143</v>
          </cell>
          <cell r="Q1577" t="str">
            <v>AYUDA TEMPORAL A LAS FAMILIAS DE VARIAS LOCALIDADES, PARA RELOCALIZACIÓN DE HOGARES LOCALIZADOS EN ZONAS DE ALTO RIESGO NO MITIGABLE ID:2013-Q10-00574, LOCALIDAD:04 SAN CRISTÓBAL, UPZ:51 LOS LIBERTADORES, SECTOR:QUEBRADA VEREJONES</v>
          </cell>
          <cell r="R1577">
            <v>5285280</v>
          </cell>
          <cell r="S1577">
            <v>0</v>
          </cell>
          <cell r="T1577">
            <v>0</v>
          </cell>
          <cell r="U1577">
            <v>5285280</v>
          </cell>
          <cell r="V1577">
            <v>2845920</v>
          </cell>
        </row>
        <row r="1578">
          <cell r="J1578">
            <v>1116</v>
          </cell>
          <cell r="K1578">
            <v>43143</v>
          </cell>
          <cell r="L1578" t="str">
            <v>ELOINA  NIÑO CARREÑO</v>
          </cell>
          <cell r="M1578">
            <v>31</v>
          </cell>
          <cell r="N1578" t="str">
            <v>RESOLUCION</v>
          </cell>
          <cell r="O1578">
            <v>720</v>
          </cell>
          <cell r="P1578">
            <v>43143</v>
          </cell>
          <cell r="Q1578" t="str">
            <v>AYUDA TEMPORAL A LAS FAMILIAS DE VARIAS LOCALIDADES, PARA RELOCALIZACIÓN DE HOGARES LOCALIZADOS EN ZONAS DE ALTO RIESGO NO MITIGABLE ID:2011-19-12876, LOCALIDAD:19 CIUDAD BOLÍVAR, UPZ:67 LUCERO</v>
          </cell>
          <cell r="R1578">
            <v>6127264</v>
          </cell>
          <cell r="S1578">
            <v>0</v>
          </cell>
          <cell r="T1578">
            <v>0</v>
          </cell>
          <cell r="U1578">
            <v>6127264</v>
          </cell>
          <cell r="V1578">
            <v>3299296</v>
          </cell>
        </row>
        <row r="1579">
          <cell r="J1579">
            <v>1117</v>
          </cell>
          <cell r="K1579">
            <v>43143</v>
          </cell>
          <cell r="L1579" t="str">
            <v>GLORIA EMILDA SANCHEZ SUAREZ</v>
          </cell>
          <cell r="M1579">
            <v>31</v>
          </cell>
          <cell r="N1579" t="str">
            <v>RESOLUCION</v>
          </cell>
          <cell r="O1579">
            <v>674</v>
          </cell>
          <cell r="P1579">
            <v>43143</v>
          </cell>
          <cell r="Q1579" t="str">
            <v>AYUDA TEMPORAL A LAS FAMILIAS DE VARIAS LOCALIDADES, PARA RELOCALIZACIÓN DE HOGARES LOCALIZADOS EN ZONAS DE ALTO RIESGO NO MITIGABLE ID:2016-08-14843, LOCALIDAD:08 KENNEDY, UPZ:82 PATIO BONITO, SECTOR:PALMITAS</v>
          </cell>
          <cell r="R1579">
            <v>7000929</v>
          </cell>
          <cell r="S1579">
            <v>0</v>
          </cell>
          <cell r="T1579">
            <v>0</v>
          </cell>
          <cell r="U1579">
            <v>7000929</v>
          </cell>
          <cell r="V1579">
            <v>3769731</v>
          </cell>
        </row>
        <row r="1580">
          <cell r="J1580">
            <v>1118</v>
          </cell>
          <cell r="K1580">
            <v>43143</v>
          </cell>
          <cell r="L1580" t="str">
            <v>ALEXANDER  ROJAS MOSQUERA</v>
          </cell>
          <cell r="M1580">
            <v>31</v>
          </cell>
          <cell r="N1580" t="str">
            <v>RESOLUCION</v>
          </cell>
          <cell r="O1580">
            <v>721</v>
          </cell>
          <cell r="P1580">
            <v>43143</v>
          </cell>
          <cell r="Q1580" t="str">
            <v>AYUDA TEMPORAL A LAS FAMILIAS DE VARIAS LOCALIDADES, PARA RELOCALIZACIÓN DE HOGARES LOCALIZADOS EN ZONAS DE ALTO RIESGO NO MITIGABLE ID:2012-ALES-18, LOCALIDAD:19 CIUDAD BOLÍVAR, UPZ:69 ISMAEL PERDOMO</v>
          </cell>
          <cell r="R1580">
            <v>6431698</v>
          </cell>
          <cell r="S1580">
            <v>0</v>
          </cell>
          <cell r="T1580">
            <v>0</v>
          </cell>
          <cell r="U1580">
            <v>6431698</v>
          </cell>
          <cell r="V1580">
            <v>3463222</v>
          </cell>
        </row>
        <row r="1581">
          <cell r="J1581">
            <v>1119</v>
          </cell>
          <cell r="K1581">
            <v>43143</v>
          </cell>
          <cell r="L1581" t="str">
            <v>LIBARDO  LONDOÑO ZULUAGA</v>
          </cell>
          <cell r="M1581">
            <v>31</v>
          </cell>
          <cell r="N1581" t="str">
            <v>RESOLUCION</v>
          </cell>
          <cell r="O1581">
            <v>645</v>
          </cell>
          <cell r="P1581">
            <v>43143</v>
          </cell>
          <cell r="Q1581" t="str">
            <v>AYUDA TEMPORAL A LAS FAMILIAS DE VARIAS LOCALIDADES, PARA RELOCALIZACIÓN DE HOGARES LOCALIZADOS EN ZONAS DE ALTO RIESGO NO MITIGABLE ID:2013-Q04-00527, LOCALIDAD:19 CIUDAD BOLÍVAR, UPZ:67 LUCERO, SECTOR:PEÑA COLORADA</v>
          </cell>
          <cell r="R1581">
            <v>3157315</v>
          </cell>
          <cell r="S1581">
            <v>0</v>
          </cell>
          <cell r="T1581">
            <v>0</v>
          </cell>
          <cell r="U1581">
            <v>3157315</v>
          </cell>
          <cell r="V1581">
            <v>1353135</v>
          </cell>
        </row>
        <row r="1582">
          <cell r="J1582">
            <v>1120</v>
          </cell>
          <cell r="K1582">
            <v>43143</v>
          </cell>
          <cell r="L1582" t="str">
            <v>CENAIDA  MORALES</v>
          </cell>
          <cell r="M1582">
            <v>31</v>
          </cell>
          <cell r="N1582" t="str">
            <v>RESOLUCION</v>
          </cell>
          <cell r="O1582">
            <v>675</v>
          </cell>
          <cell r="P1582">
            <v>43143</v>
          </cell>
          <cell r="Q1582" t="str">
            <v>AYUDA TEMPORAL A LAS FAMILIAS DE VARIAS LOCALIDADES, PARA RELOCALIZACIÓN DE HOGARES LOCALIZADOS EN ZONAS DE ALTO RIESGO NO MITIGABLE ID:2007-18-10235, LOCALIDAD:18 RAFAEL URIBE URIBE, UPZ:55 DIANA TURBAY</v>
          </cell>
          <cell r="R1582">
            <v>2677031</v>
          </cell>
          <cell r="S1582">
            <v>0</v>
          </cell>
          <cell r="T1582">
            <v>0</v>
          </cell>
          <cell r="U1582">
            <v>2677031</v>
          </cell>
          <cell r="V1582">
            <v>1147299</v>
          </cell>
        </row>
        <row r="1583">
          <cell r="J1583">
            <v>1121</v>
          </cell>
          <cell r="K1583">
            <v>43143</v>
          </cell>
          <cell r="L1583" t="str">
            <v>LUZ MARINA ASTAIZA AGREDO</v>
          </cell>
          <cell r="M1583">
            <v>31</v>
          </cell>
          <cell r="N1583" t="str">
            <v>RESOLUCION</v>
          </cell>
          <cell r="O1583">
            <v>703</v>
          </cell>
          <cell r="P1583">
            <v>43143</v>
          </cell>
          <cell r="Q1583" t="str">
            <v>AYUDA TEMPORAL A LAS FAMILIAS DE VARIAS LOCALIDADES, PARA RELOCALIZACIÓN DE HOGARES LOCALIZADOS EN ZONAS DE ALTO RIESGO NO MITIGABLE ID:2015-Q10-01457, LOCALIDAD:04 SAN CRISTÓBAL, UPZ:51 LOS LIBERTADORES, SECTOR:QUEBRADA VEREJONES</v>
          </cell>
          <cell r="R1583">
            <v>6032013</v>
          </cell>
          <cell r="S1583">
            <v>0</v>
          </cell>
          <cell r="T1583">
            <v>0</v>
          </cell>
          <cell r="U1583">
            <v>6032013</v>
          </cell>
          <cell r="V1583">
            <v>3248007</v>
          </cell>
        </row>
        <row r="1584">
          <cell r="J1584">
            <v>1122</v>
          </cell>
          <cell r="K1584">
            <v>43143</v>
          </cell>
          <cell r="L1584" t="str">
            <v>ALBA CECILIA AGUIRRE LOPEZ</v>
          </cell>
          <cell r="M1584">
            <v>31</v>
          </cell>
          <cell r="N1584" t="str">
            <v>RESOLUCION</v>
          </cell>
          <cell r="O1584">
            <v>722</v>
          </cell>
          <cell r="P1584">
            <v>43143</v>
          </cell>
          <cell r="Q1584" t="str">
            <v>AYUDA TEMPORAL A LAS FAMILIAS DE VARIAS LOCALIDADES, PARA RELOCALIZACIÓN DE HOGARES LOCALIZADOS EN ZONAS DE ALTO RIESGO NO MITIGABLE ID:2007-19-10333, LOCALIDAD:19 CIUDAD BOLÍVAR, UPZ:67 LUCERO, SECTOR:QUEBRADA HONDA</v>
          </cell>
          <cell r="R1584">
            <v>4943562</v>
          </cell>
          <cell r="S1584">
            <v>0</v>
          </cell>
          <cell r="T1584">
            <v>0</v>
          </cell>
          <cell r="U1584">
            <v>4943562</v>
          </cell>
          <cell r="V1584">
            <v>2661918</v>
          </cell>
        </row>
        <row r="1585">
          <cell r="J1585">
            <v>1123</v>
          </cell>
          <cell r="K1585">
            <v>43143</v>
          </cell>
          <cell r="L1585" t="str">
            <v>YENNY PAOLA DAZA MOTTA</v>
          </cell>
          <cell r="M1585">
            <v>31</v>
          </cell>
          <cell r="N1585" t="str">
            <v>RESOLUCION</v>
          </cell>
          <cell r="O1585">
            <v>646</v>
          </cell>
          <cell r="P1585">
            <v>43143</v>
          </cell>
          <cell r="Q1585" t="str">
            <v>AYUDA TEMPORAL A LAS FAMILIAS DE VARIAS LOCALIDADES, PARA RELOCALIZACIÓN DE HOGARES LOCALIZADOS EN ZONAS DE ALTO RIESGO NO MITIGABLE ID:2014-4-14720, LOCALIDAD:04 SAN CRISTÓBAL, UPZ:32 SAN BLAS, SECTOR:</v>
          </cell>
          <cell r="R1585">
            <v>2685291</v>
          </cell>
          <cell r="S1585">
            <v>383613</v>
          </cell>
          <cell r="T1585">
            <v>0</v>
          </cell>
          <cell r="U1585">
            <v>2301678</v>
          </cell>
          <cell r="V1585">
            <v>2301678</v>
          </cell>
        </row>
        <row r="1586">
          <cell r="J1586">
            <v>1124</v>
          </cell>
          <cell r="K1586">
            <v>43143</v>
          </cell>
          <cell r="L1586" t="str">
            <v>ROSA MARIA MUÑOZ QUISABONI</v>
          </cell>
          <cell r="M1586">
            <v>31</v>
          </cell>
          <cell r="N1586" t="str">
            <v>RESOLUCION</v>
          </cell>
          <cell r="O1586">
            <v>676</v>
          </cell>
          <cell r="P1586">
            <v>43143</v>
          </cell>
          <cell r="Q1586" t="str">
            <v>AYUDA TEMPORAL A LAS FAMILIAS DE VARIAS LOCALIDADES, PARA RELOCALIZACIÓN DE HOGARES LOCALIZADOS EN ZONAS DE ALTO RIESGO NO MITIGABLE ID:2012-18-14308, LOCALIDAD:18 RAFAEL URIBE URIBE, UPZ:55 DIANA TURBAY</v>
          </cell>
          <cell r="R1586">
            <v>3094175</v>
          </cell>
          <cell r="S1586">
            <v>442025</v>
          </cell>
          <cell r="T1586">
            <v>0</v>
          </cell>
          <cell r="U1586">
            <v>2652150</v>
          </cell>
          <cell r="V1586">
            <v>2652150</v>
          </cell>
        </row>
        <row r="1587">
          <cell r="J1587">
            <v>1125</v>
          </cell>
          <cell r="K1587">
            <v>43143</v>
          </cell>
          <cell r="L1587" t="str">
            <v>LUZ NEIDA GARCIA MORA</v>
          </cell>
          <cell r="M1587">
            <v>31</v>
          </cell>
          <cell r="N1587" t="str">
            <v>RESOLUCION</v>
          </cell>
          <cell r="O1587">
            <v>704</v>
          </cell>
          <cell r="P1587">
            <v>43143</v>
          </cell>
          <cell r="Q1587" t="str">
            <v>AYUDA TEMPORAL A LAS FAMILIAS DE VARIAS LOCALIDADES, PARA RELOCALIZACIÓN DE HOGARES LOCALIZADOS EN ZONAS DE ALTO RIESGO NO MITIGABLE ID:2016-08-14795, LOCALIDAD:08 KENNEDY, UPZ:82 PATIO BONITO, SECTOR:PALMITAS</v>
          </cell>
          <cell r="R1587">
            <v>7000929</v>
          </cell>
          <cell r="S1587">
            <v>0</v>
          </cell>
          <cell r="T1587">
            <v>0</v>
          </cell>
          <cell r="U1587">
            <v>7000929</v>
          </cell>
          <cell r="V1587">
            <v>3231198</v>
          </cell>
        </row>
        <row r="1588">
          <cell r="J1588">
            <v>1126</v>
          </cell>
          <cell r="K1588">
            <v>43143</v>
          </cell>
          <cell r="L1588" t="str">
            <v>NELSON  DELGADO LOPEZ</v>
          </cell>
          <cell r="M1588">
            <v>31</v>
          </cell>
          <cell r="N1588" t="str">
            <v>RESOLUCION</v>
          </cell>
          <cell r="O1588">
            <v>723</v>
          </cell>
          <cell r="P1588">
            <v>43143</v>
          </cell>
          <cell r="Q1588" t="str">
            <v>AYUDA TEMPORAL A LAS FAMILIAS DE VARIAS LOCALIDADES, PARA RELOCALIZACIÓN DE HOGARES LOCALIZADOS EN ZONAS DE ALTO RIESGO NO MITIGABLE ID:2014-OTR-00884, LOCALIDAD:03 SANTA FE, UPZ:96 LOURDES, SECTOR:CASA 2</v>
          </cell>
          <cell r="R1588">
            <v>3516527</v>
          </cell>
          <cell r="S1588">
            <v>502361</v>
          </cell>
          <cell r="T1588">
            <v>0</v>
          </cell>
          <cell r="U1588">
            <v>3014166</v>
          </cell>
          <cell r="V1588">
            <v>3014166</v>
          </cell>
        </row>
        <row r="1589">
          <cell r="J1589">
            <v>1127</v>
          </cell>
          <cell r="K1589">
            <v>43143</v>
          </cell>
          <cell r="L1589" t="str">
            <v>ANGELICA  PERDIZ ISMARE</v>
          </cell>
          <cell r="M1589">
            <v>31</v>
          </cell>
          <cell r="N1589" t="str">
            <v>RESOLUCION</v>
          </cell>
          <cell r="O1589">
            <v>647</v>
          </cell>
          <cell r="P1589">
            <v>43143</v>
          </cell>
          <cell r="Q1589" t="str">
            <v>AYUDA TEMPORAL A LAS FAMILIAS DE VARIAS LOCALIDADES, PARA RELOCALIZACIÓN DE HOGARES LOCALIZADOS EN ZONAS DE ALTO RIESGO NO MITIGABLE ID:2015-W166-511, LOCALIDAD:19 CIUDAD BOLÍVAR, UPZ:67 LUCERO, SECTOR:WOUNAAN</v>
          </cell>
          <cell r="R1589">
            <v>7539090</v>
          </cell>
          <cell r="S1589">
            <v>0</v>
          </cell>
          <cell r="T1589">
            <v>0</v>
          </cell>
          <cell r="U1589">
            <v>7539090</v>
          </cell>
          <cell r="V1589">
            <v>4059510</v>
          </cell>
        </row>
        <row r="1590">
          <cell r="J1590">
            <v>1128</v>
          </cell>
          <cell r="K1590">
            <v>43143</v>
          </cell>
          <cell r="L1590" t="str">
            <v>LUIS GREGORIO PEÑA MORA</v>
          </cell>
          <cell r="M1590">
            <v>31</v>
          </cell>
          <cell r="N1590" t="str">
            <v>RESOLUCION</v>
          </cell>
          <cell r="O1590">
            <v>677</v>
          </cell>
          <cell r="P1590">
            <v>43143</v>
          </cell>
          <cell r="Q1590" t="str">
            <v>AYUDA TEMPORAL A LAS FAMILIAS DE VARIAS LOCALIDADES, PARA RELOCALIZACIÓN DE HOGARES LOCALIZADOS EN ZONAS DE ALTO RIESGO NO MITIGABLE ID:2012-18-14365, LOCALIDAD:18 RAFAEL URIBE URIBE, UPZ:55 DIANA TURBAY</v>
          </cell>
          <cell r="R1590">
            <v>5612893</v>
          </cell>
          <cell r="S1590">
            <v>0</v>
          </cell>
          <cell r="T1590">
            <v>0</v>
          </cell>
          <cell r="U1590">
            <v>5612893</v>
          </cell>
          <cell r="V1590">
            <v>3022327</v>
          </cell>
        </row>
        <row r="1591">
          <cell r="J1591">
            <v>1129</v>
          </cell>
          <cell r="K1591">
            <v>43143</v>
          </cell>
          <cell r="L1591" t="str">
            <v>GLADYS  CIFUENTES CASTAÑEDA</v>
          </cell>
          <cell r="M1591">
            <v>31</v>
          </cell>
          <cell r="N1591" t="str">
            <v>RESOLUCION</v>
          </cell>
          <cell r="O1591">
            <v>724</v>
          </cell>
          <cell r="P1591">
            <v>43143</v>
          </cell>
          <cell r="Q1591" t="str">
            <v>AYUDA TEMPORAL A LAS FAMILIAS DE VARIAS LOCALIDADES, PARA RELOCALIZACIÓN DE HOGARES LOCALIZADOS EN ZONAS DE ALTO RIESGO NO MITIGABLE ID:2012-19-14088, LOCALIDAD:19 CIUDAD BOLÍVAR, UPZ:68 EL TESORO, SECTOR:QUEBRADA TROMPETA</v>
          </cell>
          <cell r="R1591">
            <v>2788569</v>
          </cell>
          <cell r="S1591">
            <v>398367</v>
          </cell>
          <cell r="T1591">
            <v>0</v>
          </cell>
          <cell r="U1591">
            <v>2390202</v>
          </cell>
          <cell r="V1591">
            <v>2390202</v>
          </cell>
        </row>
        <row r="1592">
          <cell r="J1592">
            <v>1130</v>
          </cell>
          <cell r="K1592">
            <v>43143</v>
          </cell>
          <cell r="L1592" t="str">
            <v>JAIME ORLANDO CHECA MORA</v>
          </cell>
          <cell r="M1592">
            <v>31</v>
          </cell>
          <cell r="N1592" t="str">
            <v>RESOLUCION</v>
          </cell>
          <cell r="O1592">
            <v>678</v>
          </cell>
          <cell r="P1592">
            <v>43143</v>
          </cell>
          <cell r="Q1592" t="str">
            <v>AYUDA TEMPORAL A LAS FAMILIAS DE VARIAS LOCALIDADES, PARA RELOCALIZACIÓN DE HOGARES LOCALIZADOS EN ZONAS DE ALTO RIESGO NO MITIGABLE ID:2011-4-13653, LOCALIDAD:04 SAN CRISTÓBAL, UPZ:34 20 DE JULIO</v>
          </cell>
          <cell r="R1592">
            <v>2943493</v>
          </cell>
          <cell r="S1592">
            <v>420499</v>
          </cell>
          <cell r="T1592">
            <v>0</v>
          </cell>
          <cell r="U1592">
            <v>2522994</v>
          </cell>
          <cell r="V1592">
            <v>2522994</v>
          </cell>
        </row>
        <row r="1593">
          <cell r="J1593">
            <v>1131</v>
          </cell>
          <cell r="K1593">
            <v>43143</v>
          </cell>
          <cell r="L1593" t="str">
            <v>OLIVERIO  VARGAS GONZALEZ</v>
          </cell>
          <cell r="M1593">
            <v>31</v>
          </cell>
          <cell r="N1593" t="str">
            <v>RESOLUCION</v>
          </cell>
          <cell r="O1593">
            <v>725</v>
          </cell>
          <cell r="P1593">
            <v>43143</v>
          </cell>
          <cell r="Q1593" t="str">
            <v>AYUDA TEMPORAL A LAS FAMILIAS DE VARIAS LOCALIDADES, PARA RELOCALIZACIÓN DE HOGARES LOCALIZADOS EN ZONAS DE ALTO RIESGO NO MITIGABLE ID:2014-Q04-00995, LOCALIDAD:19 CIUDAD BOLÍVAR, UPZ:67 LUCERO, SECTOR:PEÑA COLORADA</v>
          </cell>
          <cell r="R1593">
            <v>3614814</v>
          </cell>
          <cell r="S1593">
            <v>0</v>
          </cell>
          <cell r="T1593">
            <v>0</v>
          </cell>
          <cell r="U1593">
            <v>3614814</v>
          </cell>
          <cell r="V1593">
            <v>1032804</v>
          </cell>
        </row>
        <row r="1594">
          <cell r="J1594">
            <v>1132</v>
          </cell>
          <cell r="K1594">
            <v>43143</v>
          </cell>
          <cell r="L1594" t="str">
            <v>FLORENTINO  BARRERA SUAREZ</v>
          </cell>
          <cell r="M1594">
            <v>31</v>
          </cell>
          <cell r="N1594" t="str">
            <v>RESOLUCION</v>
          </cell>
          <cell r="O1594">
            <v>679</v>
          </cell>
          <cell r="P1594">
            <v>43143</v>
          </cell>
          <cell r="Q1594" t="str">
            <v>AYUDA TEMPORAL A LAS FAMILIAS DE VARIAS LOCALIDADES, PARA RELOCALIZACIÓN DE HOGARES LOCALIZADOS EN ZONAS DE ALTO RIESGO NO MITIGABLE ID:2012-3-14351, LOCALIDAD:03 SANTA FE, UPZ:96 LOURDES</v>
          </cell>
          <cell r="R1594">
            <v>3201695</v>
          </cell>
          <cell r="S1594">
            <v>457385</v>
          </cell>
          <cell r="T1594">
            <v>0</v>
          </cell>
          <cell r="U1594">
            <v>2744310</v>
          </cell>
          <cell r="V1594">
            <v>2744310</v>
          </cell>
        </row>
        <row r="1595">
          <cell r="J1595">
            <v>1133</v>
          </cell>
          <cell r="K1595">
            <v>43143</v>
          </cell>
          <cell r="L1595" t="str">
            <v>NATALI  RIVERA PELAEZ</v>
          </cell>
          <cell r="M1595">
            <v>31</v>
          </cell>
          <cell r="N1595" t="str">
            <v>RESOLUCION</v>
          </cell>
          <cell r="O1595">
            <v>726</v>
          </cell>
          <cell r="P1595">
            <v>43143</v>
          </cell>
          <cell r="Q1595" t="str">
            <v>AYUDA TEMPORAL A LAS FAMILIAS DE VARIAS LOCALIDADES, PARA RELOCALIZACIÓN DE HOGARES LOCALIZADOS EN ZONAS DE ALTO RIESGO NO MITIGABLE ID:2016-08-14792, LOCALIDAD:08 KENNEDY, UPZ:82 PATIO BONITO, SECTOR:PALMITAS</v>
          </cell>
          <cell r="R1595">
            <v>3718092</v>
          </cell>
          <cell r="S1595">
            <v>0</v>
          </cell>
          <cell r="T1595">
            <v>0</v>
          </cell>
          <cell r="U1595">
            <v>3718092</v>
          </cell>
          <cell r="V1595">
            <v>3186936</v>
          </cell>
        </row>
        <row r="1596">
          <cell r="J1596">
            <v>1134</v>
          </cell>
          <cell r="K1596">
            <v>43143</v>
          </cell>
          <cell r="L1596" t="str">
            <v>LINA PAOLA GALINDO ARGUELLO</v>
          </cell>
          <cell r="M1596">
            <v>31</v>
          </cell>
          <cell r="N1596" t="str">
            <v>RESOLUCION</v>
          </cell>
          <cell r="O1596">
            <v>727</v>
          </cell>
          <cell r="P1596">
            <v>43143</v>
          </cell>
          <cell r="Q1596" t="str">
            <v>AYUDA TEMPORAL A LAS FAMILIAS DE VARIAS LOCALIDADES, PARA RELOCALIZACIÓN DE HOGARES LOCALIZADOS EN ZONAS DE ALTO RIESGO NO MITIGABLE ID:2015-4-14738, LOCALIDAD:04 SAN CRISTÓBAL, UPZ:32 SAN BLAS</v>
          </cell>
          <cell r="R1596">
            <v>6533774</v>
          </cell>
          <cell r="S1596">
            <v>0</v>
          </cell>
          <cell r="T1596">
            <v>0</v>
          </cell>
          <cell r="U1596">
            <v>6533774</v>
          </cell>
          <cell r="V1596">
            <v>3518186</v>
          </cell>
        </row>
        <row r="1597">
          <cell r="J1597">
            <v>1135</v>
          </cell>
          <cell r="K1597">
            <v>43143</v>
          </cell>
          <cell r="L1597" t="str">
            <v>FLORENCIO  FORERO ARTEAGA</v>
          </cell>
          <cell r="M1597">
            <v>31</v>
          </cell>
          <cell r="N1597" t="str">
            <v>RESOLUCION</v>
          </cell>
          <cell r="O1597">
            <v>728</v>
          </cell>
          <cell r="P1597">
            <v>43143</v>
          </cell>
          <cell r="Q1597" t="str">
            <v>AYUDA TEMPORAL A LAS FAMILIAS DE VARIAS LOCALIDADES, PARA RELOCALIZACIÓN DE HOGARES LOCALIZADOS EN ZONAS DE ALTO RIESGO NO MITIGABLE ID:2011-19-12836, LOCALIDAD:19 CIUDAD BOLÍVAR, UPZ:67 LUCERO, SECTOR:LIMAS</v>
          </cell>
          <cell r="R1597">
            <v>3873016</v>
          </cell>
          <cell r="S1597">
            <v>0</v>
          </cell>
          <cell r="T1597">
            <v>0</v>
          </cell>
          <cell r="U1597">
            <v>3873016</v>
          </cell>
          <cell r="V1597">
            <v>2766440</v>
          </cell>
        </row>
        <row r="1598">
          <cell r="J1598">
            <v>1136</v>
          </cell>
          <cell r="K1598">
            <v>43143</v>
          </cell>
          <cell r="L1598" t="str">
            <v>ROBERTO  DUQUE ARCIA</v>
          </cell>
          <cell r="M1598">
            <v>31</v>
          </cell>
          <cell r="N1598" t="str">
            <v>RESOLUCION</v>
          </cell>
          <cell r="O1598">
            <v>729</v>
          </cell>
          <cell r="P1598">
            <v>43143</v>
          </cell>
          <cell r="Q1598" t="str">
            <v>AYUDA TEMPORAL A LAS FAMILIAS DE VARIAS LOCALIDADES, PARA RELOCALIZACIÓN DE HOGARES LOCALIZADOS EN ZONAS DE ALTO RIESGO NO MITIGABLE ID:2003-19-5298, LOCALIDAD:19 CIUDAD BOLÍVAR, UPZ:69 ISMAEL PERDOMO, SECTOR:ALTOS DE LA ESTANCIA</v>
          </cell>
          <cell r="R1598">
            <v>2685291</v>
          </cell>
          <cell r="S1598">
            <v>0</v>
          </cell>
          <cell r="T1598">
            <v>0</v>
          </cell>
          <cell r="U1598">
            <v>2685291</v>
          </cell>
          <cell r="V1598">
            <v>1150839</v>
          </cell>
        </row>
        <row r="1599">
          <cell r="J1599">
            <v>1137</v>
          </cell>
          <cell r="K1599">
            <v>43143</v>
          </cell>
          <cell r="L1599" t="str">
            <v>CLAUDIA PATRICIA SANCHEZ ESCOBAR</v>
          </cell>
          <cell r="M1599">
            <v>31</v>
          </cell>
          <cell r="N1599" t="str">
            <v>RESOLUCION</v>
          </cell>
          <cell r="O1599">
            <v>730</v>
          </cell>
          <cell r="P1599">
            <v>43143</v>
          </cell>
          <cell r="Q1599" t="str">
            <v>AYUDA TEMPORAL A LAS FAMILIAS DE VARIAS LOCALIDADES, PARA RELOCALIZACIÓN DE HOGARES LOCALIZADOS EN ZONAS DE ALTO RIESGO NO MITIGABLE ID:2013-Q04-00233, LOCALIDAD:04 SAN CRISTÓBAL, UPZ:51 LOS LIBERTADORES, SECTOR:QUEBRADA VEREJONES</v>
          </cell>
          <cell r="R1599">
            <v>6713226</v>
          </cell>
          <cell r="S1599">
            <v>0</v>
          </cell>
          <cell r="T1599">
            <v>0</v>
          </cell>
          <cell r="U1599">
            <v>6713226</v>
          </cell>
          <cell r="V1599">
            <v>3614814</v>
          </cell>
        </row>
        <row r="1600">
          <cell r="J1600">
            <v>1138</v>
          </cell>
          <cell r="K1600">
            <v>43143</v>
          </cell>
          <cell r="L1600" t="str">
            <v>ANA JOAQUINA PARDO PARDO</v>
          </cell>
          <cell r="M1600">
            <v>31</v>
          </cell>
          <cell r="N1600" t="str">
            <v>RESOLUCION</v>
          </cell>
          <cell r="O1600">
            <v>731</v>
          </cell>
          <cell r="P1600">
            <v>43143</v>
          </cell>
          <cell r="Q1600" t="str">
            <v>AYUDA TEMPORAL A LAS FAMILIAS DE VARIAS LOCALIDADES, PARA RELOCALIZACIÓN DE HOGARES LOCALIZADOS EN ZONAS DE ALTO RIESGO NO MITIGABLE ID:2015-Q20-01330, LOCALIDAD:04 SAN CRISTÓBAL, UPZ:50 LA GLORIA, SECTOR:LA CHIGUAZA</v>
          </cell>
          <cell r="R1600">
            <v>2788569</v>
          </cell>
          <cell r="S1600">
            <v>0</v>
          </cell>
          <cell r="T1600">
            <v>0</v>
          </cell>
          <cell r="U1600">
            <v>2788569</v>
          </cell>
          <cell r="V1600">
            <v>2390202</v>
          </cell>
        </row>
        <row r="1601">
          <cell r="J1601">
            <v>1139</v>
          </cell>
          <cell r="K1601">
            <v>43143</v>
          </cell>
          <cell r="L1601" t="str">
            <v>CARMEN ROSA POVEDA CAMACHO</v>
          </cell>
          <cell r="M1601">
            <v>31</v>
          </cell>
          <cell r="N1601" t="str">
            <v>RESOLUCION</v>
          </cell>
          <cell r="O1601">
            <v>732</v>
          </cell>
          <cell r="P1601">
            <v>43143</v>
          </cell>
          <cell r="Q1601" t="str">
            <v>AYUDA TEMPORAL A LAS FAMILIAS DE VARIAS LOCALIDADES, PARA RELOCALIZACIÓN DE HOGARES LOCALIZADOS EN ZONAS DE ALTO RIESGO NO MITIGABLE ID:2014-Q07-00795, LOCALIDAD:19 CIUDAD BOLÍVAR, UPZ:68 EL TESORO, SECTOR:QUEBRADA GALINDO</v>
          </cell>
          <cell r="R1601">
            <v>3330061</v>
          </cell>
          <cell r="S1601">
            <v>3330061</v>
          </cell>
          <cell r="T1601">
            <v>0</v>
          </cell>
          <cell r="U1601">
            <v>0</v>
          </cell>
          <cell r="V1601">
            <v>0</v>
          </cell>
        </row>
        <row r="1602">
          <cell r="J1602">
            <v>1140</v>
          </cell>
          <cell r="K1602">
            <v>43143</v>
          </cell>
          <cell r="L1602" t="str">
            <v>HILDA LEONOR HIDALGO URREGO</v>
          </cell>
          <cell r="M1602">
            <v>31</v>
          </cell>
          <cell r="N1602" t="str">
            <v>RESOLUCION</v>
          </cell>
          <cell r="O1602">
            <v>733</v>
          </cell>
          <cell r="P1602">
            <v>43143</v>
          </cell>
          <cell r="Q1602" t="str">
            <v>AYUDA TEMPORAL A LAS FAMILIAS DE VARIAS LOCALIDADES, PARA RELOCALIZACIÓN DE HOGARES LOCALIZADOS EN ZONAS DE ALTO RIESGO NO MITIGABLE ID:2012-19-14580, LOCALIDAD:19 CIUDAD BOLÍVAR, UPZ:68 EL TESORO, SECTOR:QUEBRADA TROMPETA</v>
          </cell>
          <cell r="R1602">
            <v>3570210</v>
          </cell>
          <cell r="S1602">
            <v>510030</v>
          </cell>
          <cell r="T1602">
            <v>0</v>
          </cell>
          <cell r="U1602">
            <v>3060180</v>
          </cell>
          <cell r="V1602">
            <v>3060180</v>
          </cell>
        </row>
        <row r="1603">
          <cell r="J1603">
            <v>1141</v>
          </cell>
          <cell r="K1603">
            <v>43143</v>
          </cell>
          <cell r="L1603" t="str">
            <v>EVARISTO  HEREDIA CAMACHO</v>
          </cell>
          <cell r="M1603">
            <v>31</v>
          </cell>
          <cell r="N1603" t="str">
            <v>RESOLUCION</v>
          </cell>
          <cell r="O1603">
            <v>734</v>
          </cell>
          <cell r="P1603">
            <v>43143</v>
          </cell>
          <cell r="Q1603" t="str">
            <v>AYUDA TEMPORAL A LAS FAMILIAS DE VARIAS LOCALIDADES, PARA RELOCALIZACIÓN DE HOGARES LOCALIZADOS EN ZONAS DE ALTO RIESGO NO MITIGABLE ID:2010-18-12318, LOCALIDAD:18 RAFAEL URIBE URIBE, UPZ:55 DIANA TURBAY, SECTOR:OLA INVERNAL 2010 FOPAE</v>
          </cell>
          <cell r="R1603">
            <v>3263008</v>
          </cell>
          <cell r="S1603">
            <v>932288</v>
          </cell>
          <cell r="T1603">
            <v>0</v>
          </cell>
          <cell r="U1603">
            <v>2330720</v>
          </cell>
          <cell r="V1603">
            <v>2330720</v>
          </cell>
        </row>
        <row r="1604">
          <cell r="J1604">
            <v>1142</v>
          </cell>
          <cell r="K1604">
            <v>43143</v>
          </cell>
          <cell r="L1604" t="str">
            <v>EVANGELISTA  ARDILA QUIROGA</v>
          </cell>
          <cell r="M1604">
            <v>31</v>
          </cell>
          <cell r="N1604" t="str">
            <v>RESOLUCION</v>
          </cell>
          <cell r="O1604">
            <v>705</v>
          </cell>
          <cell r="P1604">
            <v>43143</v>
          </cell>
          <cell r="Q1604" t="str">
            <v>AYUDA TEMPORAL A LAS FAMILIAS DE VARIAS LOCALIDADES, PARA RELOCALIZACIÓN DE HOGARES LOCALIZADOS EN ZONAS DE ALTO RIESGO NO MITIGABLE ID:2012-19-14220, LOCALIDAD:19 CIUDAD BOLÍVAR, UPZ:68 EL TESORO, SECTOR:QUEBRADA TROMPETA</v>
          </cell>
          <cell r="R1604">
            <v>2685291</v>
          </cell>
          <cell r="S1604">
            <v>383613</v>
          </cell>
          <cell r="T1604">
            <v>0</v>
          </cell>
          <cell r="U1604">
            <v>2301678</v>
          </cell>
          <cell r="V1604">
            <v>2301678</v>
          </cell>
        </row>
        <row r="1605">
          <cell r="J1605">
            <v>1143</v>
          </cell>
          <cell r="K1605">
            <v>43143</v>
          </cell>
          <cell r="L1605" t="str">
            <v>MARIA DEL CARMEN CEPEDA DE MORENO</v>
          </cell>
          <cell r="M1605">
            <v>31</v>
          </cell>
          <cell r="N1605" t="str">
            <v>RESOLUCION</v>
          </cell>
          <cell r="O1605">
            <v>735</v>
          </cell>
          <cell r="P1605">
            <v>43143</v>
          </cell>
          <cell r="Q1605" t="str">
            <v>AYUDA TEMPORAL A LAS FAMILIAS DE VARIAS LOCALIDADES, PARA RELOCALIZACIÓN DE HOGARES LOCALIZADOS EN ZONAS DE ALTO RIESGO NO MITIGABLE ID:2015-D227-00052, LOCALIDAD:04 SAN CRISTÓBAL, UPZ:51 LOS LIBERTADORES, SECTOR:SANTA TERESITA</v>
          </cell>
          <cell r="R1605">
            <v>3041416</v>
          </cell>
          <cell r="S1605">
            <v>0</v>
          </cell>
          <cell r="T1605">
            <v>0</v>
          </cell>
          <cell r="U1605">
            <v>3041416</v>
          </cell>
          <cell r="V1605">
            <v>2661239</v>
          </cell>
        </row>
        <row r="1606">
          <cell r="J1606">
            <v>1144</v>
          </cell>
          <cell r="K1606">
            <v>43143</v>
          </cell>
          <cell r="L1606" t="str">
            <v>LAURENCIO  REYES SANABRIA</v>
          </cell>
          <cell r="M1606">
            <v>31</v>
          </cell>
          <cell r="N1606" t="str">
            <v>RESOLUCION</v>
          </cell>
          <cell r="O1606">
            <v>736</v>
          </cell>
          <cell r="P1606">
            <v>43143</v>
          </cell>
          <cell r="Q1606" t="str">
            <v>AYUDA TEMPORAL A LAS FAMILIAS DE VARIAS LOCALIDADES, PARA RELOCALIZACIÓN DE HOGARES LOCALIZADOS EN ZONAS DE ALTO RIESGO NO MITIGABLE ID:2015-OTR-01477, LOCALIDAD:19 CIUDAD BOLÍVAR, UPZ:67 LUCERO, SECTOR:TABOR ALTALOMA</v>
          </cell>
          <cell r="R1606">
            <v>3608360</v>
          </cell>
          <cell r="S1606">
            <v>0</v>
          </cell>
          <cell r="T1606">
            <v>0</v>
          </cell>
          <cell r="U1606">
            <v>3608360</v>
          </cell>
          <cell r="V1606">
            <v>3157315</v>
          </cell>
        </row>
        <row r="1607">
          <cell r="J1607">
            <v>1145</v>
          </cell>
          <cell r="K1607">
            <v>43143</v>
          </cell>
          <cell r="L1607" t="str">
            <v>CONCEPCION  TOVAR MUÑOZ</v>
          </cell>
          <cell r="M1607">
            <v>31</v>
          </cell>
          <cell r="N1607" t="str">
            <v>RESOLUCION</v>
          </cell>
          <cell r="O1607">
            <v>706</v>
          </cell>
          <cell r="P1607">
            <v>43143</v>
          </cell>
          <cell r="Q1607" t="str">
            <v>AYUDA TEMPORAL A LAS FAMILIAS DE VARIAS LOCALIDADES, PARA RELOCALIZACIÓN DE HOGARES LOCALIZADOS EN ZONAS DE ALTO RIESGO NO MITIGABLE ID:2011-5-12895, LOCALIDAD:05 USME, UPZ:61 CIUDAD DE USME, SECTOR:</v>
          </cell>
          <cell r="R1607">
            <v>3374280</v>
          </cell>
          <cell r="S1607">
            <v>482040</v>
          </cell>
          <cell r="T1607">
            <v>0</v>
          </cell>
          <cell r="U1607">
            <v>2892240</v>
          </cell>
          <cell r="V1607">
            <v>2892240</v>
          </cell>
        </row>
        <row r="1608">
          <cell r="J1608">
            <v>1146</v>
          </cell>
          <cell r="K1608">
            <v>43143</v>
          </cell>
          <cell r="L1608" t="str">
            <v>ROSA GLORIA CARDENAS MORA</v>
          </cell>
          <cell r="M1608">
            <v>31</v>
          </cell>
          <cell r="N1608" t="str">
            <v>RESOLUCION</v>
          </cell>
          <cell r="O1608">
            <v>707</v>
          </cell>
          <cell r="P1608">
            <v>43143</v>
          </cell>
          <cell r="Q1608" t="str">
            <v>AYUDA TEMPORAL A LAS FAMILIAS DE VARIAS LOCALIDADES, PARA RELOCALIZACIÓN DE HOGARES LOCALIZADOS EN ZONAS DE ALTO RIESGO NO MITIGABLE ID:2011-19-13484, LOCALIDAD:19 CIUDAD BOLÍVAR, UPZ:68 EL TESORO, SECTOR:</v>
          </cell>
          <cell r="R1608">
            <v>6530693</v>
          </cell>
          <cell r="S1608">
            <v>0</v>
          </cell>
          <cell r="T1608">
            <v>0</v>
          </cell>
          <cell r="U1608">
            <v>6530693</v>
          </cell>
          <cell r="V1608">
            <v>3516527</v>
          </cell>
        </row>
        <row r="1609">
          <cell r="J1609">
            <v>1147</v>
          </cell>
          <cell r="K1609">
            <v>43143</v>
          </cell>
          <cell r="L1609" t="str">
            <v>JONATHAN JULIAN GUZMAN RODRIGUEZ</v>
          </cell>
          <cell r="M1609">
            <v>31</v>
          </cell>
          <cell r="N1609" t="str">
            <v>RESOLUCION</v>
          </cell>
          <cell r="O1609">
            <v>695</v>
          </cell>
          <cell r="P1609">
            <v>43143</v>
          </cell>
          <cell r="Q1609" t="str">
            <v>AYUDA TEMPORAL A LAS FAMILIAS DE VARIAS LOCALIDADES, PARA RELOCALIZACIÓN DE HOGARES LOCALIZADOS EN ZONAS DE ALTO RIESGO NO MITIGABLE ID:2013-Q04-00277, LOCALIDAD:19 CIUDAD BOLÍVAR, UPZ:67 LUCERO, SECTOR:PEÑA COLORADA</v>
          </cell>
          <cell r="R1609">
            <v>3046771</v>
          </cell>
          <cell r="S1609">
            <v>435253</v>
          </cell>
          <cell r="T1609">
            <v>0</v>
          </cell>
          <cell r="U1609">
            <v>2611518</v>
          </cell>
          <cell r="V1609">
            <v>2611518</v>
          </cell>
        </row>
        <row r="1610">
          <cell r="J1610">
            <v>1148</v>
          </cell>
          <cell r="K1610">
            <v>43143</v>
          </cell>
          <cell r="L1610" t="str">
            <v>ROSA ELENA ARIAS ARIAS</v>
          </cell>
          <cell r="M1610">
            <v>31</v>
          </cell>
          <cell r="N1610" t="str">
            <v>RESOLUCION</v>
          </cell>
          <cell r="O1610">
            <v>812</v>
          </cell>
          <cell r="P1610">
            <v>43143</v>
          </cell>
          <cell r="Q1610" t="str">
            <v>AYUDA TEMPORAL A LAS FAMILIAS DE VARIAS LOCALIDADES, PARA RELOCALIZACIÓN DE HOGARES LOCALIZADOS EN ZONAS DE ALTO RIESGO NO MITIGABLE ID:2015-OTR-01535, LOCALIDAD:05 USME, UPZ:52 LA FLORA, SECTOR:</v>
          </cell>
          <cell r="R1610">
            <v>2977086</v>
          </cell>
          <cell r="S1610">
            <v>0</v>
          </cell>
          <cell r="T1610">
            <v>0</v>
          </cell>
          <cell r="U1610">
            <v>2977086</v>
          </cell>
          <cell r="V1610">
            <v>1488543</v>
          </cell>
        </row>
        <row r="1611">
          <cell r="J1611">
            <v>1149</v>
          </cell>
          <cell r="K1611">
            <v>43143</v>
          </cell>
          <cell r="L1611" t="str">
            <v>JULIO WILCHEZ GUERRERO GONZALEZ</v>
          </cell>
          <cell r="M1611">
            <v>31</v>
          </cell>
          <cell r="N1611" t="str">
            <v>RESOLUCION</v>
          </cell>
          <cell r="O1611">
            <v>813</v>
          </cell>
          <cell r="P1611">
            <v>43143</v>
          </cell>
          <cell r="Q1611" t="str">
            <v>AYUDA TEMPORAL A LAS FAMILIAS DE VARIAS LOCALIDADES, PARA RELOCALIZACIÓN DE HOGARES LOCALIZADOS EN ZONAS DE ALTO RIESGO NO MITIGABLE ID:2011-5-13263, LOCALIDAD:05 USME, UPZ:56 DANUBIO, SECTOR:</v>
          </cell>
          <cell r="R1611">
            <v>2482374</v>
          </cell>
          <cell r="S1611">
            <v>413729</v>
          </cell>
          <cell r="T1611">
            <v>0</v>
          </cell>
          <cell r="U1611">
            <v>2068645</v>
          </cell>
          <cell r="V1611">
            <v>2068645</v>
          </cell>
        </row>
        <row r="1612">
          <cell r="J1612">
            <v>1150</v>
          </cell>
          <cell r="K1612">
            <v>43143</v>
          </cell>
          <cell r="L1612" t="str">
            <v>JOHAN STIVEN DIAZ POSADA</v>
          </cell>
          <cell r="M1612">
            <v>31</v>
          </cell>
          <cell r="N1612" t="str">
            <v>RESOLUCION</v>
          </cell>
          <cell r="O1612">
            <v>814</v>
          </cell>
          <cell r="P1612">
            <v>43143</v>
          </cell>
          <cell r="Q1612" t="str">
            <v>AYUDA TEMPORAL A LAS FAMILIAS DE VARIAS LOCALIDADES, PARA RELOCALIZACIÓN DE HOGARES LOCALIZADOS EN ZONAS DE ALTO RIESGO NO MITIGABLE ID:2012-18-14525, LOCALIDAD:18 RAFAEL URIBE URIBE, UPZ:55 DIANA TURBAY, SECTOR:</v>
          </cell>
          <cell r="R1612">
            <v>2590566</v>
          </cell>
          <cell r="S1612">
            <v>431761</v>
          </cell>
          <cell r="T1612">
            <v>0</v>
          </cell>
          <cell r="U1612">
            <v>2158805</v>
          </cell>
          <cell r="V1612">
            <v>2158805</v>
          </cell>
        </row>
        <row r="1613">
          <cell r="J1613">
            <v>1151</v>
          </cell>
          <cell r="K1613">
            <v>43143</v>
          </cell>
          <cell r="L1613" t="str">
            <v>CARMEN ELISA ORTIZ REYES</v>
          </cell>
          <cell r="M1613">
            <v>31</v>
          </cell>
          <cell r="N1613" t="str">
            <v>RESOLUCION</v>
          </cell>
          <cell r="O1613">
            <v>815</v>
          </cell>
          <cell r="P1613">
            <v>43143</v>
          </cell>
          <cell r="Q1613" t="str">
            <v>AYUDA TEMPORAL A LAS FAMILIAS DE VARIAS LOCALIDADES, PARA RELOCALIZACIÓN DE HOGARES LOCALIZADOS EN ZONAS DE ALTO RIESGO NO MITIGABLE ID:2012-19-14579, LOCALIDAD:19 CIUDAD BOLÍVAR, UPZ:68 EL TESORO, SECTOR:QUEBRADA TROMPETA</v>
          </cell>
          <cell r="R1613">
            <v>4062460</v>
          </cell>
          <cell r="S1613">
            <v>0</v>
          </cell>
          <cell r="T1613">
            <v>0</v>
          </cell>
          <cell r="U1613">
            <v>4062460</v>
          </cell>
          <cell r="V1613">
            <v>2437476</v>
          </cell>
        </row>
        <row r="1614">
          <cell r="J1614">
            <v>1152</v>
          </cell>
          <cell r="K1614">
            <v>43143</v>
          </cell>
          <cell r="L1614" t="str">
            <v>LEIDY  CRUZ INFANTE</v>
          </cell>
          <cell r="M1614">
            <v>31</v>
          </cell>
          <cell r="N1614" t="str">
            <v>RESOLUCION</v>
          </cell>
          <cell r="O1614">
            <v>816</v>
          </cell>
          <cell r="P1614">
            <v>43143</v>
          </cell>
          <cell r="Q1614" t="str">
            <v>AYUDA TEMPORAL A LAS FAMILIAS DE VARIAS LOCALIDADES, PARA RELOCALIZACIÓN DE HOGARES LOCALIZADOS EN ZONAS DE ALTO RIESGO NO MITIGABLE ID:2015-OTR-01539, LOCALIDAD:18 RAFAEL URIBE URIBE, UPZ:55 DIANA TURBAY, SECTOR:CERROS DE ORIENTE</v>
          </cell>
          <cell r="R1614">
            <v>4795160</v>
          </cell>
          <cell r="S1614">
            <v>0</v>
          </cell>
          <cell r="T1614">
            <v>0</v>
          </cell>
          <cell r="U1614">
            <v>4795160</v>
          </cell>
          <cell r="V1614">
            <v>2397580</v>
          </cell>
        </row>
        <row r="1615">
          <cell r="J1615">
            <v>1153</v>
          </cell>
          <cell r="K1615">
            <v>43143</v>
          </cell>
          <cell r="L1615" t="str">
            <v>YENNY MARCELA MEDINA RODRIGUEZ</v>
          </cell>
          <cell r="M1615">
            <v>31</v>
          </cell>
          <cell r="N1615" t="str">
            <v>RESOLUCION</v>
          </cell>
          <cell r="O1615">
            <v>847</v>
          </cell>
          <cell r="P1615">
            <v>43143</v>
          </cell>
          <cell r="Q1615" t="str">
            <v>AYUDA TEMPORAL A LAS FAMILIAS DE VARIAS LOCALIDADES, PARA RELOCALIZACIÓN DE HOGARES LOCALIZADOS EN ZONAS DE ALTO RIESGO NO MITIGABLE ID:2016-08-14903, LOCALIDAD:08 KENNEDY, UPZ:82 PATIO BONITO, SECTOR:PALMITAS</v>
          </cell>
          <cell r="R1615">
            <v>7259136</v>
          </cell>
          <cell r="S1615">
            <v>0</v>
          </cell>
          <cell r="T1615">
            <v>0</v>
          </cell>
          <cell r="U1615">
            <v>7259136</v>
          </cell>
          <cell r="V1615">
            <v>3629568</v>
          </cell>
        </row>
        <row r="1616">
          <cell r="J1616">
            <v>1154</v>
          </cell>
          <cell r="K1616">
            <v>43143</v>
          </cell>
          <cell r="L1616" t="str">
            <v>HORTENCIA  NUÑEZ BARRERA</v>
          </cell>
          <cell r="M1616">
            <v>31</v>
          </cell>
          <cell r="N1616" t="str">
            <v>RESOLUCION</v>
          </cell>
          <cell r="O1616">
            <v>848</v>
          </cell>
          <cell r="P1616">
            <v>43143</v>
          </cell>
          <cell r="Q1616" t="str">
            <v>AYUDA TEMPORAL A LAS FAMILIAS DE VARIAS LOCALIDADES, PARA RELOCALIZACIÓN DE HOGARES LOCALIZADOS EN ZONAS DE ALTO RIESGO NO MITIGABLE ID:2014-Q21-00705, LOCALIDAD:04 SAN CRISTÓBAL, UPZ:51 LOS LIBERTADORES, SECTOR:QUEBRADA VEREJONES</v>
          </cell>
          <cell r="R1616">
            <v>5765760</v>
          </cell>
          <cell r="S1616">
            <v>0</v>
          </cell>
          <cell r="T1616">
            <v>0</v>
          </cell>
          <cell r="U1616">
            <v>5765760</v>
          </cell>
          <cell r="V1616">
            <v>2882880</v>
          </cell>
        </row>
        <row r="1617">
          <cell r="J1617">
            <v>1155</v>
          </cell>
          <cell r="K1617">
            <v>43143</v>
          </cell>
          <cell r="L1617" t="str">
            <v>ROSA MARIA CRUZ GUERRERO</v>
          </cell>
          <cell r="M1617">
            <v>31</v>
          </cell>
          <cell r="N1617" t="str">
            <v>RESOLUCION</v>
          </cell>
          <cell r="O1617">
            <v>849</v>
          </cell>
          <cell r="P1617">
            <v>43143</v>
          </cell>
          <cell r="Q1617" t="str">
            <v>AYUDA TEMPORAL A LAS FAMILIAS DE VARIAS LOCALIDADES, PARA RELOCALIZACIÓN DE HOGARES LOCALIZADOS EN ZONAS DE ALTO RIESGO NO MITIGABLE ID:2012-19-13938, LOCALIDAD:19 CIUDAD BOLÍVAR, UPZ:67 LUCERO, SECTOR:</v>
          </cell>
          <cell r="R1617">
            <v>5178771</v>
          </cell>
          <cell r="S1617">
            <v>0</v>
          </cell>
          <cell r="T1617">
            <v>0</v>
          </cell>
          <cell r="U1617">
            <v>5178771</v>
          </cell>
          <cell r="V1617">
            <v>2390202</v>
          </cell>
        </row>
        <row r="1618">
          <cell r="J1618">
            <v>1156</v>
          </cell>
          <cell r="K1618">
            <v>43143</v>
          </cell>
          <cell r="L1618" t="str">
            <v>SANDRA YANETH PADUA PULIDO</v>
          </cell>
          <cell r="M1618">
            <v>31</v>
          </cell>
          <cell r="N1618" t="str">
            <v>RESOLUCION</v>
          </cell>
          <cell r="O1618">
            <v>850</v>
          </cell>
          <cell r="P1618">
            <v>43143</v>
          </cell>
          <cell r="Q1618" t="str">
            <v>AYUDA TEMPORAL A LAS FAMILIAS DE VARIAS LOCALIDADES, PARA RELOCALIZACIÓN DE HOGARES LOCALIZADOS EN ZONAS DE ALTO RIESGO NO MITIGABLE ID:2011-4-12668, LOCALIDAD:04 SAN CRISTÓBAL, UPZ:32 SAN BLAS</v>
          </cell>
          <cell r="R1618">
            <v>5754190</v>
          </cell>
          <cell r="S1618">
            <v>0</v>
          </cell>
          <cell r="T1618">
            <v>0</v>
          </cell>
          <cell r="U1618">
            <v>5754190</v>
          </cell>
          <cell r="V1618">
            <v>3098410</v>
          </cell>
        </row>
        <row r="1619">
          <cell r="J1619">
            <v>1157</v>
          </cell>
          <cell r="K1619">
            <v>43143</v>
          </cell>
          <cell r="L1619" t="str">
            <v>JOHAM AYMER PERDIZ GUACORIZO</v>
          </cell>
          <cell r="M1619">
            <v>31</v>
          </cell>
          <cell r="N1619" t="str">
            <v>RESOLUCION</v>
          </cell>
          <cell r="O1619">
            <v>851</v>
          </cell>
          <cell r="P1619">
            <v>43143</v>
          </cell>
          <cell r="Q1619" t="str">
            <v>AYUDA TEMPORAL A LAS FAMILIAS DE VARIAS LOCALIDADES, PARA RELOCALIZACIÓN DE HOGARES LOCALIZADOS EN ZONAS DE ALTO RIESGO NO MITIGABLE ID:2014-W166-070, LOCALIDAD:19 CIUDAD BOLÍVAR, UPZ:68 EL TESORO, SECTOR:WOUNAAN</v>
          </cell>
          <cell r="R1619">
            <v>5285280</v>
          </cell>
          <cell r="S1619">
            <v>0</v>
          </cell>
          <cell r="T1619">
            <v>0</v>
          </cell>
          <cell r="U1619">
            <v>5285280</v>
          </cell>
          <cell r="V1619">
            <v>2845920</v>
          </cell>
        </row>
        <row r="1620">
          <cell r="J1620">
            <v>1158</v>
          </cell>
          <cell r="K1620">
            <v>43143</v>
          </cell>
          <cell r="L1620" t="str">
            <v>ANGELA JACKELINE ACOSTA RAMIREZ</v>
          </cell>
          <cell r="M1620">
            <v>31</v>
          </cell>
          <cell r="N1620" t="str">
            <v>RESOLUCION</v>
          </cell>
          <cell r="O1620">
            <v>852</v>
          </cell>
          <cell r="P1620">
            <v>43143</v>
          </cell>
          <cell r="Q1620" t="str">
            <v>AYUDA TEMPORAL A LAS FAMILIAS DE VARIAS LOCALIDADES, PARA RELOCALIZACIÓN DE HOGARES LOCALIZADOS EN ZONAS DE ALTO RIESGO NO MITIGABLE ID:2013-Q09-00118, LOCALIDAD:04 SAN CRISTÓBAL, UPZ:51 LOS LIBERTADORES, SECTOR:QUEBRADA VEREJONES</v>
          </cell>
          <cell r="R1620">
            <v>4136000</v>
          </cell>
          <cell r="S1620">
            <v>0</v>
          </cell>
          <cell r="T1620">
            <v>0</v>
          </cell>
          <cell r="U1620">
            <v>4136000</v>
          </cell>
          <cell r="V1620">
            <v>3619000</v>
          </cell>
        </row>
        <row r="1621">
          <cell r="J1621">
            <v>1159</v>
          </cell>
          <cell r="K1621">
            <v>43143</v>
          </cell>
          <cell r="L1621" t="str">
            <v>YEIN  REY GUERRERO</v>
          </cell>
          <cell r="M1621">
            <v>31</v>
          </cell>
          <cell r="N1621" t="str">
            <v>RESOLUCION</v>
          </cell>
          <cell r="O1621">
            <v>853</v>
          </cell>
          <cell r="P1621">
            <v>43143</v>
          </cell>
          <cell r="Q1621" t="str">
            <v>AYUDA TEMPORAL A LAS FAMILIAS DE VARIAS LOCALIDADES, PARA RELOCALIZACIÓN DE HOGARES LOCALIZADOS EN ZONAS DE ALTO RIESGO NO MITIGABLE ID:2015-W166-301, LOCALIDAD:03 SANTA FE, UPZ:95 LAS CRUCES, SECTOR:UITOTO</v>
          </cell>
          <cell r="R1621">
            <v>7702552</v>
          </cell>
          <cell r="S1621">
            <v>0</v>
          </cell>
          <cell r="T1621">
            <v>0</v>
          </cell>
          <cell r="U1621">
            <v>7702552</v>
          </cell>
          <cell r="V1621">
            <v>4147528</v>
          </cell>
        </row>
        <row r="1622">
          <cell r="J1622">
            <v>1160</v>
          </cell>
          <cell r="K1622">
            <v>43143</v>
          </cell>
          <cell r="L1622" t="str">
            <v>NANCY MIREYA MOLINA CALVO</v>
          </cell>
          <cell r="M1622">
            <v>31</v>
          </cell>
          <cell r="N1622" t="str">
            <v>RESOLUCION</v>
          </cell>
          <cell r="O1622">
            <v>854</v>
          </cell>
          <cell r="P1622">
            <v>43143</v>
          </cell>
          <cell r="Q1622" t="str">
            <v>AYUDA TEMPORAL A LAS FAMILIAS DE VARIAS LOCALIDADES, PARA RELOCALIZACIÓN DE HOGARES LOCALIZADOS EN ZONAS DE ALTO RIESGO NO MITIGABLE ID:2016-08-14870, LOCALIDAD:08 KENNEDY, UPZ:82 PATIO BONITO, SECTOR:PALMITAS</v>
          </cell>
          <cell r="R1622">
            <v>6618756</v>
          </cell>
          <cell r="S1622">
            <v>0</v>
          </cell>
          <cell r="T1622">
            <v>0</v>
          </cell>
          <cell r="U1622">
            <v>6618756</v>
          </cell>
          <cell r="V1622">
            <v>3309378</v>
          </cell>
        </row>
        <row r="1623">
          <cell r="J1623">
            <v>1161</v>
          </cell>
          <cell r="K1623">
            <v>43143</v>
          </cell>
          <cell r="L1623" t="str">
            <v>VICTOR ALFONSO QUIROGA</v>
          </cell>
          <cell r="M1623">
            <v>31</v>
          </cell>
          <cell r="N1623" t="str">
            <v>RESOLUCION</v>
          </cell>
          <cell r="O1623">
            <v>855</v>
          </cell>
          <cell r="P1623">
            <v>43143</v>
          </cell>
          <cell r="Q1623" t="str">
            <v>AYUDA TEMPORAL A LAS FAMILIAS DE VARIAS LOCALIDADES, PARA RELOCALIZACIÓN DE HOGARES LOCALIZADOS EN ZONAS DE ALTO RIESGO NO MITIGABLE ID:2016-08-14775, LOCALIDAD:08 KENNEDY, UPZ:82 PATIO BONITO, SECTOR:PALMITAS</v>
          </cell>
          <cell r="R1623">
            <v>5466487</v>
          </cell>
          <cell r="S1623">
            <v>0</v>
          </cell>
          <cell r="T1623">
            <v>0</v>
          </cell>
          <cell r="U1623">
            <v>5466487</v>
          </cell>
          <cell r="V1623">
            <v>2943493</v>
          </cell>
        </row>
        <row r="1624">
          <cell r="J1624">
            <v>1162</v>
          </cell>
          <cell r="K1624">
            <v>43143</v>
          </cell>
          <cell r="L1624" t="str">
            <v>YEIMY MAVEL SANABRIA PAEZ</v>
          </cell>
          <cell r="M1624">
            <v>31</v>
          </cell>
          <cell r="N1624" t="str">
            <v>RESOLUCION</v>
          </cell>
          <cell r="O1624">
            <v>856</v>
          </cell>
          <cell r="P1624">
            <v>43143</v>
          </cell>
          <cell r="Q1624" t="str">
            <v>AYUDA TEMPORAL A LAS FAMILIAS DE VARIAS LOCALIDADES, PARA RELOCALIZACIÓN DE HOGARES LOCALIZADOS EN ZONAS DE ALTO RIESGO NO MITIGABLE ID:2011-19-12544, LOCALIDAD:19 CIUDAD BOLÍVAR, UPZ:69 ISMAEL PERDOMO, SECTOR:OLA INVERNAL 2010 FOPAE</v>
          </cell>
          <cell r="R1624">
            <v>2213148</v>
          </cell>
          <cell r="S1624">
            <v>1844290</v>
          </cell>
          <cell r="T1624">
            <v>0</v>
          </cell>
          <cell r="U1624">
            <v>368858</v>
          </cell>
          <cell r="V1624">
            <v>368858</v>
          </cell>
        </row>
        <row r="1625">
          <cell r="J1625">
            <v>1163</v>
          </cell>
          <cell r="K1625">
            <v>43143</v>
          </cell>
          <cell r="L1625" t="str">
            <v>JHONNY RAMON PEREA MURILLO</v>
          </cell>
          <cell r="M1625">
            <v>31</v>
          </cell>
          <cell r="N1625" t="str">
            <v>RESOLUCION</v>
          </cell>
          <cell r="O1625">
            <v>857</v>
          </cell>
          <cell r="P1625">
            <v>43143</v>
          </cell>
          <cell r="Q1625" t="str">
            <v>AYUDA TEMPORAL A LAS FAMILIAS DE VARIAS LOCALIDADES, PARA RELOCALIZACIÓN DE HOGARES LOCALIZADOS EN ZONAS DE ALTO RIESGO NO MITIGABLE ID:2012-18-14312, LOCALIDAD:18 RAFAEL URIBE URIBE, UPZ:55 DIANA TURBAY</v>
          </cell>
          <cell r="R1625">
            <v>4426296</v>
          </cell>
          <cell r="S1625">
            <v>0</v>
          </cell>
          <cell r="T1625">
            <v>0</v>
          </cell>
          <cell r="U1625">
            <v>4426296</v>
          </cell>
          <cell r="V1625">
            <v>2213148</v>
          </cell>
        </row>
        <row r="1626">
          <cell r="J1626">
            <v>1164</v>
          </cell>
          <cell r="K1626">
            <v>43143</v>
          </cell>
          <cell r="L1626" t="str">
            <v>VIRGINIA  JEREZ CASTRO</v>
          </cell>
          <cell r="M1626">
            <v>31</v>
          </cell>
          <cell r="N1626" t="str">
            <v>RESOLUCION</v>
          </cell>
          <cell r="O1626">
            <v>777</v>
          </cell>
          <cell r="P1626">
            <v>43143</v>
          </cell>
          <cell r="Q1626" t="str">
            <v>AYUDA TEMPORAL A LAS FAMILIAS DE VARIAS LOCALIDADES, PARA RELOCALIZACIÓN DE HOGARES LOCALIZADOS EN ZONAS DE ALTO RIESGO NO MITIGABLE ID:2011-4-12672, LOCALIDAD:04 SAN CRISTÓBAL, UPZ:32 SAN BLAS,</v>
          </cell>
          <cell r="R1626">
            <v>5490900</v>
          </cell>
          <cell r="S1626">
            <v>0</v>
          </cell>
          <cell r="T1626">
            <v>0</v>
          </cell>
          <cell r="U1626">
            <v>5490900</v>
          </cell>
          <cell r="V1626">
            <v>1830300</v>
          </cell>
        </row>
        <row r="1627">
          <cell r="J1627">
            <v>1165</v>
          </cell>
          <cell r="K1627">
            <v>43143</v>
          </cell>
          <cell r="L1627" t="str">
            <v>ANDREA MILENA PRIETO</v>
          </cell>
          <cell r="M1627">
            <v>31</v>
          </cell>
          <cell r="N1627" t="str">
            <v>RESOLUCION</v>
          </cell>
          <cell r="O1627">
            <v>858</v>
          </cell>
          <cell r="P1627">
            <v>43143</v>
          </cell>
          <cell r="Q1627" t="str">
            <v>AYUDA TEMPORAL A LAS FAMILIAS DE VARIAS LOCALIDADES, PARA RELOCALIZACIÓN DE HOGARES LOCALIZADOS EN ZONAS DE ALTO RIESGO NO MITIGABLE ID:2013-Q10-00207, LOCALIDAD:19 CIUDAD BOLÍVAR, UPZ:67 LUCERO, SECTOR:PEÑA COLORADA</v>
          </cell>
          <cell r="R1627">
            <v>2882880</v>
          </cell>
          <cell r="S1627">
            <v>480480</v>
          </cell>
          <cell r="T1627">
            <v>0</v>
          </cell>
          <cell r="U1627">
            <v>2402400</v>
          </cell>
          <cell r="V1627">
            <v>2402400</v>
          </cell>
        </row>
        <row r="1628">
          <cell r="J1628">
            <v>1166</v>
          </cell>
          <cell r="K1628">
            <v>43143</v>
          </cell>
          <cell r="L1628" t="str">
            <v>CAROLINA  RUBIO MANCIPE</v>
          </cell>
          <cell r="M1628">
            <v>31</v>
          </cell>
          <cell r="N1628" t="str">
            <v>RESOLUCION</v>
          </cell>
          <cell r="O1628">
            <v>859</v>
          </cell>
          <cell r="P1628">
            <v>43143</v>
          </cell>
          <cell r="Q1628" t="str">
            <v>AYUDA TEMPORAL A LAS FAMILIAS DE VARIAS LOCALIDADES, PARA RELOCALIZACIÓN DE HOGARES LOCALIZADOS EN ZONAS DE ALTO RIESGO NO MITIGABLE ID:2015-19-14752, LOCALIDAD:19 CIUDAD BOLÍVAR, UPZ:67 LUCERO</v>
          </cell>
          <cell r="R1628">
            <v>6163755</v>
          </cell>
          <cell r="S1628">
            <v>0</v>
          </cell>
          <cell r="T1628">
            <v>0</v>
          </cell>
          <cell r="U1628">
            <v>6163755</v>
          </cell>
          <cell r="V1628">
            <v>3318945</v>
          </cell>
        </row>
        <row r="1629">
          <cell r="J1629">
            <v>1167</v>
          </cell>
          <cell r="K1629">
            <v>43143</v>
          </cell>
          <cell r="L1629" t="str">
            <v>YOLANDA  MANCIPE GIRALDO</v>
          </cell>
          <cell r="M1629">
            <v>31</v>
          </cell>
          <cell r="N1629" t="str">
            <v>RESOLUCION</v>
          </cell>
          <cell r="O1629">
            <v>884</v>
          </cell>
          <cell r="P1629">
            <v>43143</v>
          </cell>
          <cell r="Q1629" t="str">
            <v>AYUDA TEMPORAL A LAS FAMILIAS DE VARIAS LOCALIDADES, PARA RELOCALIZACIÓN DE HOGARES LOCALIZADOS EN ZONAS DE ALTO RIESGO NO MITIGABLE ID:2012-19-13845, LOCALIDAD:19 CIUDAD BOLÍVAR, UPZ:67 LUCERO</v>
          </cell>
          <cell r="R1629">
            <v>2899710</v>
          </cell>
          <cell r="S1629">
            <v>483285</v>
          </cell>
          <cell r="T1629">
            <v>0</v>
          </cell>
          <cell r="U1629">
            <v>2416425</v>
          </cell>
          <cell r="V1629">
            <v>2416425</v>
          </cell>
        </row>
        <row r="1630">
          <cell r="J1630">
            <v>1168</v>
          </cell>
          <cell r="K1630">
            <v>43143</v>
          </cell>
          <cell r="L1630" t="str">
            <v>SIXTA ROGELIA PINILLA DE RODRIGUEZ</v>
          </cell>
          <cell r="M1630">
            <v>31</v>
          </cell>
          <cell r="N1630" t="str">
            <v>RESOLUCION</v>
          </cell>
          <cell r="O1630">
            <v>860</v>
          </cell>
          <cell r="P1630">
            <v>43143</v>
          </cell>
          <cell r="Q1630" t="str">
            <v>AYUDA TEMPORAL A LAS FAMILIAS DE VARIAS LOCALIDADES, PARA RELOCALIZACIÓN DE HOGARES LOCALIZADOS EN ZONAS DE ALTO RIESGO NO MITIGABLE ID:2006-19-8097, LOCALIDAD:19 CIUDAD BOLÍVAR, UPZ:67 LUCERO, SECTOR:LIMAS</v>
          </cell>
          <cell r="R1630">
            <v>2860710</v>
          </cell>
          <cell r="S1630">
            <v>476785</v>
          </cell>
          <cell r="T1630">
            <v>0</v>
          </cell>
          <cell r="U1630">
            <v>2383925</v>
          </cell>
          <cell r="V1630">
            <v>2383925</v>
          </cell>
        </row>
        <row r="1631">
          <cell r="J1631">
            <v>1169</v>
          </cell>
          <cell r="K1631">
            <v>43143</v>
          </cell>
          <cell r="L1631" t="str">
            <v>VIVIANA GERALDINE GARZON VARGAS</v>
          </cell>
          <cell r="M1631">
            <v>31</v>
          </cell>
          <cell r="N1631" t="str">
            <v>RESOLUCION</v>
          </cell>
          <cell r="O1631">
            <v>861</v>
          </cell>
          <cell r="P1631">
            <v>43143</v>
          </cell>
          <cell r="Q1631" t="str">
            <v>AYUDA TEMPORAL A LAS FAMILIAS DE VARIAS LOCALIDADES, PARA RELOCALIZACIÓN DE HOGARES LOCALIZADOS EN ZONAS DE ALTO RIESGO NO MITIGABLE ID:2016-OTR-01553, LOCALIDAD:04 SAN CRISTÓBAL, UPZ:32 SAN BLAS, SECTOR:TRIANGULO ALTO</v>
          </cell>
          <cell r="R1631">
            <v>6274047</v>
          </cell>
          <cell r="S1631">
            <v>0</v>
          </cell>
          <cell r="T1631">
            <v>0</v>
          </cell>
          <cell r="U1631">
            <v>6274047</v>
          </cell>
          <cell r="V1631">
            <v>3378333</v>
          </cell>
        </row>
        <row r="1632">
          <cell r="J1632">
            <v>1170</v>
          </cell>
          <cell r="K1632">
            <v>43143</v>
          </cell>
          <cell r="L1632" t="str">
            <v>GUMERCINDO  HERNANDEZ QUINTERO</v>
          </cell>
          <cell r="M1632">
            <v>31</v>
          </cell>
          <cell r="N1632" t="str">
            <v>RESOLUCION</v>
          </cell>
          <cell r="O1632">
            <v>778</v>
          </cell>
          <cell r="P1632">
            <v>43143</v>
          </cell>
          <cell r="Q1632" t="str">
            <v>AYUDA TEMPORAL A LAS FAMILIAS DE VARIAS LOCALIDADES, PARA RELOCALIZACIÓN DE HOGARES LOCALIZADOS EN ZONAS DE ALTO RIESGO NO MITIGABLE ID:2016-08-14889, LOCALIDAD:08 KENNEDY, UPZ:82 PATIO BONITO, SECTOR:PALMITAS</v>
          </cell>
          <cell r="R1632">
            <v>3356612</v>
          </cell>
          <cell r="S1632">
            <v>0</v>
          </cell>
          <cell r="T1632">
            <v>0</v>
          </cell>
          <cell r="U1632">
            <v>3356612</v>
          </cell>
          <cell r="V1632">
            <v>2877096</v>
          </cell>
        </row>
        <row r="1633">
          <cell r="J1633">
            <v>1171</v>
          </cell>
          <cell r="K1633">
            <v>43143</v>
          </cell>
          <cell r="L1633" t="str">
            <v>MARLENE  MEDINA RODRIGUEZ</v>
          </cell>
          <cell r="M1633">
            <v>31</v>
          </cell>
          <cell r="N1633" t="str">
            <v>RESOLUCION</v>
          </cell>
          <cell r="O1633">
            <v>862</v>
          </cell>
          <cell r="P1633">
            <v>43143</v>
          </cell>
          <cell r="Q1633" t="str">
            <v>AYUDA TEMPORAL A LAS FAMILIAS DE VARIAS LOCALIDADES, PARA RELOCALIZACIÓN DE HOGARES LOCALIZADOS EN ZONAS DE ALTO RIESGO NO MITIGABLE ID:2017-04-14981, LOCALIDAD:04 SAN CRISTÓBAL, UPZ:50 LA GLORIA</v>
          </cell>
          <cell r="R1633">
            <v>7672262</v>
          </cell>
          <cell r="S1633">
            <v>0</v>
          </cell>
          <cell r="T1633">
            <v>0</v>
          </cell>
          <cell r="U1633">
            <v>7672262</v>
          </cell>
          <cell r="V1633">
            <v>4131218</v>
          </cell>
        </row>
        <row r="1634">
          <cell r="J1634">
            <v>1172</v>
          </cell>
          <cell r="K1634">
            <v>43143</v>
          </cell>
          <cell r="L1634" t="str">
            <v>HECTOR  CIFUENTES</v>
          </cell>
          <cell r="M1634">
            <v>31</v>
          </cell>
          <cell r="N1634" t="str">
            <v>RESOLUCION</v>
          </cell>
          <cell r="O1634">
            <v>885</v>
          </cell>
          <cell r="P1634">
            <v>43143</v>
          </cell>
          <cell r="Q1634" t="str">
            <v>AYUDA TEMPORAL A LAS FAMILIAS DE VARIAS LOCALIDADES, PARA RELOCALIZACIÓN DE HOGARES LOCALIZADOS EN ZONAS DE ALTO RIESGO NO MITIGABLE ID:2012-19-13865, LOCALIDAD:19 CIUDAD BOLÍVAR, UPZ:67 LUCERO</v>
          </cell>
          <cell r="R1634">
            <v>2442336</v>
          </cell>
          <cell r="S1634">
            <v>407056</v>
          </cell>
          <cell r="T1634">
            <v>0</v>
          </cell>
          <cell r="U1634">
            <v>2035280</v>
          </cell>
          <cell r="V1634">
            <v>2035280</v>
          </cell>
        </row>
        <row r="1635">
          <cell r="J1635">
            <v>1173</v>
          </cell>
          <cell r="K1635">
            <v>43143</v>
          </cell>
          <cell r="L1635" t="str">
            <v>MARIA LUZ MERNI USECHE</v>
          </cell>
          <cell r="M1635">
            <v>31</v>
          </cell>
          <cell r="N1635" t="str">
            <v>RESOLUCION</v>
          </cell>
          <cell r="O1635">
            <v>863</v>
          </cell>
          <cell r="P1635">
            <v>43143</v>
          </cell>
          <cell r="Q1635" t="str">
            <v>AYUDA TEMPORAL A LAS FAMILIAS DE VARIAS LOCALIDADES, PARA RELOCALIZACIÓN DE HOGARES LOCALIZADOS EN ZONAS DE ALTO RIESGO NO MITIGABLE ID:2012-19-13969, LOCALIDAD:19 CIUDAD BOLÍVAR, UPZ:68 EL TESORO</v>
          </cell>
          <cell r="R1635">
            <v>6030557</v>
          </cell>
          <cell r="S1635">
            <v>0</v>
          </cell>
          <cell r="T1635">
            <v>0</v>
          </cell>
          <cell r="U1635">
            <v>6030557</v>
          </cell>
          <cell r="V1635">
            <v>3247223</v>
          </cell>
        </row>
        <row r="1636">
          <cell r="J1636">
            <v>1174</v>
          </cell>
          <cell r="K1636">
            <v>43143</v>
          </cell>
          <cell r="L1636" t="str">
            <v>MARIBEL  PARRADO CABEZAS</v>
          </cell>
          <cell r="M1636">
            <v>31</v>
          </cell>
          <cell r="N1636" t="str">
            <v>RESOLUCION</v>
          </cell>
          <cell r="O1636">
            <v>886</v>
          </cell>
          <cell r="P1636">
            <v>43143</v>
          </cell>
          <cell r="Q1636" t="str">
            <v>AYUDA TEMPORAL A LAS FAMILIAS DE VARIAS LOCALIDADES, PARA RELOCALIZACIÓN DE HOGARES LOCALIZADOS EN ZONAS DE ALTO RIESGO NO MITIGABLE ID:2011-19-13515, LOCALIDAD:19 CIUDAD BOLÍVAR, UPZ:68 EL TESORO.</v>
          </cell>
          <cell r="R1636">
            <v>2439360</v>
          </cell>
          <cell r="S1636">
            <v>406560</v>
          </cell>
          <cell r="T1636">
            <v>0</v>
          </cell>
          <cell r="U1636">
            <v>2032800</v>
          </cell>
          <cell r="V1636">
            <v>2032800</v>
          </cell>
        </row>
        <row r="1637">
          <cell r="J1637">
            <v>1175</v>
          </cell>
          <cell r="K1637">
            <v>43143</v>
          </cell>
          <cell r="L1637" t="str">
            <v>MILEIDY  MALAGON RINCON</v>
          </cell>
          <cell r="M1637">
            <v>31</v>
          </cell>
          <cell r="N1637" t="str">
            <v>RESOLUCION</v>
          </cell>
          <cell r="O1637">
            <v>779</v>
          </cell>
          <cell r="P1637">
            <v>43143</v>
          </cell>
          <cell r="Q1637" t="str">
            <v>AYUDA TEMPORAL A LAS FAMILIAS DE VARIAS LOCALIDADES, PARA RELOCALIZACIÓN DE HOGARES LOCALIZADOS EN ZONAS DE ALTO RIESGO NO MITIGABLE ID:2016-08-14771, LOCALIDAD:08 KENNEDY, UPZ:82 PATIO BONITO, SECTOR:PALMITAS</v>
          </cell>
          <cell r="R1637">
            <v>3098412</v>
          </cell>
          <cell r="S1637">
            <v>0</v>
          </cell>
          <cell r="T1637">
            <v>0</v>
          </cell>
          <cell r="U1637">
            <v>3098412</v>
          </cell>
          <cell r="V1637">
            <v>2582010</v>
          </cell>
        </row>
        <row r="1638">
          <cell r="J1638">
            <v>1176</v>
          </cell>
          <cell r="K1638">
            <v>43143</v>
          </cell>
          <cell r="L1638" t="str">
            <v>YEISON ESNEIDER RONCANCIO BUITRAGO</v>
          </cell>
          <cell r="M1638">
            <v>31</v>
          </cell>
          <cell r="N1638" t="str">
            <v>RESOLUCION</v>
          </cell>
          <cell r="O1638">
            <v>864</v>
          </cell>
          <cell r="P1638">
            <v>43143</v>
          </cell>
          <cell r="Q1638" t="str">
            <v>AYUDA TEMPORAL A LAS FAMILIAS DE VARIAS LOCALIDADES, PARA RELOCALIZACIÓN DE HOGARES LOCALIZADOS EN ZONAS DE ALTO RIESGO NO MITIGABLE ID:2016-08-14793, LOCALIDAD:08 KENNEDY, UPZ:82 PATIO BONITO, SECTOR:PALMITAS</v>
          </cell>
          <cell r="R1638">
            <v>3614814</v>
          </cell>
          <cell r="S1638">
            <v>0</v>
          </cell>
          <cell r="T1638">
            <v>0</v>
          </cell>
          <cell r="U1638">
            <v>3614814</v>
          </cell>
          <cell r="V1638">
            <v>3098412</v>
          </cell>
        </row>
        <row r="1639">
          <cell r="J1639">
            <v>1177</v>
          </cell>
          <cell r="K1639">
            <v>43143</v>
          </cell>
          <cell r="L1639" t="str">
            <v>JORGE ENRIQUE CORTES</v>
          </cell>
          <cell r="M1639">
            <v>31</v>
          </cell>
          <cell r="N1639" t="str">
            <v>RESOLUCION</v>
          </cell>
          <cell r="O1639">
            <v>887</v>
          </cell>
          <cell r="P1639">
            <v>43143</v>
          </cell>
          <cell r="Q1639" t="str">
            <v>AYUDA TEMPORAL A LAS FAMILIAS DE VARIAS LOCALIDADES, PARA RELOCALIZACIÓN DE HOGARES LOCALIZADOS EN ZONAS DE ALTO RIESGO NO MITIGABLE ID:2010-19-11684, LOCALIDAD:19 CIUDAD BOLÍVAR, UPZ:69 ISMAEL PERDOMO, SECTOR:OLA INVERNAL 2010 FOPAE</v>
          </cell>
          <cell r="R1639">
            <v>2213148</v>
          </cell>
          <cell r="S1639">
            <v>0</v>
          </cell>
          <cell r="T1639">
            <v>0</v>
          </cell>
          <cell r="U1639">
            <v>2213148</v>
          </cell>
          <cell r="V1639">
            <v>737716</v>
          </cell>
        </row>
        <row r="1640">
          <cell r="J1640">
            <v>1178</v>
          </cell>
          <cell r="K1640">
            <v>43143</v>
          </cell>
          <cell r="L1640" t="str">
            <v>JOSE NELSON BOCANEGRA SILVA</v>
          </cell>
          <cell r="M1640">
            <v>31</v>
          </cell>
          <cell r="N1640" t="str">
            <v>RESOLUCION</v>
          </cell>
          <cell r="O1640">
            <v>865</v>
          </cell>
          <cell r="P1640">
            <v>43143</v>
          </cell>
          <cell r="Q1640" t="str">
            <v>AYUDA TEMPORAL A LAS FAMILIAS DE VARIAS LOCALIDADES, PARA RELOCALIZACIÓN DE HOGARES LOCALIZADOS EN ZONAS DE ALTO RIESGO NO MITIGABLE ID:2011-4-12633, LOCALIDAD:04 SAN CRISTÓBAL, UPZ:32 SAN BLAS</v>
          </cell>
          <cell r="R1640">
            <v>2668074</v>
          </cell>
          <cell r="S1640">
            <v>444679</v>
          </cell>
          <cell r="T1640">
            <v>0</v>
          </cell>
          <cell r="U1640">
            <v>2223395</v>
          </cell>
          <cell r="V1640">
            <v>2223395</v>
          </cell>
        </row>
        <row r="1641">
          <cell r="J1641">
            <v>1179</v>
          </cell>
          <cell r="K1641">
            <v>43143</v>
          </cell>
          <cell r="L1641" t="str">
            <v>FAYSULI  RIVERA RIVERA</v>
          </cell>
          <cell r="M1641">
            <v>31</v>
          </cell>
          <cell r="N1641" t="str">
            <v>RESOLUCION</v>
          </cell>
          <cell r="O1641">
            <v>780</v>
          </cell>
          <cell r="P1641">
            <v>43143</v>
          </cell>
          <cell r="Q1641" t="str">
            <v>AYUDA TEMPORAL A LAS FAMILIAS DE VARIAS LOCALIDADES, PARA RELOCALIZACIÓN DE HOGARES LOCALIZADOS EN ZONAS DE ALTO RIESGO NO MITIGABLE ID:2016-08-14880, LOCALIDAD:08 KENNEDY, UPZ:82 PATIO BONITO, SECTOR:PALMITAS</v>
          </cell>
          <cell r="R1641">
            <v>3233538</v>
          </cell>
          <cell r="S1641">
            <v>0</v>
          </cell>
          <cell r="T1641">
            <v>0</v>
          </cell>
          <cell r="U1641">
            <v>3233538</v>
          </cell>
          <cell r="V1641">
            <v>2771604</v>
          </cell>
        </row>
        <row r="1642">
          <cell r="J1642">
            <v>1180</v>
          </cell>
          <cell r="K1642">
            <v>43143</v>
          </cell>
          <cell r="L1642" t="str">
            <v>ORLANDO  AGUIRRE GARCIA</v>
          </cell>
          <cell r="M1642">
            <v>31</v>
          </cell>
          <cell r="N1642" t="str">
            <v>RESOLUCION</v>
          </cell>
          <cell r="O1642">
            <v>866</v>
          </cell>
          <cell r="P1642">
            <v>43143</v>
          </cell>
          <cell r="Q1642" t="str">
            <v>AYUDA TEMPORAL A LAS FAMILIAS DE VARIAS LOCALIDADES, PARA RELOCALIZACIÓN DE HOGARES LOCALIZADOS EN ZONAS DE ALTO RIESGO NO MITIGABLE ID:2012-T314-20, LOCALIDAD:04 SAN CRISTÓBAL, UPZ:50 LA GLORIA</v>
          </cell>
          <cell r="R1642">
            <v>2522994</v>
          </cell>
          <cell r="S1642">
            <v>420499</v>
          </cell>
          <cell r="T1642">
            <v>0</v>
          </cell>
          <cell r="U1642">
            <v>2102495</v>
          </cell>
          <cell r="V1642">
            <v>2102495</v>
          </cell>
        </row>
        <row r="1643">
          <cell r="J1643">
            <v>1181</v>
          </cell>
          <cell r="K1643">
            <v>43143</v>
          </cell>
          <cell r="L1643" t="str">
            <v>YANETH  QUIÑONES PRIETO</v>
          </cell>
          <cell r="M1643">
            <v>31</v>
          </cell>
          <cell r="N1643" t="str">
            <v>RESOLUCION</v>
          </cell>
          <cell r="O1643">
            <v>888</v>
          </cell>
          <cell r="P1643">
            <v>43143</v>
          </cell>
          <cell r="Q1643" t="str">
            <v>AYUDA TEMPORAL A LAS FAMILIAS DE VARIAS LOCALIDADES, PARA RELOCALIZACIÓN DE HOGARES LOCALIZADOS EN ZONAS DE ALTO RIESGO NO MITIGABLE ID:2012-ALES-223, LOCALIDAD:19 CIUDAD BOLÍVAR, UPZ:69 ISMAEL PERDOMO</v>
          </cell>
          <cell r="R1643">
            <v>2586000</v>
          </cell>
          <cell r="S1643">
            <v>431000</v>
          </cell>
          <cell r="T1643">
            <v>0</v>
          </cell>
          <cell r="U1643">
            <v>2155000</v>
          </cell>
          <cell r="V1643">
            <v>2155000</v>
          </cell>
        </row>
        <row r="1644">
          <cell r="J1644">
            <v>1182</v>
          </cell>
          <cell r="K1644">
            <v>43143</v>
          </cell>
          <cell r="L1644" t="str">
            <v>MARIA BELLANITH MAYOR PEDRAZA</v>
          </cell>
          <cell r="M1644">
            <v>31</v>
          </cell>
          <cell r="N1644" t="str">
            <v>RESOLUCION</v>
          </cell>
          <cell r="O1644">
            <v>867</v>
          </cell>
          <cell r="P1644">
            <v>43143</v>
          </cell>
          <cell r="Q1644" t="str">
            <v>AYUDA TEMPORAL A LAS FAMILIAS DE VARIAS LOCALIDADES, PARA RELOCALIZACIÓN DE HOGARES LOCALIZADOS EN ZONAS DE ALTO RIESGO NO MITIGABLE ID:2011-4-12688, LOCALIDAD:04 SAN CRISTÓBAL, UPZ:32 SAN BLAS</v>
          </cell>
          <cell r="R1644">
            <v>2965620</v>
          </cell>
          <cell r="S1644">
            <v>494270</v>
          </cell>
          <cell r="T1644">
            <v>0</v>
          </cell>
          <cell r="U1644">
            <v>2471350</v>
          </cell>
          <cell r="V1644">
            <v>2471350</v>
          </cell>
        </row>
        <row r="1645">
          <cell r="J1645">
            <v>1183</v>
          </cell>
          <cell r="K1645">
            <v>43143</v>
          </cell>
          <cell r="L1645" t="str">
            <v>LADY ALEJANDRA BULLA MARTINEZ</v>
          </cell>
          <cell r="M1645">
            <v>31</v>
          </cell>
          <cell r="N1645" t="str">
            <v>RESOLUCION</v>
          </cell>
          <cell r="O1645">
            <v>781</v>
          </cell>
          <cell r="P1645">
            <v>43143</v>
          </cell>
          <cell r="Q1645" t="str">
            <v>AYUDA TEMPORAL A LAS FAMILIAS DE VARIAS LOCALIDADES, PARA RELOCALIZACIÓN DE HOGARES LOCALIZADOS EN ZONAS DE ALTO RIESGO NO MITIGABLE ID:2014-OTR-00985, LOCALIDAD:03 SANTA FE, UPZ:96 LOURDES, SECTOR:CASA 1</v>
          </cell>
          <cell r="R1645">
            <v>3098410</v>
          </cell>
          <cell r="S1645">
            <v>442630</v>
          </cell>
          <cell r="T1645">
            <v>0</v>
          </cell>
          <cell r="U1645">
            <v>2655780</v>
          </cell>
          <cell r="V1645">
            <v>2655780</v>
          </cell>
        </row>
        <row r="1646">
          <cell r="J1646">
            <v>1184</v>
          </cell>
          <cell r="K1646">
            <v>43143</v>
          </cell>
          <cell r="L1646" t="str">
            <v>JENNY MARITZA JAJOY JANSASOY</v>
          </cell>
          <cell r="M1646">
            <v>31</v>
          </cell>
          <cell r="N1646" t="str">
            <v>RESOLUCION</v>
          </cell>
          <cell r="O1646">
            <v>889</v>
          </cell>
          <cell r="P1646">
            <v>43143</v>
          </cell>
          <cell r="Q1646" t="str">
            <v>AYUDA TEMPORAL A LAS FAMILIAS DE VARIAS LOCALIDADES, PARA RELOCALIZACIÓN DE HOGARES LOCALIZADOS EN ZONAS DE ALTO RIESGO NO MITIGABLE ID:2014-C01-00689, LOCALIDAD:19 CIUDAD BOLÍVAR, UPZ:68 EL TESORO.</v>
          </cell>
          <cell r="R1646">
            <v>2402505</v>
          </cell>
          <cell r="S1646">
            <v>480501</v>
          </cell>
          <cell r="T1646">
            <v>0</v>
          </cell>
          <cell r="U1646">
            <v>1922004</v>
          </cell>
          <cell r="V1646">
            <v>1922004</v>
          </cell>
        </row>
        <row r="1647">
          <cell r="J1647">
            <v>1185</v>
          </cell>
          <cell r="K1647">
            <v>43143</v>
          </cell>
          <cell r="L1647" t="str">
            <v>VICTOR ANTONIO RIVERO SEVILLA</v>
          </cell>
          <cell r="M1647">
            <v>31</v>
          </cell>
          <cell r="N1647" t="str">
            <v>RESOLUCION</v>
          </cell>
          <cell r="O1647">
            <v>868</v>
          </cell>
          <cell r="P1647">
            <v>43143</v>
          </cell>
          <cell r="Q1647" t="str">
            <v>AYUDA TEMPORAL A LAS FAMILIAS DE VARIAS LOCALIDADES, PARA RELOCALIZACIÓN DE HOGARES LOCALIZADOS EN ZONAS DE ALTO RIESGO NO MITIGABLE ID:2011-4-12657, LOCALIDAD:04 SAN CRISTÓBAL, UPZ:32 SAN BLAS</v>
          </cell>
          <cell r="R1647">
            <v>2886588</v>
          </cell>
          <cell r="S1647">
            <v>481098</v>
          </cell>
          <cell r="T1647">
            <v>0</v>
          </cell>
          <cell r="U1647">
            <v>2405490</v>
          </cell>
          <cell r="V1647">
            <v>2405490</v>
          </cell>
        </row>
        <row r="1648">
          <cell r="J1648">
            <v>1186</v>
          </cell>
          <cell r="K1648">
            <v>43143</v>
          </cell>
          <cell r="L1648" t="str">
            <v>LUIS ALBERTO MIRANDA MORELO</v>
          </cell>
          <cell r="M1648">
            <v>31</v>
          </cell>
          <cell r="N1648" t="str">
            <v>RESOLUCION</v>
          </cell>
          <cell r="O1648">
            <v>869</v>
          </cell>
          <cell r="P1648">
            <v>43143</v>
          </cell>
          <cell r="Q1648" t="str">
            <v>AYUDA TEMPORAL A LAS FAMILIAS DE VARIAS LOCALIDADES, PARA RELOCALIZACIÓN DE HOGARES LOCALIZADOS EN ZONAS DE ALTO RIESGO NO MITIGABLE ID:2012-T314-08, LOCALIDAD:04 SAN CRISTÓBAL, UPZ:50 LA GLORIA</v>
          </cell>
          <cell r="R1648">
            <v>2652156</v>
          </cell>
          <cell r="S1648">
            <v>442026</v>
          </cell>
          <cell r="T1648">
            <v>0</v>
          </cell>
          <cell r="U1648">
            <v>2210130</v>
          </cell>
          <cell r="V1648">
            <v>2210130</v>
          </cell>
        </row>
        <row r="1649">
          <cell r="J1649">
            <v>1187</v>
          </cell>
          <cell r="K1649">
            <v>43143</v>
          </cell>
          <cell r="L1649" t="str">
            <v>CINDY PAOLA MARTINEZ ECHEVERRY</v>
          </cell>
          <cell r="M1649">
            <v>31</v>
          </cell>
          <cell r="N1649" t="str">
            <v>RESOLUCION</v>
          </cell>
          <cell r="O1649">
            <v>890</v>
          </cell>
          <cell r="P1649">
            <v>43143</v>
          </cell>
          <cell r="Q1649" t="str">
            <v>AYUDA TEMPORAL A LAS FAMILIAS DE VARIAS LOCALIDADES, PARA RELOCALIZACIÓN DE HOGARES LOCALIZADOS EN ZONAS DE ALTO RIESGO NO MITIGABLE ID:2016-08-14805, LOCALIDAD:08 KENNEDY, UPZ:82 PATIO BONITO, SECTOR:PALMITAS</v>
          </cell>
          <cell r="R1649">
            <v>2286925</v>
          </cell>
          <cell r="S1649">
            <v>457385</v>
          </cell>
          <cell r="T1649">
            <v>0</v>
          </cell>
          <cell r="U1649">
            <v>1829540</v>
          </cell>
          <cell r="V1649">
            <v>1829540</v>
          </cell>
        </row>
        <row r="1650">
          <cell r="J1650">
            <v>1188</v>
          </cell>
          <cell r="K1650">
            <v>43143</v>
          </cell>
          <cell r="L1650" t="str">
            <v>ELISABEL  REDONDO MOLINA</v>
          </cell>
          <cell r="M1650">
            <v>31</v>
          </cell>
          <cell r="N1650" t="str">
            <v>RESOLUCION</v>
          </cell>
          <cell r="O1650">
            <v>782</v>
          </cell>
          <cell r="P1650">
            <v>43143</v>
          </cell>
          <cell r="Q1650" t="str">
            <v>AYUDA TEMPORAL A LAS FAMILIAS DE VARIAS LOCALIDADES, PARA RELOCALIZACIÓN DE HOGARES LOCALIZADOS EN ZONAS DE ALTO RIESGO NO MITIGABLE ID:2017-08-14925, LOCALIDAD:08 KENNEDY, UPZ:82 PATIO BONITO, SECTOR:PALMITAS</v>
          </cell>
          <cell r="R1650">
            <v>3873016</v>
          </cell>
          <cell r="S1650">
            <v>0</v>
          </cell>
          <cell r="T1650">
            <v>0</v>
          </cell>
          <cell r="U1650">
            <v>3873016</v>
          </cell>
          <cell r="V1650">
            <v>3319728</v>
          </cell>
        </row>
        <row r="1651">
          <cell r="J1651">
            <v>1189</v>
          </cell>
          <cell r="K1651">
            <v>43143</v>
          </cell>
          <cell r="L1651" t="str">
            <v>MARIA HELENA GONZALEZ MENA</v>
          </cell>
          <cell r="M1651">
            <v>31</v>
          </cell>
          <cell r="N1651" t="str">
            <v>RESOLUCION</v>
          </cell>
          <cell r="O1651">
            <v>870</v>
          </cell>
          <cell r="P1651">
            <v>43143</v>
          </cell>
          <cell r="Q1651" t="str">
            <v>AYUDA TEMPORAL A LAS FAMILIAS DE VARIAS LOCALIDADES, PARA RELOCALIZACIÓN DE HOGARES LOCALIZADOS EN ZONAS DE ALTO RIESGO NO MITIGABLE ID:2015-OTR-01462, LOCALIDAD:02 CHAPINERO, UPZ:90 PARDO RUBIO</v>
          </cell>
          <cell r="R1651">
            <v>3441024</v>
          </cell>
          <cell r="S1651">
            <v>573504</v>
          </cell>
          <cell r="T1651">
            <v>0</v>
          </cell>
          <cell r="U1651">
            <v>2867520</v>
          </cell>
          <cell r="V1651">
            <v>2867520</v>
          </cell>
        </row>
        <row r="1652">
          <cell r="J1652">
            <v>1190</v>
          </cell>
          <cell r="K1652">
            <v>43143</v>
          </cell>
          <cell r="L1652" t="str">
            <v>EMIR  CARPIO LUVIEZA</v>
          </cell>
          <cell r="M1652">
            <v>31</v>
          </cell>
          <cell r="N1652" t="str">
            <v>RESOLUCION</v>
          </cell>
          <cell r="O1652">
            <v>891</v>
          </cell>
          <cell r="P1652">
            <v>43143</v>
          </cell>
          <cell r="Q1652" t="str">
            <v>AYUDA TEMPORAL A LAS FAMILIAS DE VARIAS LOCALIDADES, PARA RELOCALIZACIÓN DE HOGARES LOCALIZADOS EN ZONAS DE ALTO RIESGO NO MITIGABLE ID:2014-W166-038, LOCALIDAD:19 CIUDAD BOLÍVAR, UPZ:68 EL TESORO, SECTOR:WOUNAAN</v>
          </cell>
          <cell r="R1652">
            <v>2878200</v>
          </cell>
          <cell r="S1652">
            <v>479700</v>
          </cell>
          <cell r="T1652">
            <v>0</v>
          </cell>
          <cell r="U1652">
            <v>2398500</v>
          </cell>
          <cell r="V1652">
            <v>2398500</v>
          </cell>
        </row>
        <row r="1653">
          <cell r="J1653">
            <v>1191</v>
          </cell>
          <cell r="K1653">
            <v>43143</v>
          </cell>
          <cell r="L1653" t="str">
            <v>PLACIDO  MENDOZA MUINANE</v>
          </cell>
          <cell r="M1653">
            <v>31</v>
          </cell>
          <cell r="N1653" t="str">
            <v>RESOLUCION</v>
          </cell>
          <cell r="O1653">
            <v>783</v>
          </cell>
          <cell r="P1653">
            <v>43143</v>
          </cell>
          <cell r="Q1653" t="str">
            <v>AYUDA TEMPORAL A LAS FAMILIAS DE VARIAS LOCALIDADES, PARA RELOCALIZACIÓN DE HOGARES LOCALIZADOS EN ZONAS DE ALTO RIESGO NO MITIGABLE ID:2015-W166-505, LOCALIDAD:03 SANTA FE, UPZ:96 LOURDES, SECTOR:UITOTO</v>
          </cell>
          <cell r="R1653">
            <v>7119970</v>
          </cell>
          <cell r="S1653">
            <v>0</v>
          </cell>
          <cell r="T1653">
            <v>0</v>
          </cell>
          <cell r="U1653">
            <v>7119970</v>
          </cell>
          <cell r="V1653">
            <v>3833830</v>
          </cell>
        </row>
        <row r="1654">
          <cell r="J1654">
            <v>1192</v>
          </cell>
          <cell r="K1654">
            <v>43143</v>
          </cell>
          <cell r="L1654" t="str">
            <v>PEDRO PABLO RINCON VELASQUEZ</v>
          </cell>
          <cell r="M1654">
            <v>31</v>
          </cell>
          <cell r="N1654" t="str">
            <v>RESOLUCION</v>
          </cell>
          <cell r="O1654">
            <v>871</v>
          </cell>
          <cell r="P1654">
            <v>43143</v>
          </cell>
          <cell r="Q1654" t="str">
            <v>AYUDA TEMPORAL A LAS FAMILIAS DE VARIAS LOCALIDADES, PARA RELOCALIZACIÓN DE HOGARES LOCALIZADOS EN ZONAS DE ALTO RIESGO NO MITIGABLE ID:2012-T314-19, LOCALIDAD:04 SAN CRISTÓBAL, UPZ:50 LA GLORIA</v>
          </cell>
          <cell r="R1654">
            <v>2590566</v>
          </cell>
          <cell r="S1654">
            <v>0</v>
          </cell>
          <cell r="T1654">
            <v>0</v>
          </cell>
          <cell r="U1654">
            <v>2590566</v>
          </cell>
          <cell r="V1654">
            <v>1727044</v>
          </cell>
        </row>
        <row r="1655">
          <cell r="J1655">
            <v>1193</v>
          </cell>
          <cell r="K1655">
            <v>43143</v>
          </cell>
          <cell r="L1655" t="str">
            <v>JOSE LERU DURA ISMARE</v>
          </cell>
          <cell r="M1655">
            <v>31</v>
          </cell>
          <cell r="N1655" t="str">
            <v>RESOLUCION</v>
          </cell>
          <cell r="O1655">
            <v>892</v>
          </cell>
          <cell r="P1655">
            <v>43143</v>
          </cell>
          <cell r="Q1655" t="str">
            <v>AYUDA TEMPORAL A LAS FAMILIAS DE VARIAS LOCALIDADES, PARA RELOCALIZACIÓN DE HOGARES LOCALIZADOS EN ZONAS DE ALTO RIESGO NO MITIGABLE ID:2014-W166-073, LOCALIDAD:19 CIUDAD BOLÍVAR, UPZ:68 EL TESORO, SECTOR:WOUNAAN</v>
          </cell>
          <cell r="R1655">
            <v>4878720</v>
          </cell>
          <cell r="S1655">
            <v>0</v>
          </cell>
          <cell r="T1655">
            <v>0</v>
          </cell>
          <cell r="U1655">
            <v>4878720</v>
          </cell>
          <cell r="V1655">
            <v>2439360</v>
          </cell>
        </row>
        <row r="1656">
          <cell r="J1656">
            <v>1194</v>
          </cell>
          <cell r="K1656">
            <v>43143</v>
          </cell>
          <cell r="L1656" t="str">
            <v>OLINDA GRACILIANA VELASQUEZ DEROMERO</v>
          </cell>
          <cell r="M1656">
            <v>31</v>
          </cell>
          <cell r="N1656" t="str">
            <v>RESOLUCION</v>
          </cell>
          <cell r="O1656">
            <v>872</v>
          </cell>
          <cell r="P1656">
            <v>43143</v>
          </cell>
          <cell r="Q1656" t="str">
            <v>AYUDA TEMPORAL A LAS FAMILIAS DE VARIAS LOCALIDADES, PARA RELOCALIZACIÓN DE HOGARES LOCALIZADOS EN ZONAS DE ALTO RIESGO NO MITIGABLE ID:2009-4-11166, LOCALIDAD:04 SAN CRISTÓBAL, UPZ:50 LA GLORIA</v>
          </cell>
          <cell r="R1656">
            <v>2564766</v>
          </cell>
          <cell r="S1656">
            <v>0</v>
          </cell>
          <cell r="T1656">
            <v>0</v>
          </cell>
          <cell r="U1656">
            <v>2564766</v>
          </cell>
          <cell r="V1656">
            <v>2137305</v>
          </cell>
        </row>
        <row r="1657">
          <cell r="J1657">
            <v>1195</v>
          </cell>
          <cell r="K1657">
            <v>43143</v>
          </cell>
          <cell r="L1657" t="str">
            <v>PERCY  RIVAS PERILLA</v>
          </cell>
          <cell r="M1657">
            <v>31</v>
          </cell>
          <cell r="N1657" t="str">
            <v>RESOLUCION</v>
          </cell>
          <cell r="O1657">
            <v>893</v>
          </cell>
          <cell r="P1657">
            <v>43143</v>
          </cell>
          <cell r="Q1657" t="str">
            <v>AYUDA TEMPORAL A LAS FAMILIAS DE VARIAS LOCALIDADES, PARA RELOCALIZACIÓN DE HOGARES LOCALIZADOS EN ZONAS DE ALTO RIESGO NO MITIGABLE ID:2011-19-12621, LOCALIDAD:19 CIUDAD BOLÍVAR, UPZ:67 LUCERO</v>
          </cell>
          <cell r="R1657">
            <v>2582006</v>
          </cell>
          <cell r="S1657">
            <v>368858</v>
          </cell>
          <cell r="T1657">
            <v>0</v>
          </cell>
          <cell r="U1657">
            <v>2213148</v>
          </cell>
          <cell r="V1657">
            <v>2213148</v>
          </cell>
        </row>
        <row r="1658">
          <cell r="J1658">
            <v>1196</v>
          </cell>
          <cell r="K1658">
            <v>43143</v>
          </cell>
          <cell r="L1658" t="str">
            <v>MIRELLA NATIVA MENDEZ ARISTIZABAL</v>
          </cell>
          <cell r="M1658">
            <v>31</v>
          </cell>
          <cell r="N1658" t="str">
            <v>RESOLUCION</v>
          </cell>
          <cell r="O1658">
            <v>873</v>
          </cell>
          <cell r="P1658">
            <v>43143</v>
          </cell>
          <cell r="Q1658" t="str">
            <v>AYUDA TEMPORAL A LAS FAMILIAS DE VARIAS LOCALIDADES, PARA RELOCALIZACIÓN DE HOGARES LOCALIZADOS EN ZONAS DE ALTO RIESGO NO MITIGABLE ID:2015-ALES-536, LOCALIDAD:19 CIUDAD BOLÍVAR, UPZ:69 ISMAEL PERDOMO, SECTOR:ALTOS DE LA ESTANCIA</v>
          </cell>
          <cell r="R1658">
            <v>3157315</v>
          </cell>
          <cell r="S1658">
            <v>451045</v>
          </cell>
          <cell r="T1658">
            <v>0</v>
          </cell>
          <cell r="U1658">
            <v>2706270</v>
          </cell>
          <cell r="V1658">
            <v>2706270</v>
          </cell>
        </row>
        <row r="1659">
          <cell r="J1659">
            <v>1197</v>
          </cell>
          <cell r="K1659">
            <v>43143</v>
          </cell>
          <cell r="L1659" t="str">
            <v>RUFINO ZAT ARIZA CONTRERAS</v>
          </cell>
          <cell r="M1659">
            <v>31</v>
          </cell>
          <cell r="N1659" t="str">
            <v>RESOLUCION</v>
          </cell>
          <cell r="O1659">
            <v>784</v>
          </cell>
          <cell r="P1659">
            <v>43143</v>
          </cell>
          <cell r="Q1659" t="str">
            <v>AYUDA TEMPORAL A LAS FAMILIAS DE VARIAS LOCALIDADES, PARA RELOCALIZACIÓN DE HOGARES LOCALIZADOS EN ZONAS DE ALTO RIESGO NO MITIGABLE ID:2013-V01-00754, LOCALIDAD:19 CIUDAD BOLÍVAR, UPZ:67 LUCERO, SECTOR:</v>
          </cell>
          <cell r="R1659">
            <v>2846046</v>
          </cell>
          <cell r="S1659">
            <v>0</v>
          </cell>
          <cell r="T1659">
            <v>0</v>
          </cell>
          <cell r="U1659">
            <v>2846046</v>
          </cell>
          <cell r="V1659">
            <v>1626312</v>
          </cell>
        </row>
        <row r="1660">
          <cell r="J1660">
            <v>1198</v>
          </cell>
          <cell r="K1660">
            <v>43143</v>
          </cell>
          <cell r="L1660" t="str">
            <v>BLANCA STELLA DIAZ SALAMANCA</v>
          </cell>
          <cell r="M1660">
            <v>31</v>
          </cell>
          <cell r="N1660" t="str">
            <v>RESOLUCION</v>
          </cell>
          <cell r="O1660">
            <v>874</v>
          </cell>
          <cell r="P1660">
            <v>43143</v>
          </cell>
          <cell r="Q1660" t="str">
            <v>AYUDA TEMPORAL A LAS FAMILIAS DE VARIAS LOCALIDADES, PARA RELOCALIZACIÓN DE HOGARES LOCALIZADOS EN ZONAS DE ALTO RIESGO NO MITIGABLE ID:2011-20-13434, LOCALIDAD:20 SUMAPAZ, UPZ:5 UPR RIO SUMAPAZ</v>
          </cell>
          <cell r="R1660">
            <v>4204986</v>
          </cell>
          <cell r="S1660">
            <v>700831</v>
          </cell>
          <cell r="T1660">
            <v>0</v>
          </cell>
          <cell r="U1660">
            <v>3504155</v>
          </cell>
          <cell r="V1660">
            <v>3504155</v>
          </cell>
        </row>
        <row r="1661">
          <cell r="J1661">
            <v>1199</v>
          </cell>
          <cell r="K1661">
            <v>43143</v>
          </cell>
          <cell r="L1661" t="str">
            <v>MARIA GUILLERMINA LOPEZ DE ZAMBRANO</v>
          </cell>
          <cell r="M1661">
            <v>31</v>
          </cell>
          <cell r="N1661" t="str">
            <v>RESOLUCION</v>
          </cell>
          <cell r="O1661">
            <v>875</v>
          </cell>
          <cell r="P1661">
            <v>43143</v>
          </cell>
          <cell r="Q1661" t="str">
            <v>AYUDA TEMPORAL A LAS FAMILIAS DE VARIAS LOCALIDADES, PARA RELOCALIZACIÓN DE HOGARES LOCALIZADOS EN ZONAS DE ALTO RIESGO NO MITIGABLE ID:2014-C01-00808, LOCALIDAD:19 CIUDAD BOLÍVAR, UPZ:68 EL TESORO</v>
          </cell>
          <cell r="R1661">
            <v>1534452</v>
          </cell>
          <cell r="S1661">
            <v>383613</v>
          </cell>
          <cell r="T1661">
            <v>0</v>
          </cell>
          <cell r="U1661">
            <v>1150839</v>
          </cell>
          <cell r="V1661">
            <v>1150839</v>
          </cell>
        </row>
        <row r="1662">
          <cell r="J1662">
            <v>1200</v>
          </cell>
          <cell r="K1662">
            <v>43143</v>
          </cell>
          <cell r="L1662" t="str">
            <v>FABIAN  CASTRO CASTAÑEDA</v>
          </cell>
          <cell r="M1662">
            <v>31</v>
          </cell>
          <cell r="N1662" t="str">
            <v>RESOLUCION</v>
          </cell>
          <cell r="O1662">
            <v>894</v>
          </cell>
          <cell r="P1662">
            <v>43143</v>
          </cell>
          <cell r="Q1662" t="str">
            <v>AYUDA TEMPORAL A LAS FAMILIAS DE VARIAS LOCALIDADES, PARA RELOCALIZACIÓN DE HOGARES LOCALIZADOS EN ZONAS DE ALTO RIESGO NO MITIGABLE ID:2015-OTR-01494, LOCALIDAD:11 SUBA, UPZ:71 TIBABUYES, SECTOR:GAVILANES</v>
          </cell>
          <cell r="R1662">
            <v>2788569</v>
          </cell>
          <cell r="S1662">
            <v>398367</v>
          </cell>
          <cell r="T1662">
            <v>0</v>
          </cell>
          <cell r="U1662">
            <v>2390202</v>
          </cell>
          <cell r="V1662">
            <v>2390202</v>
          </cell>
        </row>
        <row r="1663">
          <cell r="J1663">
            <v>1201</v>
          </cell>
          <cell r="K1663">
            <v>43143</v>
          </cell>
          <cell r="L1663" t="str">
            <v>LUZ MARY CASTILLO DE REINA</v>
          </cell>
          <cell r="M1663">
            <v>31</v>
          </cell>
          <cell r="N1663" t="str">
            <v>RESOLUCION</v>
          </cell>
          <cell r="O1663">
            <v>876</v>
          </cell>
          <cell r="P1663">
            <v>43143</v>
          </cell>
          <cell r="Q1663" t="str">
            <v>AYUDA TEMPORAL A LAS FAMILIAS DE VARIAS LOCALIDADES, PARA RELOCALIZACIÓN DE HOGARES LOCALIZADOS EN ZONAS DE ALTO RIESGO NO MITIGABLE ID:2011-19-13492, LOCALIDAD:19 CIUDAD BOLÍVAR, UPZ:68 EL TESORO</v>
          </cell>
          <cell r="R1663">
            <v>5430984</v>
          </cell>
          <cell r="S1663">
            <v>0</v>
          </cell>
          <cell r="T1663">
            <v>0</v>
          </cell>
          <cell r="U1663">
            <v>5430984</v>
          </cell>
          <cell r="V1663">
            <v>835536</v>
          </cell>
        </row>
        <row r="1664">
          <cell r="J1664">
            <v>1202</v>
          </cell>
          <cell r="K1664">
            <v>43143</v>
          </cell>
          <cell r="L1664" t="str">
            <v>JHON FREDY PARRA PARRA</v>
          </cell>
          <cell r="M1664">
            <v>31</v>
          </cell>
          <cell r="N1664" t="str">
            <v>RESOLUCION</v>
          </cell>
          <cell r="O1664">
            <v>785</v>
          </cell>
          <cell r="P1664">
            <v>43143</v>
          </cell>
          <cell r="Q1664" t="str">
            <v>AYUDA TEMPORAL A LAS FAMILIAS DE VARIAS LOCALIDADES, PARA RELOCALIZACIÓN DE HOGARES LOCALIZADOS EN ZONAS DE ALTO RIESGO NO MITIGABLE ID:2013-Q10-00612, LOCALIDAD:04 SAN CRISTÓBAL, UPZ:51 LOS LIBERTADORES, SECTOR:QUEBRADA VEREJONES</v>
          </cell>
          <cell r="R1664">
            <v>5285280</v>
          </cell>
          <cell r="S1664">
            <v>0</v>
          </cell>
          <cell r="T1664">
            <v>0</v>
          </cell>
          <cell r="U1664">
            <v>5285280</v>
          </cell>
          <cell r="V1664">
            <v>2845920</v>
          </cell>
        </row>
        <row r="1665">
          <cell r="J1665">
            <v>1203</v>
          </cell>
          <cell r="K1665">
            <v>43143</v>
          </cell>
          <cell r="L1665" t="str">
            <v>ROSA ELENA GUTIERREZ</v>
          </cell>
          <cell r="M1665">
            <v>31</v>
          </cell>
          <cell r="N1665" t="str">
            <v>RESOLUCION</v>
          </cell>
          <cell r="O1665">
            <v>877</v>
          </cell>
          <cell r="P1665">
            <v>43143</v>
          </cell>
          <cell r="Q1665" t="str">
            <v>AYUDA TEMPORAL A LAS FAMILIAS DE VARIAS LOCALIDADES, PARA RELOCALIZACIÓN DE HOGARES LOCALIZADOS EN ZONAS DE ALTO RIESGO NO MITIGABLE ID:2011-4-12651, LOCALIDAD:04 SAN CRISTÓBAL, UPZ:32 SAN BLAS</v>
          </cell>
          <cell r="R1665">
            <v>2661239</v>
          </cell>
          <cell r="S1665">
            <v>380177</v>
          </cell>
          <cell r="T1665">
            <v>0</v>
          </cell>
          <cell r="U1665">
            <v>2281062</v>
          </cell>
          <cell r="V1665">
            <v>2281062</v>
          </cell>
        </row>
        <row r="1666">
          <cell r="J1666">
            <v>1204</v>
          </cell>
          <cell r="K1666">
            <v>43143</v>
          </cell>
          <cell r="L1666" t="str">
            <v>AMPARO  CHAPARRO</v>
          </cell>
          <cell r="M1666">
            <v>31</v>
          </cell>
          <cell r="N1666" t="str">
            <v>RESOLUCION</v>
          </cell>
          <cell r="O1666">
            <v>878</v>
          </cell>
          <cell r="P1666">
            <v>43143</v>
          </cell>
          <cell r="Q1666" t="str">
            <v>AYUDA TEMPORAL A LAS FAMILIAS DE VARIAS LOCALIDADES, PARA RELOCALIZACIÓN DE HOGARES LOCALIZADOS EN ZONAS DE ALTO RIESGO NO MITIGABLE ID:2013-Q04-00287, LOCALIDAD:19 CIUDAD BOLÍVAR, UPZ:67 LUCERO, SECTOR:PEÑA COLORADA</v>
          </cell>
          <cell r="R1666">
            <v>2582006</v>
          </cell>
          <cell r="S1666">
            <v>368858</v>
          </cell>
          <cell r="T1666">
            <v>0</v>
          </cell>
          <cell r="U1666">
            <v>2213148</v>
          </cell>
          <cell r="V1666">
            <v>2213148</v>
          </cell>
        </row>
        <row r="1667">
          <cell r="J1667">
            <v>1205</v>
          </cell>
          <cell r="K1667">
            <v>43143</v>
          </cell>
          <cell r="L1667" t="str">
            <v>MARIA WALDINA MANCILLA LADINO</v>
          </cell>
          <cell r="M1667">
            <v>31</v>
          </cell>
          <cell r="N1667" t="str">
            <v>RESOLUCION</v>
          </cell>
          <cell r="O1667">
            <v>786</v>
          </cell>
          <cell r="P1667">
            <v>43143</v>
          </cell>
          <cell r="Q1667" t="str">
            <v>AYUDA TEMPORAL A LAS FAMILIAS DE VARIAS LOCALIDADES, PARA RELOCALIZACIÓN DE HOGARES LOCALIZADOS EN ZONAS DE ALTO RIESGO NO MITIGABLE ID:2013000532, LOCALIDAD:19 CIUDAD BOLÍVAR, UPZ:67 LUCERO, SECTOR:PEÑA COLORADA</v>
          </cell>
          <cell r="R1667">
            <v>5178771</v>
          </cell>
          <cell r="S1667">
            <v>0</v>
          </cell>
          <cell r="T1667">
            <v>0</v>
          </cell>
          <cell r="U1667">
            <v>5178771</v>
          </cell>
          <cell r="V1667">
            <v>2788569</v>
          </cell>
        </row>
        <row r="1668">
          <cell r="J1668">
            <v>1206</v>
          </cell>
          <cell r="K1668">
            <v>43143</v>
          </cell>
          <cell r="L1668" t="str">
            <v>ANA MILENA SUREZ MUNZA</v>
          </cell>
          <cell r="M1668">
            <v>31</v>
          </cell>
          <cell r="N1668" t="str">
            <v>RESOLUCION</v>
          </cell>
          <cell r="O1668">
            <v>879</v>
          </cell>
          <cell r="P1668">
            <v>43143</v>
          </cell>
          <cell r="Q1668" t="str">
            <v>AYUDA TEMPORAL A LAS FAMILIAS DE VARIAS LOCALIDADES, PARA RELOCALIZACIÓN DE HOGARES LOCALIZADOS EN ZONAS DE ALTO RIESGO NO MITIGABLE ID:2016-08-14897, LOCALIDAD:08 KENNEDY, UPZ:82 PATIO BONITO, SECTOR:PALMITAS</v>
          </cell>
          <cell r="R1668">
            <v>7082088</v>
          </cell>
          <cell r="S1668">
            <v>0</v>
          </cell>
          <cell r="T1668">
            <v>0</v>
          </cell>
          <cell r="U1668">
            <v>7082088</v>
          </cell>
          <cell r="V1668">
            <v>4131218</v>
          </cell>
        </row>
        <row r="1669">
          <cell r="J1669">
            <v>1207</v>
          </cell>
          <cell r="K1669">
            <v>43143</v>
          </cell>
          <cell r="L1669" t="str">
            <v>HECTOR MAURICIO VELEZ SANCHEZ</v>
          </cell>
          <cell r="M1669">
            <v>31</v>
          </cell>
          <cell r="N1669" t="str">
            <v>RESOLUCION</v>
          </cell>
          <cell r="O1669">
            <v>880</v>
          </cell>
          <cell r="P1669">
            <v>43143</v>
          </cell>
          <cell r="Q1669" t="str">
            <v>AYUDA TEMPORAL A LAS FAMILIAS DE VARIAS LOCALIDADES, PARA RELOCALIZACIÓN DE HOGARES LOCALIZADOS EN ZONAS DE ALTO RIESGO NO MITIGABLE ID:2011-5-13283, LOCALIDAD:05 USME, UPZ:56 DANUBIO</v>
          </cell>
          <cell r="R1669">
            <v>2924376</v>
          </cell>
          <cell r="S1669">
            <v>417768</v>
          </cell>
          <cell r="T1669">
            <v>0</v>
          </cell>
          <cell r="U1669">
            <v>2506608</v>
          </cell>
          <cell r="V1669">
            <v>2506608</v>
          </cell>
        </row>
        <row r="1670">
          <cell r="J1670">
            <v>1208</v>
          </cell>
          <cell r="K1670">
            <v>43143</v>
          </cell>
          <cell r="L1670" t="str">
            <v>ANA CLAUDINA ESCOBAR ROJAS</v>
          </cell>
          <cell r="M1670">
            <v>31</v>
          </cell>
          <cell r="N1670" t="str">
            <v>RESOLUCION</v>
          </cell>
          <cell r="O1670">
            <v>787</v>
          </cell>
          <cell r="P1670">
            <v>43143</v>
          </cell>
          <cell r="Q1670" t="str">
            <v>AYUDA TEMPORAL A LAS FAMILIAS DE VARIAS LOCALIDADES, PARA RELOCALIZACIÓN DE HOGARES LOCALIZADOS EN ZONAS DE ALTO RIESGO NO MITIGABLE ID:2013000468, LOCALIDAD:04 SAN CRISTÓBAL, UPZ:51 LOS LIBERTADORES, SECTOR:QUEBRADA VEREJONES</v>
          </cell>
          <cell r="R1670">
            <v>2382790</v>
          </cell>
          <cell r="S1670">
            <v>476558</v>
          </cell>
          <cell r="T1670">
            <v>0</v>
          </cell>
          <cell r="U1670">
            <v>1906232</v>
          </cell>
          <cell r="V1670">
            <v>1906232</v>
          </cell>
        </row>
        <row r="1671">
          <cell r="J1671">
            <v>1209</v>
          </cell>
          <cell r="K1671">
            <v>43143</v>
          </cell>
          <cell r="L1671" t="str">
            <v>ELIZABETH  CAGUA YATE</v>
          </cell>
          <cell r="M1671">
            <v>31</v>
          </cell>
          <cell r="N1671" t="str">
            <v>RESOLUCION</v>
          </cell>
          <cell r="O1671">
            <v>881</v>
          </cell>
          <cell r="P1671">
            <v>43143</v>
          </cell>
          <cell r="Q1671" t="str">
            <v>AYUDA TEMPORAL A LAS FAMILIAS DE VARIAS LOCALIDADES, PARA RELOCALIZACIÓN DE HOGARES LOCALIZADOS EN ZONAS DE ALTO RIESGO NO MITIGABLE ID:2016-08-14796, LOCALIDAD:08 KENNEDY, UPZ:82 PATIO BONITO, SECTOR:PALMITAS</v>
          </cell>
          <cell r="R1671">
            <v>5436970</v>
          </cell>
          <cell r="S1671">
            <v>0</v>
          </cell>
          <cell r="T1671">
            <v>0</v>
          </cell>
          <cell r="U1671">
            <v>5436970</v>
          </cell>
          <cell r="V1671">
            <v>3459890</v>
          </cell>
        </row>
        <row r="1672">
          <cell r="J1672">
            <v>1210</v>
          </cell>
          <cell r="K1672">
            <v>43143</v>
          </cell>
          <cell r="L1672" t="str">
            <v>ADELA DEL CARMEN ROSAS DE VARGAS</v>
          </cell>
          <cell r="M1672">
            <v>31</v>
          </cell>
          <cell r="N1672" t="str">
            <v>RESOLUCION</v>
          </cell>
          <cell r="O1672">
            <v>788</v>
          </cell>
          <cell r="P1672">
            <v>43143</v>
          </cell>
          <cell r="Q1672" t="str">
            <v>AYUDA TEMPORAL A LAS FAMILIAS DE VARIAS LOCALIDADES, PARA RELOCALIZACIÓN DE HOGARES LOCALIZADOS EN ZONAS DE ALTO RIESGO NO MITIGABLE ID:2015-Q20-01408, LOCALIDAD:04 SAN CRISTÓBAL, UPZ:50 LA GLORIA, SECTOR:LA CHIGUAZA</v>
          </cell>
          <cell r="R1672">
            <v>4795154</v>
          </cell>
          <cell r="S1672">
            <v>0</v>
          </cell>
          <cell r="T1672">
            <v>0</v>
          </cell>
          <cell r="U1672">
            <v>4795154</v>
          </cell>
          <cell r="V1672">
            <v>2582006</v>
          </cell>
        </row>
        <row r="1673">
          <cell r="J1673">
            <v>1211</v>
          </cell>
          <cell r="K1673">
            <v>43143</v>
          </cell>
          <cell r="L1673" t="str">
            <v>LUIS JORGE ROJAS HERNANDEZ</v>
          </cell>
          <cell r="M1673">
            <v>31</v>
          </cell>
          <cell r="N1673" t="str">
            <v>RESOLUCION</v>
          </cell>
          <cell r="O1673">
            <v>882</v>
          </cell>
          <cell r="P1673">
            <v>43143</v>
          </cell>
          <cell r="Q1673" t="str">
            <v>AYUDA TEMPORAL A LAS FAMILIAS DE VARIAS LOCALIDADES, PARA RELOCALIZACIÓN DE HOGARES LOCALIZADOS EN ZONAS DE ALTO RIESGO NO MITIGABLE ID:2014-OTR-00961, LOCALIDAD:19 CIUDAD BOLÍVAR, UPZ:67 LUCERO, SECTOR:TABOR ALTALOMA</v>
          </cell>
          <cell r="R1673">
            <v>3017000</v>
          </cell>
          <cell r="S1673">
            <v>431000</v>
          </cell>
          <cell r="T1673">
            <v>0</v>
          </cell>
          <cell r="U1673">
            <v>2586000</v>
          </cell>
          <cell r="V1673">
            <v>2586000</v>
          </cell>
        </row>
        <row r="1674">
          <cell r="J1674">
            <v>1212</v>
          </cell>
          <cell r="K1674">
            <v>43143</v>
          </cell>
          <cell r="L1674" t="str">
            <v>DILFIO  MERCAZA ISMARE</v>
          </cell>
          <cell r="M1674">
            <v>31</v>
          </cell>
          <cell r="N1674" t="str">
            <v>RESOLUCION</v>
          </cell>
          <cell r="O1674">
            <v>895</v>
          </cell>
          <cell r="P1674">
            <v>43143</v>
          </cell>
          <cell r="Q1674" t="str">
            <v>AYUDA TEMPORAL A LAS FAMILIAS DE VARIAS LOCALIDADES, PARA RELOCALIZACIÓN DE HOGARES LOCALIZADOS EN ZONAS DE ALTO RIESGO NO MITIGABLE ID:2014-W166-024, LOCALIDAD:19 CIUDAD BOLÍVAR, UPZ:68 EL TESORO, SECTOR:WOUNAAN</v>
          </cell>
          <cell r="R1674">
            <v>1626240</v>
          </cell>
          <cell r="S1674">
            <v>406560</v>
          </cell>
          <cell r="T1674">
            <v>0</v>
          </cell>
          <cell r="U1674">
            <v>1219680</v>
          </cell>
          <cell r="V1674">
            <v>1219680</v>
          </cell>
        </row>
        <row r="1675">
          <cell r="J1675">
            <v>1213</v>
          </cell>
          <cell r="K1675">
            <v>43143</v>
          </cell>
          <cell r="L1675" t="str">
            <v>ALONSO  CONQUISTA CARPIO</v>
          </cell>
          <cell r="M1675">
            <v>31</v>
          </cell>
          <cell r="N1675" t="str">
            <v>RESOLUCION</v>
          </cell>
          <cell r="O1675">
            <v>896</v>
          </cell>
          <cell r="P1675">
            <v>43143</v>
          </cell>
          <cell r="Q1675" t="str">
            <v>AYUDA TEMPORAL A LAS FAMILIAS DE VARIAS LOCALIDADES, PARA RELOCALIZACIÓN DE HOGARES LOCALIZADOS EN ZONAS DE ALTO RIESGO NO MITIGABLE ID:2014-W166-049, LOCALIDAD:19 CIUDAD BOLÍVAR, UPZ:68 EL TESORO, SECTOR:WOUNAAN</v>
          </cell>
          <cell r="R1675">
            <v>2213152</v>
          </cell>
          <cell r="S1675">
            <v>553288</v>
          </cell>
          <cell r="T1675">
            <v>0</v>
          </cell>
          <cell r="U1675">
            <v>1659864</v>
          </cell>
          <cell r="V1675">
            <v>1659864</v>
          </cell>
        </row>
        <row r="1676">
          <cell r="J1676">
            <v>1214</v>
          </cell>
          <cell r="K1676">
            <v>43143</v>
          </cell>
          <cell r="L1676" t="str">
            <v>MYRIAM  MUNERA DE LONDONO</v>
          </cell>
          <cell r="M1676">
            <v>31</v>
          </cell>
          <cell r="N1676" t="str">
            <v>RESOLUCION</v>
          </cell>
          <cell r="O1676">
            <v>789</v>
          </cell>
          <cell r="P1676">
            <v>43143</v>
          </cell>
          <cell r="Q1676" t="str">
            <v>AYUDA TEMPORAL A LAS FAMILIAS DE VARIAS LOCALIDADES, PARA RELOCALIZACIÓN DE HOGARES LOCALIZADOS EN ZONAS DE ALTO RIESGO NO MITIGABLE ID:2013000126, LOCALIDAD:04 SAN CRISTÓBAL, UPZ:51 LOS LIBERTADORES, SECTOR:QUEBRADA VEREJONES</v>
          </cell>
          <cell r="R1676">
            <v>4795154</v>
          </cell>
          <cell r="S1676">
            <v>0</v>
          </cell>
          <cell r="T1676">
            <v>0</v>
          </cell>
          <cell r="U1676">
            <v>4795154</v>
          </cell>
          <cell r="V1676">
            <v>2582006</v>
          </cell>
        </row>
        <row r="1677">
          <cell r="J1677">
            <v>1215</v>
          </cell>
          <cell r="K1677">
            <v>43143</v>
          </cell>
          <cell r="L1677" t="str">
            <v>HENRY  ALVAREZ</v>
          </cell>
          <cell r="M1677">
            <v>31</v>
          </cell>
          <cell r="N1677" t="str">
            <v>RESOLUCION</v>
          </cell>
          <cell r="O1677">
            <v>897</v>
          </cell>
          <cell r="P1677">
            <v>43143</v>
          </cell>
          <cell r="Q1677" t="str">
            <v>AYUDA TEMPORAL A LAS FAMILIAS DE VARIAS LOCALIDADES, PARA RELOCALIZACIÓN DE HOGARES LOCALIZADOS EN ZONAS DE ALTO RIESGO NO MITIGABLE ID:2015-D227-00060, LOCALIDAD:04 SAN CRISTÓBAL, UPZ:51 LOS LIBERTADORES, SECTOR:SANTA TERESITA</v>
          </cell>
          <cell r="R1677">
            <v>1844290</v>
          </cell>
          <cell r="S1677">
            <v>368858</v>
          </cell>
          <cell r="T1677">
            <v>0</v>
          </cell>
          <cell r="U1677">
            <v>1475432</v>
          </cell>
          <cell r="V1677">
            <v>1475432</v>
          </cell>
        </row>
        <row r="1678">
          <cell r="J1678">
            <v>1216</v>
          </cell>
          <cell r="K1678">
            <v>43143</v>
          </cell>
          <cell r="L1678" t="str">
            <v>JUAN ANTONIO BORJAS</v>
          </cell>
          <cell r="M1678">
            <v>31</v>
          </cell>
          <cell r="N1678" t="str">
            <v>RESOLUCION</v>
          </cell>
          <cell r="O1678">
            <v>790</v>
          </cell>
          <cell r="P1678">
            <v>43143</v>
          </cell>
          <cell r="Q1678" t="str">
            <v>AYUDA TEMPORAL A LAS FAMILIAS DE VARIAS LOCALIDADES, PARA RELOCALIZACIÓN DE HOGARES LOCALIZADOS EN ZONAS DE ALTO RIESGO NO MITIGABLE ID:2007-19-9742, LOCALIDAD:19 CIUDAD BOLÍVAR, UPZ:69 ISMAEL PERDOMO, SECTOR:</v>
          </cell>
          <cell r="R1678">
            <v>5178771</v>
          </cell>
          <cell r="S1678">
            <v>0</v>
          </cell>
          <cell r="T1678">
            <v>0</v>
          </cell>
          <cell r="U1678">
            <v>5178771</v>
          </cell>
          <cell r="V1678">
            <v>2788569</v>
          </cell>
        </row>
        <row r="1679">
          <cell r="J1679">
            <v>1217</v>
          </cell>
          <cell r="K1679">
            <v>43143</v>
          </cell>
          <cell r="L1679" t="str">
            <v>LUIS HERNAN SIERRA CASAS</v>
          </cell>
          <cell r="M1679">
            <v>31</v>
          </cell>
          <cell r="N1679" t="str">
            <v>RESOLUCION</v>
          </cell>
          <cell r="O1679">
            <v>898</v>
          </cell>
          <cell r="P1679">
            <v>43143</v>
          </cell>
          <cell r="Q1679" t="str">
            <v>AYUDA TEMPORAL A LAS FAMILIAS DE VARIAS LOCALIDADES, PARA RELOCALIZACIÓN DE HOGARES LOCALIZADOS EN ZONAS DE ALTO RIESGO NO MITIGABLE ID:2015-D227-00030, LOCALIDAD:04 SAN CRISTÓBAL, UPZ:51 LOS LIBERTADORES, SECTOR:SANTA TERESITA</v>
          </cell>
          <cell r="R1679">
            <v>1701340</v>
          </cell>
          <cell r="S1679">
            <v>425335</v>
          </cell>
          <cell r="T1679">
            <v>0</v>
          </cell>
          <cell r="U1679">
            <v>1276005</v>
          </cell>
          <cell r="V1679">
            <v>1276005</v>
          </cell>
        </row>
        <row r="1680">
          <cell r="J1680">
            <v>1218</v>
          </cell>
          <cell r="K1680">
            <v>43143</v>
          </cell>
          <cell r="L1680" t="str">
            <v>GUILLERMO ANTONIO PARRA BAUTISTA</v>
          </cell>
          <cell r="M1680">
            <v>31</v>
          </cell>
          <cell r="N1680" t="str">
            <v>RESOLUCION</v>
          </cell>
          <cell r="O1680">
            <v>791</v>
          </cell>
          <cell r="P1680">
            <v>43143</v>
          </cell>
          <cell r="Q1680" t="str">
            <v>AYUDA TEMPORAL A LAS FAMILIAS DE VARIAS LOCALIDADES, PARA RELOCALIZACIÓN DE HOGARES LOCALIZADOS EN ZONAS DE ALTO RIESGO NO MITIGABLE ID:2016-08-14863, LOCALIDAD:08 KENNEDY, UPZ:82 PATIO BONITO, SECTOR:PALMITAS</v>
          </cell>
          <cell r="R1680">
            <v>4687452</v>
          </cell>
          <cell r="S1680">
            <v>0</v>
          </cell>
          <cell r="T1680">
            <v>0</v>
          </cell>
          <cell r="U1680">
            <v>4687452</v>
          </cell>
          <cell r="V1680">
            <v>2343726</v>
          </cell>
        </row>
        <row r="1681">
          <cell r="J1681">
            <v>1219</v>
          </cell>
          <cell r="K1681">
            <v>43143</v>
          </cell>
          <cell r="L1681" t="str">
            <v>HERMENCIA  RODRIGUEZ BARRANTES</v>
          </cell>
          <cell r="M1681">
            <v>31</v>
          </cell>
          <cell r="N1681" t="str">
            <v>RESOLUCION</v>
          </cell>
          <cell r="O1681">
            <v>792</v>
          </cell>
          <cell r="P1681">
            <v>43143</v>
          </cell>
          <cell r="Q1681" t="str">
            <v>AYUDA TEMPORAL A LAS FAMILIAS DE VARIAS LOCALIDADES, PARA RELOCALIZACIÓN DE HOGARES LOCALIZADOS EN ZONAS DE ALTO RIESGO NO MITIGABLE ID:2013000019, LOCALIDAD:19 CIUDAD BOLÍVAR, UPZ:67 LUCERO, SECTOR:QUEBRADA CAÑO BAÚL</v>
          </cell>
          <cell r="R1681">
            <v>5172000</v>
          </cell>
          <cell r="S1681">
            <v>0</v>
          </cell>
          <cell r="T1681">
            <v>0</v>
          </cell>
          <cell r="U1681">
            <v>5172000</v>
          </cell>
          <cell r="V1681">
            <v>2586000</v>
          </cell>
        </row>
        <row r="1682">
          <cell r="J1682">
            <v>1220</v>
          </cell>
          <cell r="K1682">
            <v>43143</v>
          </cell>
          <cell r="L1682" t="str">
            <v>CIRO  MENDOZA ORTIZ</v>
          </cell>
          <cell r="M1682">
            <v>31</v>
          </cell>
          <cell r="N1682" t="str">
            <v>RESOLUCION</v>
          </cell>
          <cell r="O1682">
            <v>899</v>
          </cell>
          <cell r="P1682">
            <v>43143</v>
          </cell>
          <cell r="Q1682" t="str">
            <v>AYUDA TEMPORAL A LAS FAMILIAS DE VARIAS LOCALIDADES, PARA RELOCALIZACIÓN DE HOGARES LOCALIZADOS EN ZONAS DE ALTO RIESGO NO MITIGABLE ID:2015-W166-504, LOCALIDAD:03 SANTA FE, UPZ:96 LOURDES, SECTOR:UITOTO</v>
          </cell>
          <cell r="R1682">
            <v>2319056</v>
          </cell>
          <cell r="S1682">
            <v>579764</v>
          </cell>
          <cell r="T1682">
            <v>0</v>
          </cell>
          <cell r="U1682">
            <v>1739292</v>
          </cell>
          <cell r="V1682">
            <v>1739292</v>
          </cell>
        </row>
        <row r="1683">
          <cell r="J1683">
            <v>1221</v>
          </cell>
          <cell r="K1683">
            <v>43143</v>
          </cell>
          <cell r="L1683" t="str">
            <v>ALBEIRO  ORTIZ CHICHILIANO</v>
          </cell>
          <cell r="M1683">
            <v>31</v>
          </cell>
          <cell r="N1683" t="str">
            <v>RESOLUCION</v>
          </cell>
          <cell r="O1683">
            <v>900</v>
          </cell>
          <cell r="P1683">
            <v>43143</v>
          </cell>
          <cell r="Q1683" t="str">
            <v>AYUDA TEMPORAL A LAS FAMILIAS DE VARIAS LOCALIDADES, PARA RELOCALIZACIÓN DE HOGARES LOCALIZADOS EN ZONAS DE ALTO RIESGO NO MITIGABLE ID:2015-W166-418, LOCALIDAD:19 CIUDAD BOLÍVAR, UPZ:67 LUCERO, SECTOR:WOUNAAN</v>
          </cell>
          <cell r="R1683">
            <v>2964130</v>
          </cell>
          <cell r="S1683">
            <v>592826</v>
          </cell>
          <cell r="T1683">
            <v>0</v>
          </cell>
          <cell r="U1683">
            <v>2371304</v>
          </cell>
          <cell r="V1683">
            <v>2371304</v>
          </cell>
        </row>
        <row r="1684">
          <cell r="J1684">
            <v>1222</v>
          </cell>
          <cell r="K1684">
            <v>43143</v>
          </cell>
          <cell r="L1684" t="str">
            <v>EVANGELISTA  MORALES MORALES</v>
          </cell>
          <cell r="M1684">
            <v>31</v>
          </cell>
          <cell r="N1684" t="str">
            <v>RESOLUCION</v>
          </cell>
          <cell r="O1684">
            <v>901</v>
          </cell>
          <cell r="P1684">
            <v>43143</v>
          </cell>
          <cell r="Q1684" t="str">
            <v>AYUDA TEMPORAL A LAS FAMILIAS DE VARIAS LOCALIDADES, PARA RELOCALIZACIÓN DE HOGARES LOCALIZADOS EN ZONAS DE ALTO RIESGO NO MITIGABLE ID:2013-Q10-00506, LOCALIDAD:04 SAN CRISTÓBAL, UPZ:51 LOS LIBERTADORES, SECTOR:QUEBRADA VEREJONES</v>
          </cell>
          <cell r="R1684">
            <v>1829540</v>
          </cell>
          <cell r="S1684">
            <v>457385</v>
          </cell>
          <cell r="T1684">
            <v>0</v>
          </cell>
          <cell r="U1684">
            <v>1372155</v>
          </cell>
          <cell r="V1684">
            <v>1372155</v>
          </cell>
        </row>
        <row r="1685">
          <cell r="J1685">
            <v>1223</v>
          </cell>
          <cell r="K1685">
            <v>43143</v>
          </cell>
          <cell r="L1685" t="str">
            <v>MARIA CELINA ÑEÑETOFE MATIAS</v>
          </cell>
          <cell r="M1685">
            <v>31</v>
          </cell>
          <cell r="N1685" t="str">
            <v>RESOLUCION</v>
          </cell>
          <cell r="O1685">
            <v>902</v>
          </cell>
          <cell r="P1685">
            <v>43143</v>
          </cell>
          <cell r="Q1685" t="str">
            <v>AYUDA TEMPORAL A LAS FAMILIAS DE VARIAS LOCALIDADES, PARA RELOCALIZACIÓN DE HOGARES LOCALIZADOS EN ZONAS DE ALTO RIESGO NO MITIGABLE ID:2015-W166-524, LOCALIDAD:04 SAN CRISTÓBAL, UPZ:32 SAN BLAS, SECTOR:UITOTO</v>
          </cell>
          <cell r="R1685">
            <v>2319720</v>
          </cell>
          <cell r="S1685">
            <v>579930</v>
          </cell>
          <cell r="T1685">
            <v>0</v>
          </cell>
          <cell r="U1685">
            <v>1739790</v>
          </cell>
          <cell r="V1685">
            <v>1739790</v>
          </cell>
        </row>
        <row r="1686">
          <cell r="J1686">
            <v>1224</v>
          </cell>
          <cell r="K1686">
            <v>43143</v>
          </cell>
          <cell r="L1686" t="str">
            <v>GRACIELA  GANZASOY</v>
          </cell>
          <cell r="M1686">
            <v>31</v>
          </cell>
          <cell r="N1686" t="str">
            <v>RESOLUCION</v>
          </cell>
          <cell r="O1686">
            <v>793</v>
          </cell>
          <cell r="P1686">
            <v>43143</v>
          </cell>
          <cell r="Q1686" t="str">
            <v>AYUDA TEMPORAL A LAS FAMILIAS DE VARIAS LOCALIDADES, PARA RELOCALIZACIÓN DE HOGARES LOCALIZADOS EN ZONAS DE ALTO RIESGO NO MITIGABLE ID:2006-4-8757, LOCALIDAD:04 SAN CRISTÓBAL, UPZ:50 LA GLORIA.</v>
          </cell>
          <cell r="R1686">
            <v>5796466</v>
          </cell>
          <cell r="S1686">
            <v>0</v>
          </cell>
          <cell r="T1686">
            <v>0</v>
          </cell>
          <cell r="U1686">
            <v>5796466</v>
          </cell>
          <cell r="V1686">
            <v>3121174</v>
          </cell>
        </row>
        <row r="1687">
          <cell r="J1687">
            <v>1225</v>
          </cell>
          <cell r="K1687">
            <v>43143</v>
          </cell>
          <cell r="L1687" t="str">
            <v>AMILKAR  PIRAZA MEPAQUITO</v>
          </cell>
          <cell r="M1687">
            <v>31</v>
          </cell>
          <cell r="N1687" t="str">
            <v>RESOLUCION</v>
          </cell>
          <cell r="O1687">
            <v>903</v>
          </cell>
          <cell r="P1687">
            <v>43143</v>
          </cell>
          <cell r="Q1687" t="str">
            <v>AYUDA TEMPORAL A LAS FAMILIAS DE VARIAS LOCALIDADES, PARA RELOCALIZACIÓN DE HOGARES LOCALIZADOS EN ZONAS DE ALTO RIESGO NO MITIGABLE ID:2014-W166-050, LOCALIDAD:19 CIUDAD BOLÍVAR, UPZ:68 EL TESORO, SECTOR:WOUNAAN</v>
          </cell>
          <cell r="R1687">
            <v>2360696</v>
          </cell>
          <cell r="S1687">
            <v>590174</v>
          </cell>
          <cell r="T1687">
            <v>0</v>
          </cell>
          <cell r="U1687">
            <v>1770522</v>
          </cell>
          <cell r="V1687">
            <v>1770522</v>
          </cell>
        </row>
        <row r="1688">
          <cell r="J1688">
            <v>1226</v>
          </cell>
          <cell r="K1688">
            <v>43143</v>
          </cell>
          <cell r="L1688" t="str">
            <v>MARIA HILDA PRIETO SALAMANCA</v>
          </cell>
          <cell r="M1688">
            <v>31</v>
          </cell>
          <cell r="N1688" t="str">
            <v>RESOLUCION</v>
          </cell>
          <cell r="O1688">
            <v>794</v>
          </cell>
          <cell r="P1688">
            <v>43143</v>
          </cell>
          <cell r="Q1688" t="str">
            <v>AYUDA TEMPORAL A LAS FAMILIAS DE VARIAS LOCALIDADES, PARA RELOCALIZACIÓN DE HOGARES LOCALIZADOS EN ZONAS DE ALTO RIESGO NO MITIGABLE ID:2011-4-13355, LOCALIDAD:04 SAN CRISTÓBAL, UPZ:32 SAN BLAS.</v>
          </cell>
          <cell r="R1688">
            <v>3363507</v>
          </cell>
          <cell r="S1688">
            <v>480501</v>
          </cell>
          <cell r="T1688">
            <v>0</v>
          </cell>
          <cell r="U1688">
            <v>2883006</v>
          </cell>
          <cell r="V1688">
            <v>2883006</v>
          </cell>
        </row>
        <row r="1689">
          <cell r="J1689">
            <v>1227</v>
          </cell>
          <cell r="K1689">
            <v>43143</v>
          </cell>
          <cell r="L1689" t="str">
            <v>JAIME ANTONIO CAMARGO</v>
          </cell>
          <cell r="M1689">
            <v>31</v>
          </cell>
          <cell r="N1689" t="str">
            <v>RESOLUCION</v>
          </cell>
          <cell r="O1689">
            <v>904</v>
          </cell>
          <cell r="P1689">
            <v>43143</v>
          </cell>
          <cell r="Q1689" t="str">
            <v>AYUDA TEMPORAL A LAS FAMILIAS DE VARIAS LOCALIDADES, PARA RELOCALIZACIÓN DE HOGARES LOCALIZADOS EN ZONAS DE ALTO RIESGO NO MITIGABLE ID:2013-Q10-00471, LOCALIDAD:04 SAN CRISTÓBAL, UPZ:51 LOS LIBERTADORES, SECTOR:QUEBRADA VEREJONES</v>
          </cell>
          <cell r="R1689">
            <v>5603000</v>
          </cell>
          <cell r="S1689">
            <v>0</v>
          </cell>
          <cell r="T1689">
            <v>0</v>
          </cell>
          <cell r="U1689">
            <v>5603000</v>
          </cell>
          <cell r="V1689">
            <v>2155000</v>
          </cell>
        </row>
        <row r="1690">
          <cell r="J1690">
            <v>1228</v>
          </cell>
          <cell r="K1690">
            <v>43143</v>
          </cell>
          <cell r="L1690" t="str">
            <v>OLGA LUCIA ANDRADE SANCHEZ</v>
          </cell>
          <cell r="M1690">
            <v>31</v>
          </cell>
          <cell r="N1690" t="str">
            <v>RESOLUCION</v>
          </cell>
          <cell r="O1690">
            <v>905</v>
          </cell>
          <cell r="P1690">
            <v>43143</v>
          </cell>
          <cell r="Q1690" t="str">
            <v>AYUDA TEMPORAL A LAS FAMILIAS DE VARIAS LOCALIDADES, PARA RELOCALIZACIÓN DE HOGARES LOCALIZADOS EN ZONAS DE ALTO RIESGO NO MITIGABLE ID:2013000459, LOCALIDAD:04 SAN CRISTÓBAL, UPZ:51 LOS LIBERTADORES, SECTOR:QUEBRADA VEREJONES</v>
          </cell>
          <cell r="R1690">
            <v>2734345</v>
          </cell>
          <cell r="S1690">
            <v>546869</v>
          </cell>
          <cell r="T1690">
            <v>0</v>
          </cell>
          <cell r="U1690">
            <v>2187476</v>
          </cell>
          <cell r="V1690">
            <v>2187476</v>
          </cell>
        </row>
        <row r="1691">
          <cell r="J1691">
            <v>1229</v>
          </cell>
          <cell r="K1691">
            <v>43143</v>
          </cell>
          <cell r="L1691" t="str">
            <v>MARIA ELENA QUINTERO</v>
          </cell>
          <cell r="M1691">
            <v>31</v>
          </cell>
          <cell r="N1691" t="str">
            <v>RESOLUCION</v>
          </cell>
          <cell r="O1691">
            <v>906</v>
          </cell>
          <cell r="P1691">
            <v>43143</v>
          </cell>
          <cell r="Q1691" t="str">
            <v>AYUDA TEMPORAL A LAS FAMILIAS DE VARIAS LOCALIDADES, PARA RELOCALIZACIÓN DE HOGARES LOCALIZADOS EN ZONAS DE ALTO RIESGO NO MITIGABLE ID:2005-18-7102, LOCALIDAD:18 RAFAEL URIBE URIBE, UPZ:55 DIANA TURBAY.</v>
          </cell>
          <cell r="R1691">
            <v>4942301</v>
          </cell>
          <cell r="S1691">
            <v>0</v>
          </cell>
          <cell r="T1691">
            <v>0</v>
          </cell>
          <cell r="U1691">
            <v>4942301</v>
          </cell>
          <cell r="V1691">
            <v>2661239</v>
          </cell>
        </row>
        <row r="1692">
          <cell r="J1692">
            <v>1230</v>
          </cell>
          <cell r="K1692">
            <v>43143</v>
          </cell>
          <cell r="L1692" t="str">
            <v>NELFRIDO ENRIQUE TOVAR HOYOS</v>
          </cell>
          <cell r="M1692">
            <v>31</v>
          </cell>
          <cell r="N1692" t="str">
            <v>RESOLUCION</v>
          </cell>
          <cell r="O1692">
            <v>907</v>
          </cell>
          <cell r="P1692">
            <v>43143</v>
          </cell>
          <cell r="Q1692" t="str">
            <v>AYUDA TEMPORAL A LAS FAMILIAS DE VARIAS LOCALIDADES, PARA RELOCALIZACIÓN DE HOGARES LOCALIZADOS EN ZONAS DE ALTO RIESGO NO MITIGABLE ID:2016-08-14874, LOCALIDAD:08 KENNEDY, UPZ:82 PATIO BONITO, SECTOR:PALMITAS</v>
          </cell>
          <cell r="R1692">
            <v>4027933</v>
          </cell>
          <cell r="S1692">
            <v>0</v>
          </cell>
          <cell r="T1692">
            <v>0</v>
          </cell>
          <cell r="U1692">
            <v>4027933</v>
          </cell>
          <cell r="V1692">
            <v>3452514</v>
          </cell>
        </row>
        <row r="1693">
          <cell r="J1693">
            <v>1231</v>
          </cell>
          <cell r="K1693">
            <v>43143</v>
          </cell>
          <cell r="L1693" t="str">
            <v>JOSE MARIA DOKOE CAUCHERO</v>
          </cell>
          <cell r="M1693">
            <v>31</v>
          </cell>
          <cell r="N1693" t="str">
            <v>RESOLUCION</v>
          </cell>
          <cell r="O1693">
            <v>795</v>
          </cell>
          <cell r="P1693">
            <v>43143</v>
          </cell>
          <cell r="Q1693" t="str">
            <v>AYUDA TEMPORAL A LAS FAMILIAS DE VARIAS LOCALIDADES, PARA RELOCALIZACIÓN DE HOGARES LOCALIZADOS EN ZONAS DE ALTO RIESGO NO MITIGABLE ID:2016-W166-00025, LOCALIDAD:03 SANTA FE, UPZ:95 LAS CRUCES, SECTOR:UITOTO</v>
          </cell>
          <cell r="R1693">
            <v>5736263</v>
          </cell>
          <cell r="S1693">
            <v>0</v>
          </cell>
          <cell r="T1693">
            <v>0</v>
          </cell>
          <cell r="U1693">
            <v>5736263</v>
          </cell>
          <cell r="V1693">
            <v>3088757</v>
          </cell>
        </row>
        <row r="1694">
          <cell r="J1694">
            <v>1232</v>
          </cell>
          <cell r="K1694">
            <v>43143</v>
          </cell>
          <cell r="L1694" t="str">
            <v>CLEOFELINA  GARCIA DE CASTRO</v>
          </cell>
          <cell r="M1694">
            <v>31</v>
          </cell>
          <cell r="N1694" t="str">
            <v>RESOLUCION</v>
          </cell>
          <cell r="O1694">
            <v>796</v>
          </cell>
          <cell r="P1694">
            <v>43143</v>
          </cell>
          <cell r="Q1694" t="str">
            <v>AYUDA TEMPORAL A LAS FAMILIAS DE VARIAS LOCALIDADES, PARA RELOCALIZACIÓN DE HOGARES LOCALIZADOS EN ZONAS DE ALTO RIESGO NO MITIGABLE ID:2014-OTR-00888, LOCALIDAD:03 SANTA FE, UPZ:96 LOURDES, SECTOR:CASA 2</v>
          </cell>
          <cell r="R1694">
            <v>3014166</v>
          </cell>
          <cell r="S1694">
            <v>502361</v>
          </cell>
          <cell r="T1694">
            <v>0</v>
          </cell>
          <cell r="U1694">
            <v>2511805</v>
          </cell>
          <cell r="V1694">
            <v>2511805</v>
          </cell>
        </row>
        <row r="1695">
          <cell r="J1695">
            <v>1233</v>
          </cell>
          <cell r="K1695">
            <v>43143</v>
          </cell>
          <cell r="L1695" t="str">
            <v>NELSON ARLEY ZULUAGA RAMIREZ</v>
          </cell>
          <cell r="M1695">
            <v>31</v>
          </cell>
          <cell r="N1695" t="str">
            <v>RESOLUCION</v>
          </cell>
          <cell r="O1695">
            <v>797</v>
          </cell>
          <cell r="P1695">
            <v>43143</v>
          </cell>
          <cell r="Q1695" t="str">
            <v>AYUDA TEMPORAL A LAS FAMILIAS DE VARIAS LOCALIDADES, PARA RELOCALIZACIÓN DE HOGARES LOCALIZADOS EN ZONAS DE ALTO RIESGO NO MITIGABLE ID:2016-08-14862, LOCALIDAD:08 KENNEDY, UPZ:82 PATIO BONITO, SECTOR:PALMITAS</v>
          </cell>
          <cell r="R1695">
            <v>4929600</v>
          </cell>
          <cell r="S1695">
            <v>0</v>
          </cell>
          <cell r="T1695">
            <v>0</v>
          </cell>
          <cell r="U1695">
            <v>4929600</v>
          </cell>
          <cell r="V1695">
            <v>2654400</v>
          </cell>
        </row>
        <row r="1696">
          <cell r="J1696">
            <v>1234</v>
          </cell>
          <cell r="K1696">
            <v>43143</v>
          </cell>
          <cell r="L1696" t="str">
            <v>ASTRID KATHERINE GAMBA GARZON</v>
          </cell>
          <cell r="M1696">
            <v>31</v>
          </cell>
          <cell r="N1696" t="str">
            <v>RESOLUCION</v>
          </cell>
          <cell r="O1696">
            <v>798</v>
          </cell>
          <cell r="P1696">
            <v>43143</v>
          </cell>
          <cell r="Q1696" t="str">
            <v>AYUDA TEMPORAL A LAS FAMILIAS DE VARIAS LOCALIDADES, PARA RELOCALIZACIÓN DE HOGARES LOCALIZADOS EN ZONAS DE ALTO RIESGO NO MITIGABLE ID:2015-3-14759, LOCALIDAD:03 SANTA FE, UPZ:96 LOURDES,</v>
          </cell>
          <cell r="R1696">
            <v>6431698</v>
          </cell>
          <cell r="S1696">
            <v>0</v>
          </cell>
          <cell r="T1696">
            <v>0</v>
          </cell>
          <cell r="U1696">
            <v>6431698</v>
          </cell>
          <cell r="V1696">
            <v>3463222</v>
          </cell>
        </row>
        <row r="1697">
          <cell r="J1697">
            <v>1235</v>
          </cell>
          <cell r="K1697">
            <v>43143</v>
          </cell>
          <cell r="L1697" t="str">
            <v>DIANA MARCELA AVELLA GUTIERREZ</v>
          </cell>
          <cell r="M1697">
            <v>31</v>
          </cell>
          <cell r="N1697" t="str">
            <v>RESOLUCION</v>
          </cell>
          <cell r="O1697">
            <v>799</v>
          </cell>
          <cell r="P1697">
            <v>43143</v>
          </cell>
          <cell r="Q1697" t="str">
            <v>AYUDA TEMPORAL A LAS FAMILIAS DE VARIAS LOCALIDADES, PARA RELOCALIZACIÓN DE HOGARES LOCALIZADOS EN ZONAS DE ALTO RIESGO NO MITIGABLE ID:2013-Q17-00021, LOCALIDAD:19 CIUDAD BOLÍVAR, UPZ:68 EL TESORO, SECTOR:QUEBRADA GALINDO</v>
          </cell>
          <cell r="R1697">
            <v>3541044</v>
          </cell>
          <cell r="S1697">
            <v>1770522</v>
          </cell>
          <cell r="T1697">
            <v>0</v>
          </cell>
          <cell r="U1697">
            <v>1770522</v>
          </cell>
          <cell r="V1697">
            <v>1770522</v>
          </cell>
        </row>
        <row r="1698">
          <cell r="J1698">
            <v>1236</v>
          </cell>
          <cell r="K1698">
            <v>43143</v>
          </cell>
          <cell r="L1698" t="str">
            <v>CECILIA  GONZALEZ GUZMAN</v>
          </cell>
          <cell r="M1698">
            <v>31</v>
          </cell>
          <cell r="N1698" t="str">
            <v>RESOLUCION</v>
          </cell>
          <cell r="O1698">
            <v>800</v>
          </cell>
          <cell r="P1698">
            <v>43143</v>
          </cell>
          <cell r="Q1698" t="str">
            <v>AYUDA TEMPORAL A LAS FAMILIAS DE VARIAS LOCALIDADES, PARA RELOCALIZACIÓN DE HOGARES LOCALIZADOS EN ZONAS DE ALTO RIESGO NO MITIGABLE ID:2007-19-9711, LOCALIDAD:19 CIUDAD BOLÍVAR, UPZ:69 ISMAEL PERDOMO,</v>
          </cell>
          <cell r="R1698">
            <v>4878720</v>
          </cell>
          <cell r="S1698">
            <v>0</v>
          </cell>
          <cell r="T1698">
            <v>0</v>
          </cell>
          <cell r="U1698">
            <v>4878720</v>
          </cell>
          <cell r="V1698">
            <v>2439360</v>
          </cell>
        </row>
        <row r="1699">
          <cell r="J1699">
            <v>1237</v>
          </cell>
          <cell r="K1699">
            <v>43144</v>
          </cell>
          <cell r="L1699" t="str">
            <v>MIGUEL  PARRA BERNAL</v>
          </cell>
          <cell r="M1699">
            <v>31</v>
          </cell>
          <cell r="N1699" t="str">
            <v>RESOLUCION</v>
          </cell>
          <cell r="O1699">
            <v>818</v>
          </cell>
          <cell r="P1699">
            <v>43144</v>
          </cell>
          <cell r="Q1699" t="str">
            <v>AYUDA TEMPORAL A LAS FAMILIAS DE VARIAS LOCALIDADES, PARA RELOCALIZACIÓN DE HOGARES LOCALIZADOS EN ZONAS DE ALTO RIESGO NO MITIGABLE ID:2014-Q03-01229, LOCALIDAD:19 CIUDAD BOLÍVAR, UPZ:66 SAN FRANCISCO, SECTOR:LIMAS</v>
          </cell>
          <cell r="R1699">
            <v>2545125</v>
          </cell>
          <cell r="S1699">
            <v>509025</v>
          </cell>
          <cell r="T1699">
            <v>0</v>
          </cell>
          <cell r="U1699">
            <v>2036100</v>
          </cell>
          <cell r="V1699">
            <v>2036100</v>
          </cell>
        </row>
        <row r="1700">
          <cell r="J1700">
            <v>1238</v>
          </cell>
          <cell r="K1700">
            <v>43144</v>
          </cell>
          <cell r="L1700" t="str">
            <v>LEONILDE  GARZON CORTES</v>
          </cell>
          <cell r="M1700">
            <v>31</v>
          </cell>
          <cell r="N1700" t="str">
            <v>RESOLUCION</v>
          </cell>
          <cell r="O1700">
            <v>819</v>
          </cell>
          <cell r="P1700">
            <v>43144</v>
          </cell>
          <cell r="Q1700" t="str">
            <v>AYUDA TEMPORAL A LAS FAMILIAS DE VARIAS LOCALIDADES, PARA RELOCALIZACIÓN DE HOGARES LOCALIZADOS EN ZONAS DE ALTO RIESGO NO MITIGABLE ID:2012-19-14130, LOCALIDAD:19 CIUDAD BOLÍVAR, UPZ:68 EL TESORO, SECTOR:QUEBRADA TROMPETA</v>
          </cell>
          <cell r="R1700">
            <v>2343726</v>
          </cell>
          <cell r="S1700">
            <v>390621</v>
          </cell>
          <cell r="T1700">
            <v>0</v>
          </cell>
          <cell r="U1700">
            <v>1953105</v>
          </cell>
          <cell r="V1700">
            <v>1953105</v>
          </cell>
        </row>
        <row r="1701">
          <cell r="J1701">
            <v>1239</v>
          </cell>
          <cell r="K1701">
            <v>43144</v>
          </cell>
          <cell r="L1701" t="str">
            <v>YADIRA  GOMEZ DAZA</v>
          </cell>
          <cell r="M1701">
            <v>31</v>
          </cell>
          <cell r="N1701" t="str">
            <v>RESOLUCION</v>
          </cell>
          <cell r="O1701">
            <v>820</v>
          </cell>
          <cell r="P1701">
            <v>43144</v>
          </cell>
          <cell r="Q1701" t="str">
            <v>AYUDA TEMPORAL A LAS FAMILIAS DE VARIAS LOCALIDADES, PARA RELOCALIZACIÓN DE HOGARES LOCALIZADOS EN ZONAS DE ALTO RIESGO NO MITIGABLE ID:2012-19-14382, LOCALIDAD:19 CIUDAD BOLÍVAR, UPZ:68 EL TESORO, SECTOR:</v>
          </cell>
          <cell r="R1701">
            <v>2299050</v>
          </cell>
          <cell r="S1701">
            <v>459810</v>
          </cell>
          <cell r="T1701">
            <v>0</v>
          </cell>
          <cell r="U1701">
            <v>1839240</v>
          </cell>
          <cell r="V1701">
            <v>1839240</v>
          </cell>
        </row>
        <row r="1702">
          <cell r="J1702">
            <v>1241</v>
          </cell>
          <cell r="K1702">
            <v>43144</v>
          </cell>
          <cell r="L1702" t="str">
            <v>ANGELA PATRICIA ROJAS SIERRA</v>
          </cell>
          <cell r="M1702">
            <v>31</v>
          </cell>
          <cell r="N1702" t="str">
            <v>RESOLUCION</v>
          </cell>
          <cell r="O1702">
            <v>801</v>
          </cell>
          <cell r="P1702">
            <v>43144</v>
          </cell>
          <cell r="Q1702" t="str">
            <v>AYUDA TEMPORAL A LAS FAMILIAS DE VARIAS LOCALIDADES, PARA RELOCALIZACIÓN DE HOGARES LOCALIZADOS EN ZONAS DE ALTO RIESGO NO MITIGABLE ID:2011-4-12720, LOCALIDAD:04 SAN CRISTÓBAL, UPZ:32 SAN BLAS,</v>
          </cell>
          <cell r="R1702">
            <v>4176009</v>
          </cell>
          <cell r="S1702">
            <v>0</v>
          </cell>
          <cell r="T1702">
            <v>0</v>
          </cell>
          <cell r="U1702">
            <v>4176009</v>
          </cell>
          <cell r="V1702">
            <v>2784006</v>
          </cell>
        </row>
        <row r="1703">
          <cell r="J1703">
            <v>1242</v>
          </cell>
          <cell r="K1703">
            <v>43144</v>
          </cell>
          <cell r="L1703" t="str">
            <v>MARIA CARLOTA ARENAS GIRALDO</v>
          </cell>
          <cell r="M1703">
            <v>31</v>
          </cell>
          <cell r="N1703" t="str">
            <v>RESOLUCION</v>
          </cell>
          <cell r="O1703">
            <v>802</v>
          </cell>
          <cell r="P1703">
            <v>43144</v>
          </cell>
          <cell r="Q1703" t="str">
            <v>AYUDA TEMPORAL A LAS FAMILIAS DE VARIAS LOCALIDADES, PARA RELOCALIZACIÓN DE HOGARES LOCALIZADOS EN ZONAS DE ALTO RIESGO NO MITIGABLE ID:2012-T314-01, LOCALIDAD:04 SAN CRISTÓBAL, UPZ:50 LA GLORIA, SECTOR:</v>
          </cell>
          <cell r="R1703">
            <v>2590566</v>
          </cell>
          <cell r="S1703">
            <v>431761</v>
          </cell>
          <cell r="T1703">
            <v>0</v>
          </cell>
          <cell r="U1703">
            <v>2158805</v>
          </cell>
          <cell r="V1703">
            <v>2158805</v>
          </cell>
        </row>
        <row r="1704">
          <cell r="J1704">
            <v>1243</v>
          </cell>
          <cell r="K1704">
            <v>43144</v>
          </cell>
          <cell r="L1704" t="str">
            <v>GERMAN MAURICIO TERREROS</v>
          </cell>
          <cell r="M1704">
            <v>31</v>
          </cell>
          <cell r="N1704" t="str">
            <v>RESOLUCION</v>
          </cell>
          <cell r="O1704">
            <v>821</v>
          </cell>
          <cell r="P1704">
            <v>43144</v>
          </cell>
          <cell r="Q1704" t="str">
            <v>AYUDA TEMPORAL A LAS FAMILIAS DE VARIAS LOCALIDADES, PARA RELOCALIZACIÓN DE HOGARES LOCALIZADOS EN ZONAS DE ALTO RIESGO NO MITIGABLE ID:2015-D227-00032, LOCALIDAD:04 SAN CRISTÓBAL, UPZ:51 LOS LIBERTADORES, SECTOR:SANTA TERESITA</v>
          </cell>
          <cell r="R1704">
            <v>4949004</v>
          </cell>
          <cell r="S1704">
            <v>0</v>
          </cell>
          <cell r="T1704">
            <v>0</v>
          </cell>
          <cell r="U1704">
            <v>4949004</v>
          </cell>
          <cell r="V1704">
            <v>2474502</v>
          </cell>
        </row>
        <row r="1705">
          <cell r="J1705">
            <v>1244</v>
          </cell>
          <cell r="K1705">
            <v>43144</v>
          </cell>
          <cell r="L1705" t="str">
            <v>ISRAEL  ALVAREZ RONDON</v>
          </cell>
          <cell r="M1705">
            <v>31</v>
          </cell>
          <cell r="N1705" t="str">
            <v>RESOLUCION</v>
          </cell>
          <cell r="O1705">
            <v>803</v>
          </cell>
          <cell r="P1705">
            <v>43144</v>
          </cell>
          <cell r="Q1705" t="str">
            <v>AYUDA TEMPORAL A LAS FAMILIAS DE VARIAS LOCALIDADES, PARA RELOCALIZACIÓN DE HOGARES LOCALIZADOS EN ZONAS DE ALTO RIESGO NO MITIGABLE ID:2011-4-12922, LOCALIDAD:04 SAN CRISTÓBAL, UPZ:50 LA GLORIA,</v>
          </cell>
          <cell r="R1705">
            <v>3186936</v>
          </cell>
          <cell r="S1705">
            <v>2655780</v>
          </cell>
          <cell r="T1705">
            <v>0</v>
          </cell>
          <cell r="U1705">
            <v>531156</v>
          </cell>
          <cell r="V1705">
            <v>531156</v>
          </cell>
        </row>
        <row r="1706">
          <cell r="J1706">
            <v>1245</v>
          </cell>
          <cell r="K1706">
            <v>43144</v>
          </cell>
          <cell r="L1706" t="str">
            <v>LUZ MARINA RAMOS RODRIGUEZ</v>
          </cell>
          <cell r="M1706">
            <v>31</v>
          </cell>
          <cell r="N1706" t="str">
            <v>RESOLUCION</v>
          </cell>
          <cell r="O1706">
            <v>804</v>
          </cell>
          <cell r="P1706">
            <v>43144</v>
          </cell>
          <cell r="Q1706" t="str">
            <v>AYUDA TEMPORAL A LAS FAMILIAS DE VARIAS LOCALIDADES, PARA RELOCALIZACIÓN DE HOGARES LOCALIZADOS EN ZONAS DE ALTO RIESGO NO MITIGABLE ID:2015-D227-00033, LOCALIDAD:04 SAN CRISTÓBAL, UPZ:51 LOS LIBERTADORES, SECTOR:SANTA TERESITA</v>
          </cell>
          <cell r="R1706">
            <v>5361707</v>
          </cell>
          <cell r="S1706">
            <v>0</v>
          </cell>
          <cell r="T1706">
            <v>0</v>
          </cell>
          <cell r="U1706">
            <v>5361707</v>
          </cell>
          <cell r="V1706">
            <v>2887073</v>
          </cell>
        </row>
        <row r="1707">
          <cell r="J1707">
            <v>1246</v>
          </cell>
          <cell r="K1707">
            <v>43144</v>
          </cell>
          <cell r="L1707" t="str">
            <v>JULIO CESAR CHICA BAUTISTA</v>
          </cell>
          <cell r="M1707">
            <v>31</v>
          </cell>
          <cell r="N1707" t="str">
            <v>RESOLUCION</v>
          </cell>
          <cell r="O1707">
            <v>805</v>
          </cell>
          <cell r="P1707">
            <v>43144</v>
          </cell>
          <cell r="Q1707" t="str">
            <v>AYUDA TEMPORAL A LAS FAMILIAS DE VARIAS LOCALIDADES, PARA RELOCALIZACIÓN DE HOGARES LOCALIZADOS EN ZONAS DE ALTO RIESGO NO MITIGABLE ID:2015-OTR-01370, LOCALIDAD:11 SUBA, UPZ:71 TIBABUYES, SECTOR:GAVILANES</v>
          </cell>
          <cell r="R1707">
            <v>5100900</v>
          </cell>
          <cell r="S1707">
            <v>0</v>
          </cell>
          <cell r="T1707">
            <v>0</v>
          </cell>
          <cell r="U1707">
            <v>5100900</v>
          </cell>
          <cell r="V1707">
            <v>2550450</v>
          </cell>
        </row>
        <row r="1708">
          <cell r="J1708">
            <v>1247</v>
          </cell>
          <cell r="K1708">
            <v>43144</v>
          </cell>
          <cell r="L1708" t="str">
            <v>ANA CECILIA VILLAQUIRA TITIMBO</v>
          </cell>
          <cell r="M1708">
            <v>31</v>
          </cell>
          <cell r="N1708" t="str">
            <v>RESOLUCION</v>
          </cell>
          <cell r="O1708">
            <v>806</v>
          </cell>
          <cell r="P1708">
            <v>43144</v>
          </cell>
          <cell r="Q1708" t="str">
            <v>AYUDA TEMPORAL A LAS FAMILIAS DE VARIAS LOCALIDADES, PARA RELOCALIZACIÓN DE HOGARES LOCALIZADOS EN ZONAS DE ALTO RIESGO NO MITIGABLE ID:2014-OTR-00950, LOCALIDAD:19 CIUDAD BOLÍVAR, UPZ:67 LUCERO, SECTOR:TABOR ALTALOMA</v>
          </cell>
          <cell r="R1708">
            <v>3186936</v>
          </cell>
          <cell r="S1708">
            <v>531156</v>
          </cell>
          <cell r="T1708">
            <v>0</v>
          </cell>
          <cell r="U1708">
            <v>2655780</v>
          </cell>
          <cell r="V1708">
            <v>2655780</v>
          </cell>
        </row>
        <row r="1709">
          <cell r="J1709">
            <v>1248</v>
          </cell>
          <cell r="K1709">
            <v>43144</v>
          </cell>
          <cell r="L1709" t="str">
            <v>EDILBERTO  RODRIGUEZ DIAZ</v>
          </cell>
          <cell r="M1709">
            <v>31</v>
          </cell>
          <cell r="N1709" t="str">
            <v>RESOLUCION</v>
          </cell>
          <cell r="O1709">
            <v>807</v>
          </cell>
          <cell r="P1709">
            <v>43144</v>
          </cell>
          <cell r="Q1709" t="str">
            <v>AYUDA TEMPORAL A LAS FAMILIAS DE VARIAS LOCALIDADES, PARA RELOCALIZACIÓN DE HOGARES LOCALIZADOS EN ZONAS DE ALTO RIESGO NO MITIGABLE ID:2011-4-12483, LOCALIDAD:04 SAN CRISTÓBAL, UPZ:50 LA GLORIA, SECTOR:OLA INVERNAL 2010 FOPAE</v>
          </cell>
          <cell r="R1709">
            <v>2700000</v>
          </cell>
          <cell r="S1709">
            <v>450000</v>
          </cell>
          <cell r="T1709">
            <v>0</v>
          </cell>
          <cell r="U1709">
            <v>2250000</v>
          </cell>
          <cell r="V1709">
            <v>2250000</v>
          </cell>
        </row>
        <row r="1710">
          <cell r="J1710">
            <v>1249</v>
          </cell>
          <cell r="K1710">
            <v>43144</v>
          </cell>
          <cell r="L1710" t="str">
            <v>NEYRA  MORENO PEÑA</v>
          </cell>
          <cell r="M1710">
            <v>31</v>
          </cell>
          <cell r="N1710" t="str">
            <v>RESOLUCION</v>
          </cell>
          <cell r="O1710">
            <v>808</v>
          </cell>
          <cell r="P1710">
            <v>43144</v>
          </cell>
          <cell r="Q1710" t="str">
            <v>AYUDA TEMPORAL A LAS FAMILIAS DE VARIAS LOCALIDADES, PARA RELOCALIZACIÓN DE HOGARES LOCALIZADOS EN ZONAS DE ALTO RIESGO NO MITIGABLE ID:2013-Q04-00498, LOCALIDAD:19 CIUDAD BOLÍVAR, UPZ:67 LUCERO, SECTOR:PEÑA COLORADA</v>
          </cell>
          <cell r="R1710">
            <v>5336148</v>
          </cell>
          <cell r="S1710">
            <v>0</v>
          </cell>
          <cell r="T1710">
            <v>0</v>
          </cell>
          <cell r="U1710">
            <v>5336148</v>
          </cell>
          <cell r="V1710">
            <v>2668074</v>
          </cell>
        </row>
        <row r="1711">
          <cell r="J1711">
            <v>1250</v>
          </cell>
          <cell r="K1711">
            <v>43144</v>
          </cell>
          <cell r="L1711" t="str">
            <v>OLGA  GONZALEZ GONZALEZ</v>
          </cell>
          <cell r="M1711">
            <v>31</v>
          </cell>
          <cell r="N1711" t="str">
            <v>RESOLUCION</v>
          </cell>
          <cell r="O1711">
            <v>809</v>
          </cell>
          <cell r="P1711">
            <v>43144</v>
          </cell>
          <cell r="Q1711" t="str">
            <v>AYUDA TEMPORAL A LAS FAMILIAS DE VARIAS LOCALIDADES, PARA RELOCALIZACIÓN DE HOGARES LOCALIZADOS EN ZONAS DE ALTO RIESGO NO MITIGABLE ID:2014-Q01-01192, LOCALIDAD:05 USME, UPZ:56 DANUBIO, SECTOR:HOYA DEL RAMO</v>
          </cell>
          <cell r="R1711">
            <v>2531226</v>
          </cell>
          <cell r="S1711">
            <v>421871</v>
          </cell>
          <cell r="T1711">
            <v>0</v>
          </cell>
          <cell r="U1711">
            <v>2109355</v>
          </cell>
          <cell r="V1711">
            <v>2109355</v>
          </cell>
        </row>
        <row r="1712">
          <cell r="J1712">
            <v>1251</v>
          </cell>
          <cell r="K1712">
            <v>43144</v>
          </cell>
          <cell r="L1712" t="str">
            <v>BLANCA NELLY SANCHEZ VARGAS</v>
          </cell>
          <cell r="M1712">
            <v>31</v>
          </cell>
          <cell r="N1712" t="str">
            <v>RESOLUCION</v>
          </cell>
          <cell r="O1712">
            <v>810</v>
          </cell>
          <cell r="P1712">
            <v>43144</v>
          </cell>
          <cell r="Q1712" t="str">
            <v>AYUDA TEMPORAL A LAS FAMILIAS DE VARIAS LOCALIDADES, PARA RELOCALIZACIÓN DE HOGARES LOCALIZADOS EN ZONAS DE ALTO RIESGO NO MITIGABLE ID:2012-ALES-83, LOCALIDAD:19 CIUDAD BOLÍVAR, UPZ:69 ISMAEL PERDOMO, SECTOR:ALTOS DE LA ESTANCIA</v>
          </cell>
          <cell r="R1712">
            <v>3363507</v>
          </cell>
          <cell r="S1712">
            <v>480501</v>
          </cell>
          <cell r="T1712">
            <v>0</v>
          </cell>
          <cell r="U1712">
            <v>2883006</v>
          </cell>
          <cell r="V1712">
            <v>2883006</v>
          </cell>
        </row>
        <row r="1713">
          <cell r="J1713">
            <v>1252</v>
          </cell>
          <cell r="K1713">
            <v>43144</v>
          </cell>
          <cell r="L1713" t="str">
            <v>RUBIELA  AROCA YARA</v>
          </cell>
          <cell r="M1713">
            <v>31</v>
          </cell>
          <cell r="N1713" t="str">
            <v>RESOLUCION</v>
          </cell>
          <cell r="O1713">
            <v>811</v>
          </cell>
          <cell r="P1713">
            <v>43144</v>
          </cell>
          <cell r="Q1713" t="str">
            <v>AYUDA TEMPORAL A LAS FAMILIAS DE VARIAS LOCALIDADES, PARA RELOCALIZACIÓN DE HOGARES LOCALIZADOS EN ZONAS DE ALTO RIESGO NO MITIGABLE ID:2006-4-8640, LOCALIDAD:04 SAN CRISTÓBAL, UPZ:50 LA GLORIA, SECTOR:</v>
          </cell>
          <cell r="R1713">
            <v>4802539</v>
          </cell>
          <cell r="S1713">
            <v>686077</v>
          </cell>
          <cell r="T1713">
            <v>0</v>
          </cell>
          <cell r="U1713">
            <v>4116462</v>
          </cell>
          <cell r="V1713">
            <v>4116462</v>
          </cell>
        </row>
        <row r="1714">
          <cell r="J1714">
            <v>1253</v>
          </cell>
          <cell r="K1714">
            <v>43144</v>
          </cell>
          <cell r="L1714" t="str">
            <v>YENNY  CHAMAPURO CHIRIMIA</v>
          </cell>
          <cell r="M1714">
            <v>31</v>
          </cell>
          <cell r="N1714" t="str">
            <v>RESOLUCION</v>
          </cell>
          <cell r="O1714">
            <v>908</v>
          </cell>
          <cell r="P1714">
            <v>43144</v>
          </cell>
          <cell r="Q1714" t="str">
            <v>AYUDA TEMPORAL A LAS FAMILIAS DE VARIAS LOCALIDADES, PARA RELOCALIZACIÓN DE HOGARES LOCALIZADOS EN ZONAS DE ALTO RIESGO NO MITIGABLE ID:2015-W166-437, LOCALIDAD:19 CIUDAD BOLÍVAR, UPZ:68 EL TESORO, SECTOR:WOUNAAN</v>
          </cell>
          <cell r="R1714">
            <v>2165056</v>
          </cell>
          <cell r="S1714">
            <v>541264</v>
          </cell>
          <cell r="T1714">
            <v>0</v>
          </cell>
          <cell r="U1714">
            <v>1623792</v>
          </cell>
          <cell r="V1714">
            <v>1623792</v>
          </cell>
        </row>
        <row r="1715">
          <cell r="J1715">
            <v>1254</v>
          </cell>
          <cell r="K1715">
            <v>43144</v>
          </cell>
          <cell r="L1715" t="str">
            <v>MARIA LUCENA QUINTERO ARIAS</v>
          </cell>
          <cell r="M1715">
            <v>31</v>
          </cell>
          <cell r="N1715" t="str">
            <v>RESOLUCION</v>
          </cell>
          <cell r="O1715">
            <v>909</v>
          </cell>
          <cell r="P1715">
            <v>43144</v>
          </cell>
          <cell r="Q1715" t="str">
            <v>AYUDA TEMPORAL A LAS FAMILIAS DE VARIAS LOCALIDADES, PARA RELOCALIZACIÓN DE HOGARES LOCALIZADOS EN ZONAS DE ALTO RIESGO NO MITIGABLE ID:2011-19-12886, LOCALIDAD:19 CIUDAD BOLÍVAR, UPZ:67 LUCERO</v>
          </cell>
          <cell r="R1715">
            <v>2924376</v>
          </cell>
          <cell r="S1715">
            <v>417768</v>
          </cell>
          <cell r="T1715">
            <v>0</v>
          </cell>
          <cell r="U1715">
            <v>2506608</v>
          </cell>
          <cell r="V1715">
            <v>2506608</v>
          </cell>
        </row>
        <row r="1716">
          <cell r="J1716">
            <v>1255</v>
          </cell>
          <cell r="K1716">
            <v>43144</v>
          </cell>
          <cell r="L1716" t="str">
            <v>SONIA CECILIA BEDOYA TRIANA</v>
          </cell>
          <cell r="M1716">
            <v>31</v>
          </cell>
          <cell r="N1716" t="str">
            <v>RESOLUCION</v>
          </cell>
          <cell r="O1716">
            <v>910</v>
          </cell>
          <cell r="P1716">
            <v>43144</v>
          </cell>
          <cell r="Q1716" t="str">
            <v>AYUDA TEMPORAL A LAS FAMILIAS DE VARIAS LOCALIDADES, PARA RELOCALIZACIÓN DE HOGARES LOCALIZADOS EN ZONAS DE ALTO RIESGO NO MITIGABLE ID:2011-5-13640, LOCALIDAD:05 USME, UPZ:58 COMUNEROS.</v>
          </cell>
          <cell r="R1716">
            <v>2437476</v>
          </cell>
          <cell r="S1716">
            <v>406246</v>
          </cell>
          <cell r="T1716">
            <v>0</v>
          </cell>
          <cell r="U1716">
            <v>2031230</v>
          </cell>
          <cell r="V1716">
            <v>2031230</v>
          </cell>
        </row>
        <row r="1717">
          <cell r="J1717">
            <v>1256</v>
          </cell>
          <cell r="K1717">
            <v>43144</v>
          </cell>
          <cell r="L1717" t="str">
            <v>LUIS JAVIER LEON CAICEDO</v>
          </cell>
          <cell r="M1717">
            <v>31</v>
          </cell>
          <cell r="N1717" t="str">
            <v>RESOLUCION</v>
          </cell>
          <cell r="O1717">
            <v>911</v>
          </cell>
          <cell r="P1717">
            <v>43144</v>
          </cell>
          <cell r="Q1717" t="str">
            <v>AYUDA TEMPORAL A LAS FAMILIAS DE VARIAS LOCALIDADES, PARA RELOCALIZACIÓN DE HOGARES LOCALIZADOS EN ZONAS DE ALTO RIESGO NO MITIGABLE ID:2011-19-13408, LOCALIDAD:19 CIUDAD BOLÍVAR, UPZ:3 UPR RIO TUNJUELO.</v>
          </cell>
          <cell r="R1717">
            <v>2706492</v>
          </cell>
          <cell r="S1717">
            <v>0</v>
          </cell>
          <cell r="T1717">
            <v>0</v>
          </cell>
          <cell r="U1717">
            <v>2706492</v>
          </cell>
          <cell r="V1717">
            <v>902164</v>
          </cell>
        </row>
        <row r="1718">
          <cell r="J1718">
            <v>1257</v>
          </cell>
          <cell r="K1718">
            <v>43144</v>
          </cell>
          <cell r="L1718" t="str">
            <v>LUZ MERY BERMUDEZ VARGAS</v>
          </cell>
          <cell r="M1718">
            <v>31</v>
          </cell>
          <cell r="N1718" t="str">
            <v>RESOLUCION</v>
          </cell>
          <cell r="O1718">
            <v>769</v>
          </cell>
          <cell r="P1718">
            <v>43144</v>
          </cell>
          <cell r="Q1718" t="str">
            <v>AYUDA TEMPORAL A LAS FAMILIAS DE VARIAS LOCALIDADES, PARA RELOCALIZACIÓN DE HOGARES LOCALIZADOS EN ZONAS DE ALTO RIESGO NO MITIGABLE ID:2015-Q03-03361, LOCALIDAD:19 CIUDAD BOLÍVAR, UPZ:67 LUCERO, SECTOR:LIMAS</v>
          </cell>
          <cell r="R1718">
            <v>1804204</v>
          </cell>
          <cell r="S1718">
            <v>451051</v>
          </cell>
          <cell r="T1718">
            <v>0</v>
          </cell>
          <cell r="U1718">
            <v>1353153</v>
          </cell>
          <cell r="V1718">
            <v>1353153</v>
          </cell>
        </row>
        <row r="1719">
          <cell r="J1719">
            <v>1258</v>
          </cell>
          <cell r="K1719">
            <v>43144</v>
          </cell>
          <cell r="L1719" t="str">
            <v>ELVIRA  CORZO DE GALEANO</v>
          </cell>
          <cell r="M1719">
            <v>31</v>
          </cell>
          <cell r="N1719" t="str">
            <v>RESOLUCION</v>
          </cell>
          <cell r="O1719">
            <v>770</v>
          </cell>
          <cell r="P1719">
            <v>43144</v>
          </cell>
          <cell r="Q1719" t="str">
            <v>AYUDA TEMPORAL A LAS FAMILIAS DE VARIAS LOCALIDADES, PARA RELOCALIZACIÓN DE HOGARES LOCALIZADOS EN ZONAS DE ALTO RIESGO NO MITIGABLE ID:2014-Q07-00919, LOCALIDAD:19 CIUDAD BOLÍVAR, UPZ:68 EL TESORO, SECTOR:QUEBRADA GALINDO</v>
          </cell>
          <cell r="R1719">
            <v>1534452</v>
          </cell>
          <cell r="S1719">
            <v>383613</v>
          </cell>
          <cell r="T1719">
            <v>0</v>
          </cell>
          <cell r="U1719">
            <v>1150839</v>
          </cell>
          <cell r="V1719">
            <v>1150839</v>
          </cell>
        </row>
        <row r="1720">
          <cell r="J1720">
            <v>1259</v>
          </cell>
          <cell r="K1720">
            <v>43144</v>
          </cell>
          <cell r="L1720" t="str">
            <v>ALVARO  GARZON GONZALEZ</v>
          </cell>
          <cell r="M1720">
            <v>31</v>
          </cell>
          <cell r="N1720" t="str">
            <v>RESOLUCION</v>
          </cell>
          <cell r="O1720">
            <v>771</v>
          </cell>
          <cell r="P1720">
            <v>43144</v>
          </cell>
          <cell r="Q1720" t="str">
            <v>AYUDA TEMPORAL A LAS FAMILIAS DE VARIAS LOCALIDADES, PARA RELOCALIZACIÓN DE HOGARES LOCALIZADOS EN ZONAS DE ALTO RIESGO NO MITIGABLE ID:2015-D227-00038, LOCALIDAD:04 SAN CRISTÓBAL, UPZ:51 LOS LIBERTADORES, SECTOR:SANTA TERESITA</v>
          </cell>
          <cell r="R1720">
            <v>1933048</v>
          </cell>
          <cell r="S1720">
            <v>483262</v>
          </cell>
          <cell r="T1720">
            <v>0</v>
          </cell>
          <cell r="U1720">
            <v>1449786</v>
          </cell>
          <cell r="V1720">
            <v>1449786</v>
          </cell>
        </row>
        <row r="1721">
          <cell r="J1721">
            <v>1260</v>
          </cell>
          <cell r="K1721">
            <v>43144</v>
          </cell>
          <cell r="L1721" t="str">
            <v>JENNY MARCELA MARTINEZ ECHEVERRI</v>
          </cell>
          <cell r="M1721">
            <v>31</v>
          </cell>
          <cell r="N1721" t="str">
            <v>RESOLUCION</v>
          </cell>
          <cell r="O1721">
            <v>772</v>
          </cell>
          <cell r="P1721">
            <v>43144</v>
          </cell>
          <cell r="Q1721" t="str">
            <v>AYUDA TEMPORAL A LAS FAMILIAS DE VARIAS LOCALIDADES, PARA RELOCALIZACIÓN DE HOGARES LOCALIZADOS EN ZONAS DE ALTO RIESGO NO MITIGABLE ID:2016-08-14868, LOCALIDAD:08 KENNEDY, UPZ:82 PATIO BONITO, SECTOR:PALMITAS</v>
          </cell>
          <cell r="R1721">
            <v>5466487</v>
          </cell>
          <cell r="S1721">
            <v>4625489</v>
          </cell>
          <cell r="T1721">
            <v>0</v>
          </cell>
          <cell r="U1721">
            <v>840998</v>
          </cell>
          <cell r="V1721">
            <v>840998</v>
          </cell>
        </row>
        <row r="1722">
          <cell r="J1722">
            <v>1261</v>
          </cell>
          <cell r="K1722">
            <v>43144</v>
          </cell>
          <cell r="L1722" t="str">
            <v>MARIA GILMA TAPIERO</v>
          </cell>
          <cell r="M1722">
            <v>31</v>
          </cell>
          <cell r="N1722" t="str">
            <v>RESOLUCION</v>
          </cell>
          <cell r="O1722">
            <v>822</v>
          </cell>
          <cell r="P1722">
            <v>43144</v>
          </cell>
          <cell r="Q1722" t="str">
            <v>AYUDA TEMPORAL A LAS FAMILIAS DE VARIAS LOCALIDADES, PARA RELOCALIZACIÓN DE HOGARES LOCALIZADOS EN ZONAS DE ALTO RIESGO NO MITIGABLE ID:2012-19-13830, LOCALIDAD:19 CIUDAD BOLÍVAR, UPZ:67 LUCERO, SECTOR:</v>
          </cell>
          <cell r="R1722">
            <v>2892240</v>
          </cell>
          <cell r="S1722">
            <v>0</v>
          </cell>
          <cell r="T1722">
            <v>0</v>
          </cell>
          <cell r="U1722">
            <v>2892240</v>
          </cell>
          <cell r="V1722">
            <v>964080</v>
          </cell>
        </row>
        <row r="1723">
          <cell r="J1723">
            <v>1262</v>
          </cell>
          <cell r="K1723">
            <v>43144</v>
          </cell>
          <cell r="L1723" t="str">
            <v>MARLEN  BELTRAN MUÑOZ</v>
          </cell>
          <cell r="M1723">
            <v>31</v>
          </cell>
          <cell r="N1723" t="str">
            <v>RESOLUCION</v>
          </cell>
          <cell r="O1723">
            <v>773</v>
          </cell>
          <cell r="P1723">
            <v>43144</v>
          </cell>
          <cell r="Q1723" t="str">
            <v>AYUDA TEMPORAL A LAS FAMILIAS DE VARIAS LOCALIDADES, PARA RELOCALIZACIÓN DE HOGARES LOCALIZADOS EN ZONAS DE ALTO RIESGO NO MITIGABLE ID:2011-4-13393, LOCALIDAD:04 SAN CRISTÓBAL, UPZ:32 SAN BLAS.</v>
          </cell>
          <cell r="R1723">
            <v>5430984</v>
          </cell>
          <cell r="S1723">
            <v>0</v>
          </cell>
          <cell r="T1723">
            <v>0</v>
          </cell>
          <cell r="U1723">
            <v>5430984</v>
          </cell>
          <cell r="V1723">
            <v>2924376</v>
          </cell>
        </row>
        <row r="1724">
          <cell r="J1724">
            <v>1263</v>
          </cell>
          <cell r="K1724">
            <v>43144</v>
          </cell>
          <cell r="L1724" t="str">
            <v>JOSE URBANO MUNZA PEÑA</v>
          </cell>
          <cell r="M1724">
            <v>31</v>
          </cell>
          <cell r="N1724" t="str">
            <v>RESOLUCION</v>
          </cell>
          <cell r="O1724">
            <v>774</v>
          </cell>
          <cell r="P1724">
            <v>43144</v>
          </cell>
          <cell r="Q1724" t="str">
            <v>AYUDA TEMPORAL A LAS FAMILIAS DE VARIAS LOCALIDADES, PARA RELOCALIZACIÓN DE HOGARES LOCALIZADOS EN ZONAS DE ALTO RIESGO NO MITIGABLE ID:2016-08-14811, LOCALIDAD:08 KENNEDY, UPZ:82 PATIO BONITO, SECTOR:PALMITAS</v>
          </cell>
          <cell r="R1724">
            <v>4986969</v>
          </cell>
          <cell r="S1724">
            <v>0</v>
          </cell>
          <cell r="T1724">
            <v>0</v>
          </cell>
          <cell r="U1724">
            <v>4986969</v>
          </cell>
          <cell r="V1724">
            <v>2685291</v>
          </cell>
        </row>
        <row r="1725">
          <cell r="J1725">
            <v>1264</v>
          </cell>
          <cell r="K1725">
            <v>43144</v>
          </cell>
          <cell r="L1725" t="str">
            <v>ESPERANZA  CANCHON LUGO</v>
          </cell>
          <cell r="M1725">
            <v>31</v>
          </cell>
          <cell r="N1725" t="str">
            <v>RESOLUCION</v>
          </cell>
          <cell r="O1725">
            <v>826</v>
          </cell>
          <cell r="P1725">
            <v>43144</v>
          </cell>
          <cell r="Q1725" t="str">
            <v>AYUDA TEMPORAL A LAS FAMILIAS DE VARIAS LOCALIDADES, PARA RELOCALIZACIÓN DE HOGARES LOCALIZADOS EN ZONAS DE ALTO RIESGO NO MITIGABLE ID:2011-4-13092, LOCALIDAD:04 SAN CRISTÓBAL, UPZ:34 20 DE JULIO, SECTOR:</v>
          </cell>
          <cell r="R1725">
            <v>5430984</v>
          </cell>
          <cell r="S1725">
            <v>0</v>
          </cell>
          <cell r="T1725">
            <v>0</v>
          </cell>
          <cell r="U1725">
            <v>5430984</v>
          </cell>
          <cell r="V1725">
            <v>417768</v>
          </cell>
        </row>
        <row r="1726">
          <cell r="J1726">
            <v>1265</v>
          </cell>
          <cell r="K1726">
            <v>43144</v>
          </cell>
          <cell r="L1726" t="str">
            <v>ANGIE GINETH RODRIGUEZ SUAREZ</v>
          </cell>
          <cell r="M1726">
            <v>31</v>
          </cell>
          <cell r="N1726" t="str">
            <v>RESOLUCION</v>
          </cell>
          <cell r="O1726">
            <v>823</v>
          </cell>
          <cell r="P1726">
            <v>43144</v>
          </cell>
          <cell r="Q1726" t="str">
            <v>AYUDA TEMPORAL A LAS FAMILIAS DE VARIAS LOCALIDADES, PARA RELOCALIZACIÓN DE HOGARES LOCALIZADOS EN ZONAS DE ALTO RIESGO NO MITIGABLE ID:2012-ALES-58, LOCALIDAD:19 CIUDAD BOLÍVAR, UPZ:69 ISMAEL PERDOMO, SECTOR:ALTOS DE LA ESTANCIA</v>
          </cell>
          <cell r="R1726">
            <v>3421842</v>
          </cell>
          <cell r="S1726">
            <v>0</v>
          </cell>
          <cell r="T1726">
            <v>0</v>
          </cell>
          <cell r="U1726">
            <v>3421842</v>
          </cell>
          <cell r="V1726">
            <v>1140614</v>
          </cell>
        </row>
        <row r="1727">
          <cell r="J1727">
            <v>1266</v>
          </cell>
          <cell r="K1727">
            <v>43144</v>
          </cell>
          <cell r="L1727" t="str">
            <v>LUZ MARINA GARCIA</v>
          </cell>
          <cell r="M1727">
            <v>31</v>
          </cell>
          <cell r="N1727" t="str">
            <v>RESOLUCION</v>
          </cell>
          <cell r="O1727">
            <v>775</v>
          </cell>
          <cell r="P1727">
            <v>43144</v>
          </cell>
          <cell r="Q1727" t="str">
            <v>AYUDA TEMPORAL A LAS FAMILIAS DE VARIAS LOCALIDADES, PARA RELOCALIZACIÓN DE HOGARES LOCALIZADOS EN ZONAS DE ALTO RIESGO NO MITIGABLE ID:2011-5-13414, LOCALIDAD:05 USME, UPZ:58 COMUNEROS.</v>
          </cell>
          <cell r="R1727">
            <v>3363360</v>
          </cell>
          <cell r="S1727">
            <v>480480</v>
          </cell>
          <cell r="T1727">
            <v>0</v>
          </cell>
          <cell r="U1727">
            <v>2882880</v>
          </cell>
          <cell r="V1727">
            <v>2882880</v>
          </cell>
        </row>
        <row r="1728">
          <cell r="J1728">
            <v>1267</v>
          </cell>
          <cell r="K1728">
            <v>43144</v>
          </cell>
          <cell r="L1728" t="str">
            <v>NANCY  CANCHON LUGO</v>
          </cell>
          <cell r="M1728">
            <v>31</v>
          </cell>
          <cell r="N1728" t="str">
            <v>RESOLUCION</v>
          </cell>
          <cell r="O1728">
            <v>827</v>
          </cell>
          <cell r="P1728">
            <v>43144</v>
          </cell>
          <cell r="Q1728" t="str">
            <v>AYUDA TEMPORAL A LAS FAMILIAS DE VARIAS LOCALIDADES, PARA RELOCALIZACIÓN DE HOGARES LOCALIZADOS EN ZONAS DE ALTO RIESGO NO MITIGABLE ID:2011-4-13091, LOCALIDAD:04 SAN CRISTÓBAL, UPZ:34 20 DE JULIO, SECTOR:</v>
          </cell>
          <cell r="R1728">
            <v>6266520</v>
          </cell>
          <cell r="S1728">
            <v>0</v>
          </cell>
          <cell r="T1728">
            <v>0</v>
          </cell>
          <cell r="U1728">
            <v>6266520</v>
          </cell>
          <cell r="V1728">
            <v>482040</v>
          </cell>
        </row>
        <row r="1729">
          <cell r="J1729">
            <v>1268</v>
          </cell>
          <cell r="K1729">
            <v>43144</v>
          </cell>
          <cell r="L1729" t="str">
            <v>ANA JAZMIN MUÑOZ PEÑA</v>
          </cell>
          <cell r="M1729">
            <v>31</v>
          </cell>
          <cell r="N1729" t="str">
            <v>RESOLUCION</v>
          </cell>
          <cell r="O1729">
            <v>776</v>
          </cell>
          <cell r="P1729">
            <v>43144</v>
          </cell>
          <cell r="Q1729" t="str">
            <v>AYUDA TEMPORAL A LAS FAMILIAS DE VARIAS LOCALIDADES, PARA RELOCALIZACIÓN DE HOGARES LOCALIZADOS EN ZONAS DE ALTO RIESGO NO MITIGABLE ID:2015-D227-00012, LOCALIDAD:04 SAN CRISTÓBAL, UPZ:51 LOS LIBERTADORES, SECTOR:SANTA TERESITA</v>
          </cell>
          <cell r="R1729">
            <v>2552010</v>
          </cell>
          <cell r="S1729">
            <v>425335</v>
          </cell>
          <cell r="T1729">
            <v>0</v>
          </cell>
          <cell r="U1729">
            <v>2126675</v>
          </cell>
          <cell r="V1729">
            <v>2126675</v>
          </cell>
        </row>
        <row r="1730">
          <cell r="J1730">
            <v>1269</v>
          </cell>
          <cell r="K1730">
            <v>43144</v>
          </cell>
          <cell r="L1730" t="str">
            <v>LYDA MARCELA VELASQUEZ DIAZ</v>
          </cell>
          <cell r="M1730">
            <v>31</v>
          </cell>
          <cell r="N1730" t="str">
            <v>RESOLUCION</v>
          </cell>
          <cell r="O1730">
            <v>828</v>
          </cell>
          <cell r="P1730">
            <v>43144</v>
          </cell>
          <cell r="Q1730" t="str">
            <v>AYUDA TEMPORAL A LAS FAMILIAS DE VARIAS LOCALIDADES, PARA RELOCALIZACIÓN DE HOGARES LOCALIZADOS EN ZONAS DE ALTO RIESGO NO MITIGABLE ID:2011-4-12484, LOCALIDAD:04 SAN CRISTÓBAL, UPZ:50 LA GLORIA, SECTOR:OLA INVERNAL 2010 FOPAE</v>
          </cell>
          <cell r="R1730">
            <v>5378477</v>
          </cell>
          <cell r="S1730">
            <v>0</v>
          </cell>
          <cell r="T1730">
            <v>0</v>
          </cell>
          <cell r="U1730">
            <v>5378477</v>
          </cell>
          <cell r="V1730">
            <v>2482374</v>
          </cell>
        </row>
        <row r="1731">
          <cell r="J1731">
            <v>1270</v>
          </cell>
          <cell r="K1731">
            <v>43144</v>
          </cell>
          <cell r="L1731" t="str">
            <v>YURI MARCELA RODRIGUEZ TRUJILLO</v>
          </cell>
          <cell r="M1731">
            <v>31</v>
          </cell>
          <cell r="N1731" t="str">
            <v>RESOLUCION</v>
          </cell>
          <cell r="O1731">
            <v>829</v>
          </cell>
          <cell r="P1731">
            <v>43144</v>
          </cell>
          <cell r="Q1731" t="str">
            <v>AYUDA TEMPORAL A LAS FAMILIAS DE VARIAS LOCALIDADES, PARA RELOCALIZACIÓN DE HOGARES LOCALIZADOS EN ZONAS DE ALTO RIESGO NO MITIGABLE ID:2012-4-14480, LOCALIDAD:04 SAN CRISTÓBAL, UPZ:32 SAN BLAS, SECTOR:</v>
          </cell>
          <cell r="R1731">
            <v>8632728</v>
          </cell>
          <cell r="S1731">
            <v>0</v>
          </cell>
          <cell r="T1731">
            <v>0</v>
          </cell>
          <cell r="U1731">
            <v>8632728</v>
          </cell>
          <cell r="V1731">
            <v>3984336</v>
          </cell>
        </row>
        <row r="1732">
          <cell r="J1732">
            <v>1271</v>
          </cell>
          <cell r="K1732">
            <v>43144</v>
          </cell>
          <cell r="L1732" t="str">
            <v>GEIMAR ARLEY NIÑO SANCHEZ</v>
          </cell>
          <cell r="M1732">
            <v>31</v>
          </cell>
          <cell r="N1732" t="str">
            <v>RESOLUCION</v>
          </cell>
          <cell r="O1732">
            <v>824</v>
          </cell>
          <cell r="P1732">
            <v>43144</v>
          </cell>
          <cell r="Q1732" t="str">
            <v>AYUDA TEMPORAL A LAS FAMILIAS DE VARIAS LOCALIDADES, PARA RELOCALIZACIÓN DE HOGARES LOCALIZADOS EN ZONAS DE ALTO RIESGO NO MITIGABLE ID:2014-Q03-01077, LOCALIDAD:19 CIUDAD BOLÍVAR, UPZ:66 SAN FRANCISCO, SECTOR:LIMAS</v>
          </cell>
          <cell r="R1732">
            <v>928002</v>
          </cell>
          <cell r="S1732">
            <v>464001</v>
          </cell>
          <cell r="T1732">
            <v>0</v>
          </cell>
          <cell r="U1732">
            <v>464001</v>
          </cell>
          <cell r="V1732">
            <v>464001</v>
          </cell>
        </row>
        <row r="1733">
          <cell r="J1733">
            <v>1272</v>
          </cell>
          <cell r="K1733">
            <v>43144</v>
          </cell>
          <cell r="L1733" t="str">
            <v>ISABELA  OPUA MEMBACHE</v>
          </cell>
          <cell r="M1733">
            <v>31</v>
          </cell>
          <cell r="N1733" t="str">
            <v>RESOLUCION</v>
          </cell>
          <cell r="O1733">
            <v>523</v>
          </cell>
          <cell r="P1733">
            <v>43144</v>
          </cell>
          <cell r="Q1733" t="str">
            <v>AYUDA TEMPORAL A LAS FAMILIAS DE VARIAS LOCALIDADES, PARA RELOCALIZACIÓN DE HOGARES LOCALIZADOS EN ZONAS DE ALTO RIESGO NO MITIGABLE ID:2015-W166-436, LOCALIDAD:19 CIUDAD BOLÍVAR, UPZ:68 EL TESORO, SECTOR:WOUNAAN</v>
          </cell>
          <cell r="R1733">
            <v>7020000</v>
          </cell>
          <cell r="S1733">
            <v>0</v>
          </cell>
          <cell r="T1733">
            <v>0</v>
          </cell>
          <cell r="U1733">
            <v>7020000</v>
          </cell>
          <cell r="V1733">
            <v>3780000</v>
          </cell>
        </row>
        <row r="1734">
          <cell r="J1734">
            <v>1273</v>
          </cell>
          <cell r="K1734">
            <v>43144</v>
          </cell>
          <cell r="L1734" t="str">
            <v>OTONIEL  GIRALDO RODRIGUEZ</v>
          </cell>
          <cell r="M1734">
            <v>31</v>
          </cell>
          <cell r="N1734" t="str">
            <v>RESOLUCION</v>
          </cell>
          <cell r="O1734">
            <v>830</v>
          </cell>
          <cell r="P1734">
            <v>43144</v>
          </cell>
          <cell r="Q1734" t="str">
            <v>AYUDA TEMPORAL A LAS FAMILIAS DE VARIAS LOCALIDADES, PARA RELOCALIZACIÓN DE HOGARES LOCALIZADOS EN ZONAS DE ALTO RIESGO NO MITIGABLE ID:2014-Q04-00835, LOCALIDAD:19 CIUDAD BOLÍVAR, UPZ:67 LUCERO, SECTOR:PEÑA COLORADA</v>
          </cell>
          <cell r="R1734">
            <v>2706270</v>
          </cell>
          <cell r="S1734">
            <v>902090</v>
          </cell>
          <cell r="T1734">
            <v>0</v>
          </cell>
          <cell r="U1734">
            <v>1804180</v>
          </cell>
          <cell r="V1734">
            <v>1804180</v>
          </cell>
        </row>
        <row r="1735">
          <cell r="J1735">
            <v>1274</v>
          </cell>
          <cell r="K1735">
            <v>43144</v>
          </cell>
          <cell r="L1735" t="str">
            <v>MARTHA LILIANA BLANCO PEREZ</v>
          </cell>
          <cell r="M1735">
            <v>31</v>
          </cell>
          <cell r="N1735" t="str">
            <v>RESOLUCION</v>
          </cell>
          <cell r="O1735">
            <v>831</v>
          </cell>
          <cell r="P1735">
            <v>43144</v>
          </cell>
          <cell r="Q1735" t="str">
            <v>AYUDA TEMPORAL A LAS FAMILIAS DE VARIAS LOCALIDADES, PARA RELOCALIZACIÓN DE HOGARES LOCALIZADOS EN ZONAS DE ALTO RIESGO NO MITIGABLE ID:2014-Q03-01021, LOCALIDAD:19 CIUDAD BOLÍVAR, UPZ:66 SAN FRANCISCO, SECTOR:LIMAS</v>
          </cell>
          <cell r="R1735">
            <v>6205092</v>
          </cell>
          <cell r="S1735">
            <v>0</v>
          </cell>
          <cell r="T1735">
            <v>0</v>
          </cell>
          <cell r="U1735">
            <v>6205092</v>
          </cell>
          <cell r="V1735">
            <v>3102546</v>
          </cell>
        </row>
        <row r="1736">
          <cell r="J1736">
            <v>1275</v>
          </cell>
          <cell r="K1736">
            <v>43144</v>
          </cell>
          <cell r="L1736" t="str">
            <v>HEIDY CAROLINA CONTRERAS GONZALEZ</v>
          </cell>
          <cell r="M1736">
            <v>31</v>
          </cell>
          <cell r="N1736" t="str">
            <v>RESOLUCION</v>
          </cell>
          <cell r="O1736">
            <v>832</v>
          </cell>
          <cell r="P1736">
            <v>43144</v>
          </cell>
          <cell r="Q1736" t="str">
            <v>AYUDA TEMPORAL A LAS FAMILIAS DE VARIAS LOCALIDADES, PARA RELOCALIZACIÓN DE HOGARES LOCALIZADOS EN ZONAS DE ALTO RIESGO NO MITIGABLE ID:2014-OTR-01216, LOCALIDAD:11 SUBA, UPZ:71 TIBABUYES, SECTOR:GAVILANES</v>
          </cell>
          <cell r="R1736">
            <v>3319728</v>
          </cell>
          <cell r="S1736">
            <v>553288</v>
          </cell>
          <cell r="T1736">
            <v>0</v>
          </cell>
          <cell r="U1736">
            <v>2766440</v>
          </cell>
          <cell r="V1736">
            <v>2766440</v>
          </cell>
        </row>
        <row r="1737">
          <cell r="J1737">
            <v>1276</v>
          </cell>
          <cell r="K1737">
            <v>43144</v>
          </cell>
          <cell r="L1737" t="str">
            <v>ANGIE NATALIA TORRES RISCANEVO</v>
          </cell>
          <cell r="M1737">
            <v>31</v>
          </cell>
          <cell r="N1737" t="str">
            <v>RESOLUCION</v>
          </cell>
          <cell r="O1737">
            <v>833</v>
          </cell>
          <cell r="P1737">
            <v>43144</v>
          </cell>
          <cell r="Q1737" t="str">
            <v>AYUDA TEMPORAL A LAS FAMILIAS DE VARIAS LOCALIDADES, PARA RELOCALIZACIÓN DE HOGARES LOCALIZADOS EN ZONAS DE ALTO RIESGO NO MITIGABLE ID:2016-08-14883, LOCALIDAD:08 KENNEDY, UPZ:82 PATIO BONITO, SECTOR:PALMITAS</v>
          </cell>
          <cell r="R1737">
            <v>4780404</v>
          </cell>
          <cell r="S1737">
            <v>0</v>
          </cell>
          <cell r="T1737">
            <v>0</v>
          </cell>
          <cell r="U1737">
            <v>4780404</v>
          </cell>
          <cell r="V1737">
            <v>2390202</v>
          </cell>
        </row>
        <row r="1738">
          <cell r="J1738">
            <v>1277</v>
          </cell>
          <cell r="K1738">
            <v>43144</v>
          </cell>
          <cell r="L1738" t="str">
            <v>AIDA LUCI CARPIO MEMBACHE</v>
          </cell>
          <cell r="M1738">
            <v>31</v>
          </cell>
          <cell r="N1738" t="str">
            <v>RESOLUCION</v>
          </cell>
          <cell r="O1738">
            <v>834</v>
          </cell>
          <cell r="P1738">
            <v>43144</v>
          </cell>
          <cell r="Q1738" t="str">
            <v>AYUDA TEMPORAL A LAS FAMILIAS DE VARIAS LOCALIDADES, PARA RELOCALIZACIÓN DE HOGARES LOCALIZADOS EN ZONAS DE ALTO RIESGO NO MITIGABLE ID:2014-W166-032, LOCALIDAD:19 CIUDAD BOLÍVAR, UPZ:67 LUCERO, SECTOR:WOUNAAN</v>
          </cell>
          <cell r="R1738">
            <v>6196824</v>
          </cell>
          <cell r="S1738">
            <v>0</v>
          </cell>
          <cell r="T1738">
            <v>0</v>
          </cell>
          <cell r="U1738">
            <v>6196824</v>
          </cell>
          <cell r="V1738">
            <v>3098412</v>
          </cell>
        </row>
        <row r="1739">
          <cell r="J1739">
            <v>1278</v>
          </cell>
          <cell r="K1739">
            <v>43144</v>
          </cell>
          <cell r="L1739" t="str">
            <v>FLOR ALBA MONTERO RICAURTE</v>
          </cell>
          <cell r="M1739">
            <v>31</v>
          </cell>
          <cell r="N1739" t="str">
            <v>RESOLUCION</v>
          </cell>
          <cell r="O1739">
            <v>835</v>
          </cell>
          <cell r="P1739">
            <v>43144</v>
          </cell>
          <cell r="Q1739" t="str">
            <v>AYUDA TEMPORAL A LAS FAMILIAS DE VARIAS LOCALIDADES, PARA RELOCALIZACIÓN DE HOGARES LOCALIZADOS EN ZONAS DE ALTO RIESGO NO MITIGABLE ID:2010-5-11616, LOCALIDAD:05 USME, UPZ:57 GRAN YOMASA, SECTOR:OLA INVERNAL 2010 FOPAE</v>
          </cell>
          <cell r="R1739">
            <v>2442336</v>
          </cell>
          <cell r="S1739">
            <v>0</v>
          </cell>
          <cell r="T1739">
            <v>0</v>
          </cell>
          <cell r="U1739">
            <v>2442336</v>
          </cell>
          <cell r="V1739">
            <v>1221168</v>
          </cell>
        </row>
        <row r="1740">
          <cell r="J1740">
            <v>1279</v>
          </cell>
          <cell r="K1740">
            <v>43144</v>
          </cell>
          <cell r="L1740" t="str">
            <v>JOSE PABLO LUNA CUELLAR</v>
          </cell>
          <cell r="M1740">
            <v>31</v>
          </cell>
          <cell r="N1740" t="str">
            <v>RESOLUCION</v>
          </cell>
          <cell r="O1740">
            <v>836</v>
          </cell>
          <cell r="P1740">
            <v>43144</v>
          </cell>
          <cell r="Q1740" t="str">
            <v>AYUDA TEMPORAL A LAS FAMILIAS DE VARIAS LOCALIDADES, PARA RELOCALIZACIÓN DE HOGARES LOCALIZADOS EN ZONAS DE ALTO RIESGO NO MITIGABLE ID:2014-OTR-01258, LOCALIDAD:11 SUBA, UPZ:71 TIBABUYES, SECTOR:GAVILANES</v>
          </cell>
          <cell r="R1740">
            <v>2550450</v>
          </cell>
          <cell r="S1740">
            <v>425075</v>
          </cell>
          <cell r="T1740">
            <v>0</v>
          </cell>
          <cell r="U1740">
            <v>2125375</v>
          </cell>
          <cell r="V1740">
            <v>2125375</v>
          </cell>
        </row>
        <row r="1741">
          <cell r="J1741">
            <v>1280</v>
          </cell>
          <cell r="K1741">
            <v>43144</v>
          </cell>
          <cell r="L1741" t="str">
            <v>MARIA LILIA BONILLA</v>
          </cell>
          <cell r="M1741">
            <v>31</v>
          </cell>
          <cell r="N1741" t="str">
            <v>RESOLUCION</v>
          </cell>
          <cell r="O1741">
            <v>837</v>
          </cell>
          <cell r="P1741">
            <v>43144</v>
          </cell>
          <cell r="Q1741" t="str">
            <v>AYUDA TEMPORAL A LAS FAMILIAS DE VARIAS LOCALIDADES, PARA RELOCALIZACIÓN DE HOGARES LOCALIZADOS EN ZONAS DE ALTO RIESGO NO MITIGABLE ID:2012-19-13821, LOCALIDAD:19 CIUDAD BOLÍVAR, UPZ:67 LUCERO, SECTOR:</v>
          </cell>
          <cell r="R1741">
            <v>2892240</v>
          </cell>
          <cell r="S1741">
            <v>482040</v>
          </cell>
          <cell r="T1741">
            <v>0</v>
          </cell>
          <cell r="U1741">
            <v>2410200</v>
          </cell>
          <cell r="V1741">
            <v>2410200</v>
          </cell>
        </row>
        <row r="1742">
          <cell r="J1742">
            <v>1282</v>
          </cell>
          <cell r="K1742">
            <v>43144</v>
          </cell>
          <cell r="L1742" t="str">
            <v>ANTONIO VICENTE TORRES RUBIO</v>
          </cell>
          <cell r="M1742">
            <v>31</v>
          </cell>
          <cell r="N1742" t="str">
            <v>RESOLUCION</v>
          </cell>
          <cell r="O1742">
            <v>838</v>
          </cell>
          <cell r="P1742">
            <v>43144</v>
          </cell>
          <cell r="Q1742" t="str">
            <v>AYUDA TEMPORAL A LAS FAMILIAS DE VARIAS LOCALIDADES, PARA RELOCALIZACIÓN DE HOGARES LOCALIZADOS EN ZONAS DE ALTO RIESGO NO MITIGABLE ID:2015-D227-00008, LOCALIDAD:04 SAN CRISTÓBAL, UPZ:51 LOS LIBERTADORES, SECTOR:SANTA TERESITA</v>
          </cell>
          <cell r="R1742">
            <v>6108300</v>
          </cell>
          <cell r="S1742">
            <v>0</v>
          </cell>
          <cell r="T1742">
            <v>0</v>
          </cell>
          <cell r="U1742">
            <v>6108300</v>
          </cell>
          <cell r="V1742">
            <v>3054150</v>
          </cell>
        </row>
        <row r="1743">
          <cell r="J1743">
            <v>1283</v>
          </cell>
          <cell r="K1743">
            <v>43144</v>
          </cell>
          <cell r="L1743" t="str">
            <v>ELVER YAIMA BONILLA</v>
          </cell>
          <cell r="M1743">
            <v>31</v>
          </cell>
          <cell r="N1743" t="str">
            <v>RESOLUCION</v>
          </cell>
          <cell r="O1743">
            <v>839</v>
          </cell>
          <cell r="P1743">
            <v>43144</v>
          </cell>
          <cell r="Q1743" t="str">
            <v>AYUDA TEMPORAL A LAS FAMILIAS DE VARIAS LOCALIDADES, PARA RELOCALIZACIÓN DE HOGARES LOCALIZADOS EN ZONAS DE ALTO RIESGO NO MITIGABLE ID:2012-19-13884, LOCALIDAD:19 CIUDAD BOLÍVAR, UPZ:67 LUCERO, SECTOR:</v>
          </cell>
          <cell r="R1743">
            <v>2671848</v>
          </cell>
          <cell r="S1743">
            <v>445308</v>
          </cell>
          <cell r="T1743">
            <v>0</v>
          </cell>
          <cell r="U1743">
            <v>2226540</v>
          </cell>
          <cell r="V1743">
            <v>2226540</v>
          </cell>
        </row>
        <row r="1744">
          <cell r="J1744">
            <v>1284</v>
          </cell>
          <cell r="K1744">
            <v>43144</v>
          </cell>
          <cell r="L1744" t="str">
            <v>BLANCA LUZ TORRES CARRILLO</v>
          </cell>
          <cell r="M1744">
            <v>31</v>
          </cell>
          <cell r="N1744" t="str">
            <v>RESOLUCION</v>
          </cell>
          <cell r="O1744">
            <v>840</v>
          </cell>
          <cell r="P1744">
            <v>43144</v>
          </cell>
          <cell r="Q1744" t="str">
            <v>AYUDA TEMPORAL A LAS FAMILIAS DE VARIAS LOCALIDADES, PARA RELOCALIZACIÓN DE HOGARES LOCALIZADOS EN ZONAS DE ALTO RIESGO NO MITIGABLE ID:2014-Q03-01022, LOCALIDAD:19 CIUDAD BOLÍVAR, UPZ:66 SAN FRANCISCO, SECTOR:LIMAS</v>
          </cell>
          <cell r="R1744">
            <v>2924376</v>
          </cell>
          <cell r="S1744">
            <v>417768</v>
          </cell>
          <cell r="T1744">
            <v>0</v>
          </cell>
          <cell r="U1744">
            <v>2506608</v>
          </cell>
          <cell r="V1744">
            <v>2506608</v>
          </cell>
        </row>
        <row r="1745">
          <cell r="J1745">
            <v>1285</v>
          </cell>
          <cell r="K1745">
            <v>43144</v>
          </cell>
          <cell r="L1745" t="str">
            <v>JACKELINE  GOMEZ NUÑEZ</v>
          </cell>
          <cell r="M1745">
            <v>31</v>
          </cell>
          <cell r="N1745" t="str">
            <v>RESOLUCION</v>
          </cell>
          <cell r="O1745">
            <v>841</v>
          </cell>
          <cell r="P1745">
            <v>43144</v>
          </cell>
          <cell r="Q1745" t="str">
            <v>AYUDA TEMPORAL A LAS FAMILIAS DE VARIAS LOCALIDADES, PARA RELOCALIZACIÓN DE HOGARES LOCALIZADOS EN ZONAS DE ALTO RIESGO NO MITIGABLE ID:2014-Q09-00928, LOCALIDAD:19 CIUDAD BOLÍVAR, UPZ:67 LUCERO, SECTOR:QUEBRADA TROMPETA</v>
          </cell>
          <cell r="R1745">
            <v>2343726</v>
          </cell>
          <cell r="S1745">
            <v>390621</v>
          </cell>
          <cell r="T1745">
            <v>0</v>
          </cell>
          <cell r="U1745">
            <v>1953105</v>
          </cell>
          <cell r="V1745">
            <v>1953105</v>
          </cell>
        </row>
        <row r="1746">
          <cell r="J1746">
            <v>1286</v>
          </cell>
          <cell r="K1746">
            <v>43144</v>
          </cell>
          <cell r="L1746" t="str">
            <v>ANA MERCEDES GUTIERREZ NAJAR</v>
          </cell>
          <cell r="M1746">
            <v>31</v>
          </cell>
          <cell r="N1746" t="str">
            <v>RESOLUCION</v>
          </cell>
          <cell r="O1746">
            <v>842</v>
          </cell>
          <cell r="P1746">
            <v>43144</v>
          </cell>
          <cell r="Q1746" t="str">
            <v>AYUDA TEMPORAL A LAS FAMILIAS DE VARIAS LOCALIDADES, PARA RELOCALIZACIÓN DE HOGARES LOCALIZADOS EN ZONAS DE ALTO RIESGO NO MITIGABLE ID:2006-3-9153, LOCALIDAD:03 SANTA FE, UPZ:92 LA MACARENA, SECTOR:</v>
          </cell>
          <cell r="R1746">
            <v>4868928</v>
          </cell>
          <cell r="S1746">
            <v>0</v>
          </cell>
          <cell r="T1746">
            <v>0</v>
          </cell>
          <cell r="U1746">
            <v>4868928</v>
          </cell>
          <cell r="V1746">
            <v>2434464</v>
          </cell>
        </row>
        <row r="1747">
          <cell r="J1747">
            <v>1287</v>
          </cell>
          <cell r="K1747">
            <v>43144</v>
          </cell>
          <cell r="L1747" t="str">
            <v>SANDRA BIBIANA GONZALEZ SABOGAL</v>
          </cell>
          <cell r="M1747">
            <v>31</v>
          </cell>
          <cell r="N1747" t="str">
            <v>RESOLUCION</v>
          </cell>
          <cell r="O1747">
            <v>843</v>
          </cell>
          <cell r="P1747">
            <v>43144</v>
          </cell>
          <cell r="Q1747" t="str">
            <v>AYUDA TEMPORAL A LAS FAMILIAS DE VARIAS LOCALIDADES, PARA RELOCALIZACIÓN DE HOGARES LOCALIZADOS EN ZONAS DE ALTO RIESGO NO MITIGABLE ID:2006-4-8696, LOCALIDAD:04 SAN CRISTÓBAL, UPZ:50 LA GLORIA, SECTOR:</v>
          </cell>
          <cell r="R1747">
            <v>4687452</v>
          </cell>
          <cell r="S1747">
            <v>0</v>
          </cell>
          <cell r="T1747">
            <v>0</v>
          </cell>
          <cell r="U1747">
            <v>4687452</v>
          </cell>
          <cell r="V1747">
            <v>2343726</v>
          </cell>
        </row>
        <row r="1748">
          <cell r="J1748">
            <v>1288</v>
          </cell>
          <cell r="K1748">
            <v>43144</v>
          </cell>
          <cell r="L1748" t="str">
            <v>FRANCELY  MURRILLO LARROTTA</v>
          </cell>
          <cell r="M1748">
            <v>31</v>
          </cell>
          <cell r="N1748" t="str">
            <v>RESOLUCION</v>
          </cell>
          <cell r="O1748">
            <v>844</v>
          </cell>
          <cell r="P1748">
            <v>43144</v>
          </cell>
          <cell r="Q1748" t="str">
            <v>AYUDA TEMPORAL A LAS FAMILIAS DE VARIAS LOCALIDADES, PARA RELOCALIZACIÓN DE HOGARES LOCALIZADOS EN ZONAS DE ALTO RIESGO NO MITIGABLE ID:2012-19-13778, LOCALIDAD:19 CIUDAD BOLÍVAR, UPZ:67 LUCERO, SECTOR:</v>
          </cell>
          <cell r="R1748">
            <v>2343726</v>
          </cell>
          <cell r="S1748">
            <v>390621</v>
          </cell>
          <cell r="T1748">
            <v>0</v>
          </cell>
          <cell r="U1748">
            <v>1953105</v>
          </cell>
          <cell r="V1748">
            <v>1953105</v>
          </cell>
        </row>
        <row r="1749">
          <cell r="J1749">
            <v>1289</v>
          </cell>
          <cell r="K1749">
            <v>43144</v>
          </cell>
          <cell r="L1749" t="str">
            <v>JOSE JESUS NUÑEZ</v>
          </cell>
          <cell r="M1749">
            <v>31</v>
          </cell>
          <cell r="N1749" t="str">
            <v>RESOLUCION</v>
          </cell>
          <cell r="O1749">
            <v>845</v>
          </cell>
          <cell r="P1749">
            <v>43144</v>
          </cell>
          <cell r="Q1749" t="str">
            <v>AYUDA TEMPORAL A LAS FAMILIAS DE VARIAS LOCALIDADES, PARA RELOCALIZACIÓN DE HOGARES LOCALIZADOS EN ZONAS DE ALTO RIESGO NO MITIGABLE ID:2012-ALES-260, LOCALIDAD:19 CIUDAD BOLÍVAR, UPZ:69 ISMAEL PERDOMO, SECTOR:ALTOS DE LA ESTANCIA</v>
          </cell>
          <cell r="R1749">
            <v>5304312</v>
          </cell>
          <cell r="S1749">
            <v>0</v>
          </cell>
          <cell r="T1749">
            <v>0</v>
          </cell>
          <cell r="U1749">
            <v>5304312</v>
          </cell>
          <cell r="V1749">
            <v>2652156</v>
          </cell>
        </row>
        <row r="1750">
          <cell r="J1750">
            <v>1290</v>
          </cell>
          <cell r="K1750">
            <v>43144</v>
          </cell>
          <cell r="L1750" t="str">
            <v>JOSE DE LOS SANTOS RIOS SALGADO</v>
          </cell>
          <cell r="M1750">
            <v>31</v>
          </cell>
          <cell r="N1750" t="str">
            <v>RESOLUCION</v>
          </cell>
          <cell r="O1750">
            <v>846</v>
          </cell>
          <cell r="P1750">
            <v>43144</v>
          </cell>
          <cell r="Q1750" t="str">
            <v>AYUDA TEMPORAL A LAS FAMILIAS DE VARIAS LOCALIDADES, PARA RELOCALIZACIÓN DE HOGARES LOCALIZADOS EN ZONAS DE ALTO RIESGO NO MITIGABLE ID:2012-ALES-261, LOCALIDAD:19 CIUDAD BOLÍVAR, UPZ:69 ISMAEL PERDOMO, SECTOR:ALTOS DE LA ESTANCIA</v>
          </cell>
          <cell r="R1750">
            <v>3247524</v>
          </cell>
          <cell r="S1750">
            <v>541254</v>
          </cell>
          <cell r="T1750">
            <v>0</v>
          </cell>
          <cell r="U1750">
            <v>2706270</v>
          </cell>
          <cell r="V1750">
            <v>2706270</v>
          </cell>
        </row>
        <row r="1751">
          <cell r="J1751">
            <v>1291</v>
          </cell>
          <cell r="K1751">
            <v>43144</v>
          </cell>
          <cell r="L1751" t="str">
            <v>JHON FLAVIO MORALES GUARNIZO</v>
          </cell>
          <cell r="M1751">
            <v>31</v>
          </cell>
          <cell r="N1751" t="str">
            <v>RESOLUCION</v>
          </cell>
          <cell r="O1751">
            <v>817</v>
          </cell>
          <cell r="P1751">
            <v>43144</v>
          </cell>
          <cell r="Q1751" t="str">
            <v>AYUDA TEMPORAL A LAS FAMILIAS DE VARIAS LOCALIDADES, PARA RELOCALIZACIÓN DE HOGARES LOCALIZADOS EN ZONAS DE ALTO RIESGO NO MITIGABLE ID:2017-19-15043, LOCALIDAD:19 CIUDAD BOLÍVAR, UPZ:67 EL LUCERO, SECTOR:BELLA FLOR</v>
          </cell>
          <cell r="R1751">
            <v>3098412</v>
          </cell>
          <cell r="S1751">
            <v>0</v>
          </cell>
          <cell r="T1751">
            <v>0</v>
          </cell>
          <cell r="U1751">
            <v>3098412</v>
          </cell>
          <cell r="V1751">
            <v>2582010</v>
          </cell>
        </row>
        <row r="1752">
          <cell r="J1752">
            <v>1292</v>
          </cell>
          <cell r="K1752">
            <v>43144</v>
          </cell>
          <cell r="L1752" t="str">
            <v>ROBERTO DE JESUS URREA ATEHORTUA</v>
          </cell>
          <cell r="M1752">
            <v>31</v>
          </cell>
          <cell r="N1752" t="str">
            <v>RESOLUCION</v>
          </cell>
          <cell r="O1752">
            <v>825</v>
          </cell>
          <cell r="P1752">
            <v>43144</v>
          </cell>
          <cell r="Q1752" t="str">
            <v>AYUDA TEMPORAL A LAS FAMILIAS DE VARIAS LOCALIDADES, PARA RELOCALIZACIÓN DE HOGARES LOCALIZADOS EN ZONAS DE ALTO RIESGO NO MITIGABLE ID:2012-19-13808, LOCALIDAD:19 CIUDAD BOLÍVAR, UPZ:67 LUCERO, SECTOR:</v>
          </cell>
          <cell r="R1752">
            <v>5721420</v>
          </cell>
          <cell r="S1752">
            <v>0</v>
          </cell>
          <cell r="T1752">
            <v>0</v>
          </cell>
          <cell r="U1752">
            <v>5721420</v>
          </cell>
          <cell r="V1752">
            <v>2860710</v>
          </cell>
        </row>
        <row r="1753">
          <cell r="J1753">
            <v>1293</v>
          </cell>
          <cell r="K1753">
            <v>43144</v>
          </cell>
          <cell r="L1753" t="str">
            <v>BERNARDA  MATEUS</v>
          </cell>
          <cell r="M1753">
            <v>31</v>
          </cell>
          <cell r="N1753" t="str">
            <v>RESOLUCION</v>
          </cell>
          <cell r="O1753">
            <v>999</v>
          </cell>
          <cell r="P1753">
            <v>43144</v>
          </cell>
          <cell r="Q1753" t="str">
            <v>AYUDA TEMPORAL A LAS FAMILIAS DE VARIAS LOCALIDADES, PARA RELOCALIZACIÓN DE HOGARES LOCALIZADOS EN ZONAS DE ALTO RIESGO NO MITIGABLE ID:2015-OTR-01369, LOCALIDAD:11 SUBA, UPZ:71 TIBABUYES, SECTOR:GAVILANES</v>
          </cell>
          <cell r="R1753">
            <v>3983670</v>
          </cell>
          <cell r="S1753">
            <v>0</v>
          </cell>
          <cell r="T1753">
            <v>0</v>
          </cell>
          <cell r="U1753">
            <v>3983670</v>
          </cell>
          <cell r="V1753">
            <v>2655780</v>
          </cell>
        </row>
        <row r="1754">
          <cell r="J1754">
            <v>1294</v>
          </cell>
          <cell r="K1754">
            <v>43144</v>
          </cell>
          <cell r="L1754" t="str">
            <v>EDWIN ANGEL DUARTE GOMEZ</v>
          </cell>
          <cell r="M1754">
            <v>31</v>
          </cell>
          <cell r="N1754" t="str">
            <v>RESOLUCION</v>
          </cell>
          <cell r="O1754">
            <v>998</v>
          </cell>
          <cell r="P1754">
            <v>43144</v>
          </cell>
          <cell r="Q1754" t="str">
            <v>AYUDA TEMPORAL A LAS FAMILIAS DE VARIAS LOCALIDADES, PARA RELOCALIZACIÓN DE HOGARES LOCALIZADOS EN ZONAS DE ALTO RIESGO NO MITIGABLE ID:2013-Q21-00607, LOCALIDAD:19 CIUDAD BOLÍVAR, UPZ:67 LUCERO, SECTOR:BRAZO DERECHO DE LIMAS</v>
          </cell>
          <cell r="R1754">
            <v>2706270</v>
          </cell>
          <cell r="S1754">
            <v>0</v>
          </cell>
          <cell r="T1754">
            <v>0</v>
          </cell>
          <cell r="U1754">
            <v>2706270</v>
          </cell>
          <cell r="V1754">
            <v>1804180</v>
          </cell>
        </row>
        <row r="1755">
          <cell r="J1755">
            <v>1295</v>
          </cell>
          <cell r="K1755">
            <v>43144</v>
          </cell>
          <cell r="L1755" t="str">
            <v>CAROLINA  GUZMAN ROMERO</v>
          </cell>
          <cell r="M1755">
            <v>31</v>
          </cell>
          <cell r="N1755" t="str">
            <v>RESOLUCION</v>
          </cell>
          <cell r="O1755">
            <v>997</v>
          </cell>
          <cell r="P1755">
            <v>43144</v>
          </cell>
          <cell r="Q1755" t="str">
            <v>AYUDA TEMPORAL A LAS FAMILIAS DE VARIAS LOCALIDADES, PARA RELOCALIZACIÓN DE HOGARES LOCALIZADOS EN ZONAS DE ALTO RIESGO NO MITIGABLE ID:2016-08-14921, LOCALIDAD:08 KENNEDY, UPZ:82 PATIO BONITO, SECTOR:PALMITAS</v>
          </cell>
          <cell r="R1755">
            <v>1593468</v>
          </cell>
          <cell r="S1755">
            <v>398367</v>
          </cell>
          <cell r="T1755">
            <v>0</v>
          </cell>
          <cell r="U1755">
            <v>1195101</v>
          </cell>
          <cell r="V1755">
            <v>1195101</v>
          </cell>
        </row>
        <row r="1756">
          <cell r="J1756">
            <v>1296</v>
          </cell>
          <cell r="K1756">
            <v>43144</v>
          </cell>
          <cell r="L1756" t="str">
            <v>PEDRO ANTONIO POSADA VILLAMIL</v>
          </cell>
          <cell r="M1756">
            <v>31</v>
          </cell>
          <cell r="N1756" t="str">
            <v>RESOLUCION</v>
          </cell>
          <cell r="O1756">
            <v>996</v>
          </cell>
          <cell r="P1756">
            <v>43144</v>
          </cell>
          <cell r="Q1756" t="str">
            <v>AYUDA TEMPORAL A LAS FAMILIAS DE VARIAS LOCALIDADES, PARA RELOCALIZACIÓN DE HOGARES LOCALIZADOS EN ZONAS DE ALTO RIESGO NO MITIGABLE ID:2015-D227-00049, LOCALIDAD:04 SAN CRISTÓBAL, UPZ:51 LOS LIBERTADORES, SECTOR:SANTA TERESITA</v>
          </cell>
          <cell r="R1756">
            <v>4795154</v>
          </cell>
          <cell r="S1756">
            <v>0</v>
          </cell>
          <cell r="T1756">
            <v>0</v>
          </cell>
          <cell r="U1756">
            <v>4795154</v>
          </cell>
          <cell r="V1756">
            <v>2582006</v>
          </cell>
        </row>
        <row r="1757">
          <cell r="J1757">
            <v>1297</v>
          </cell>
          <cell r="K1757">
            <v>43144</v>
          </cell>
          <cell r="L1757" t="str">
            <v>JUAN DE JESUS RUBIO NIETO</v>
          </cell>
          <cell r="M1757">
            <v>31</v>
          </cell>
          <cell r="N1757" t="str">
            <v>RESOLUCION</v>
          </cell>
          <cell r="O1757">
            <v>990</v>
          </cell>
          <cell r="P1757">
            <v>43144</v>
          </cell>
          <cell r="Q1757" t="str">
            <v>AYUDA TEMPORAL A LAS FAMILIAS DE VARIAS LOCALIDADES, PARA RELOCALIZACIÓN DE HOGARES LOCALIZADOS EN ZONAS DE ALTO RIESGO NO MITIGABLE ID:2011-19-13767, LOCALIDAD:19 CIUDAD BOLÍVAR, UPZ:67 LUCERO, SECTOR:</v>
          </cell>
          <cell r="R1757">
            <v>6450353</v>
          </cell>
          <cell r="S1757">
            <v>0</v>
          </cell>
          <cell r="T1757">
            <v>0</v>
          </cell>
          <cell r="U1757">
            <v>6450353</v>
          </cell>
          <cell r="V1757">
            <v>2480905</v>
          </cell>
        </row>
        <row r="1758">
          <cell r="J1758">
            <v>1298</v>
          </cell>
          <cell r="K1758">
            <v>43144</v>
          </cell>
          <cell r="L1758" t="str">
            <v>CLARA INES MARTINEZ</v>
          </cell>
          <cell r="M1758">
            <v>31</v>
          </cell>
          <cell r="N1758" t="str">
            <v>RESOLUCION</v>
          </cell>
          <cell r="O1758">
            <v>995</v>
          </cell>
          <cell r="P1758">
            <v>43144</v>
          </cell>
          <cell r="Q1758" t="str">
            <v>AYUDA TEMPORAL A LAS FAMILIAS DE VARIAS LOCALIDADES, PARA RELOCALIZACIÓN DE HOGARES LOCALIZADOS EN ZONAS DE ALTO RIESGO NO MITIGABLE ID:2013000015, LOCALIDAD:19 CIUDAD BOLÍVAR, UPZ:67 LUCERO, SECTOR:QUEBRADA CAÑO BAÚL</v>
          </cell>
          <cell r="R1758">
            <v>2586000</v>
          </cell>
          <cell r="S1758">
            <v>431000</v>
          </cell>
          <cell r="T1758">
            <v>0</v>
          </cell>
          <cell r="U1758">
            <v>2155000</v>
          </cell>
          <cell r="V1758">
            <v>2155000</v>
          </cell>
        </row>
        <row r="1759">
          <cell r="J1759">
            <v>1299</v>
          </cell>
          <cell r="K1759">
            <v>43144</v>
          </cell>
          <cell r="L1759" t="str">
            <v>YANETH  LOPEZ MURCIA</v>
          </cell>
          <cell r="M1759">
            <v>31</v>
          </cell>
          <cell r="N1759" t="str">
            <v>RESOLUCION</v>
          </cell>
          <cell r="O1759">
            <v>994</v>
          </cell>
          <cell r="P1759">
            <v>43144</v>
          </cell>
          <cell r="Q1759" t="str">
            <v>AYUDA TEMPORAL A LAS FAMILIAS DE VARIAS LOCALIDADES, PARA RELOCALIZACIÓN DE HOGARES LOCALIZADOS EN ZONAS DE ALTO RIESGO NO MITIGABLE ID:2011-4-12698, LOCALIDAD:04 SAN CRISTÓBAL, UPZ:32 SAN BLAS</v>
          </cell>
          <cell r="R1759">
            <v>5181132</v>
          </cell>
          <cell r="S1759">
            <v>0</v>
          </cell>
          <cell r="T1759">
            <v>0</v>
          </cell>
          <cell r="U1759">
            <v>5181132</v>
          </cell>
          <cell r="V1759">
            <v>2590566</v>
          </cell>
        </row>
        <row r="1760">
          <cell r="J1760">
            <v>1300</v>
          </cell>
          <cell r="K1760">
            <v>43144</v>
          </cell>
          <cell r="L1760" t="str">
            <v>MARIA ELENA NIEVES MARTINEZ TOVAR</v>
          </cell>
          <cell r="M1760">
            <v>31</v>
          </cell>
          <cell r="N1760" t="str">
            <v>RESOLUCION</v>
          </cell>
          <cell r="O1760">
            <v>989</v>
          </cell>
          <cell r="P1760">
            <v>43144</v>
          </cell>
          <cell r="Q1760" t="str">
            <v>AYUDA TEMPORAL A LAS FAMILIAS DE VARIAS LOCALIDADES, PARA RELOCALIZACIÓN DE HOGARES LOCALIZADOS EN ZONAS DE ALTO RIESGO NO MITIGABLE ID:2010-19-11687, LOCALIDAD:19 CIUDAD BOLÍVAR, UPZ:69 ISMAEL PERDOMO, SECTOR:OLA INVERNAL 2010 FOPAE</v>
          </cell>
          <cell r="R1760">
            <v>2358570</v>
          </cell>
          <cell r="S1760">
            <v>393095</v>
          </cell>
          <cell r="T1760">
            <v>0</v>
          </cell>
          <cell r="U1760">
            <v>1965475</v>
          </cell>
          <cell r="V1760">
            <v>1965475</v>
          </cell>
        </row>
        <row r="1761">
          <cell r="J1761">
            <v>1301</v>
          </cell>
          <cell r="K1761">
            <v>43144</v>
          </cell>
          <cell r="L1761" t="str">
            <v>LINA MARIA MALPICA FUENTES</v>
          </cell>
          <cell r="M1761">
            <v>31</v>
          </cell>
          <cell r="N1761" t="str">
            <v>RESOLUCION</v>
          </cell>
          <cell r="O1761">
            <v>1008</v>
          </cell>
          <cell r="P1761">
            <v>43144</v>
          </cell>
          <cell r="Q1761" t="str">
            <v>AYUDA TEMPORAL A LAS FAMILIAS DE VARIAS LOCALIDADES, PARA RELOCALIZACIÓN DE HOGARES LOCALIZADOS EN ZONAS DE ALTO RIESGO NO MITIGABLE ID:2013-Q04-00309, LOCALIDAD:04 SAN CRISTÓBAL, UPZ:51 LOS LIBERTADORES, SECTOR:QUEBRADA VEREJONES</v>
          </cell>
          <cell r="R1761">
            <v>5285280</v>
          </cell>
          <cell r="S1761">
            <v>0</v>
          </cell>
          <cell r="T1761">
            <v>0</v>
          </cell>
          <cell r="U1761">
            <v>5285280</v>
          </cell>
          <cell r="V1761">
            <v>2845920</v>
          </cell>
        </row>
        <row r="1762">
          <cell r="J1762">
            <v>1302</v>
          </cell>
          <cell r="K1762">
            <v>43144</v>
          </cell>
          <cell r="L1762" t="str">
            <v>RAUL ALBERTO CERON LOPEZ</v>
          </cell>
          <cell r="M1762">
            <v>31</v>
          </cell>
          <cell r="N1762" t="str">
            <v>RESOLUCION</v>
          </cell>
          <cell r="O1762">
            <v>993</v>
          </cell>
          <cell r="P1762">
            <v>43144</v>
          </cell>
          <cell r="Q1762" t="str">
            <v>AYUDA TEMPORAL A LAS FAMILIAS DE VARIAS LOCALIDADES, PARA RELOCALIZACIÓN DE HOGARES LOCALIZADOS EN ZONAS DE ALTO RIESGO NO MITIGABLE ID:2013-Q04-00580, LOCALIDAD:19 CIUDAD BOLÍVAR, UPZ:67 LUCERO, SECTOR:PEÑA COLORADA</v>
          </cell>
          <cell r="R1762">
            <v>5031235</v>
          </cell>
          <cell r="S1762">
            <v>0</v>
          </cell>
          <cell r="T1762">
            <v>0</v>
          </cell>
          <cell r="U1762">
            <v>5031235</v>
          </cell>
          <cell r="V1762">
            <v>2744310</v>
          </cell>
        </row>
        <row r="1763">
          <cell r="J1763">
            <v>1303</v>
          </cell>
          <cell r="K1763">
            <v>43144</v>
          </cell>
          <cell r="L1763" t="str">
            <v>KATHERINE PAOLA DUARTE BENITEZ</v>
          </cell>
          <cell r="M1763">
            <v>31</v>
          </cell>
          <cell r="N1763" t="str">
            <v>RESOLUCION</v>
          </cell>
          <cell r="O1763">
            <v>992</v>
          </cell>
          <cell r="P1763">
            <v>43144</v>
          </cell>
          <cell r="Q1763" t="str">
            <v>AYUDA TEMPORAL A LAS FAMILIAS DE VARIAS LOCALIDADES, PARA RELOCALIZACIÓN DE HOGARES LOCALIZADOS EN ZONAS DE ALTO RIESGO NO MITIGABLE ID:2016-04-14918, LOCALIDAD:04 SAN CRISTÓBAL, UPZ:51 LOS LIBERTADORES, SECTOR:SANTA TERESITA</v>
          </cell>
          <cell r="R1763">
            <v>5754192</v>
          </cell>
          <cell r="S1763">
            <v>0</v>
          </cell>
          <cell r="T1763">
            <v>0</v>
          </cell>
          <cell r="U1763">
            <v>5754192</v>
          </cell>
          <cell r="V1763">
            <v>2877096</v>
          </cell>
        </row>
        <row r="1764">
          <cell r="J1764">
            <v>1304</v>
          </cell>
          <cell r="K1764">
            <v>43144</v>
          </cell>
          <cell r="L1764" t="str">
            <v>JORGE ANDRES CANTOR PINZON</v>
          </cell>
          <cell r="M1764">
            <v>31</v>
          </cell>
          <cell r="N1764" t="str">
            <v>RESOLUCION</v>
          </cell>
          <cell r="O1764">
            <v>1007</v>
          </cell>
          <cell r="P1764">
            <v>43144</v>
          </cell>
          <cell r="Q1764" t="str">
            <v>AYUDA TEMPORAL A LAS FAMILIAS DE VARIAS LOCALIDADES, PARA RELOCALIZACIÓN DE HOGARES LOCALIZADOS EN ZONAS DE ALTO RIESGO NO MITIGABLE ID:2013000265, LOCALIDAD:04 SAN CRISTÓBAL, UPZ:51 LOS LIBERTADORES, SECTOR:QUEBRADA VEREJONES</v>
          </cell>
          <cell r="R1764">
            <v>5110235</v>
          </cell>
          <cell r="S1764">
            <v>0</v>
          </cell>
          <cell r="T1764">
            <v>0</v>
          </cell>
          <cell r="U1764">
            <v>5110235</v>
          </cell>
          <cell r="V1764">
            <v>2358570</v>
          </cell>
        </row>
        <row r="1765">
          <cell r="J1765">
            <v>1305</v>
          </cell>
          <cell r="K1765">
            <v>43144</v>
          </cell>
          <cell r="L1765" t="str">
            <v>LUIS EDUARDO GARCIA MORENO</v>
          </cell>
          <cell r="M1765">
            <v>31</v>
          </cell>
          <cell r="N1765" t="str">
            <v>RESOLUCION</v>
          </cell>
          <cell r="O1765">
            <v>988</v>
          </cell>
          <cell r="P1765">
            <v>43144</v>
          </cell>
          <cell r="Q1765" t="str">
            <v>AYUDA TEMPORAL A LAS FAMILIAS DE VARIAS LOCALIDADES, PARA RELOCALIZACIÓN DE HOGARES LOCALIZADOS EN ZONAS DE ALTO RIESGO NO MITIGABLE ID:2013-Q07-00024, LOCALIDAD:19 CIUDAD BOLÍVAR, UPZ:67 LUCERO, SECTOR:ZANJÓN DEL AHORCADO</v>
          </cell>
          <cell r="R1765">
            <v>3102546</v>
          </cell>
          <cell r="S1765">
            <v>517091</v>
          </cell>
          <cell r="T1765">
            <v>0</v>
          </cell>
          <cell r="U1765">
            <v>2585455</v>
          </cell>
          <cell r="V1765">
            <v>2585455</v>
          </cell>
        </row>
        <row r="1766">
          <cell r="J1766">
            <v>1306</v>
          </cell>
          <cell r="K1766">
            <v>43144</v>
          </cell>
          <cell r="L1766" t="str">
            <v>ANDRES  TURRIAGO FORERO</v>
          </cell>
          <cell r="M1766">
            <v>31</v>
          </cell>
          <cell r="N1766" t="str">
            <v>RESOLUCION</v>
          </cell>
          <cell r="O1766">
            <v>991</v>
          </cell>
          <cell r="P1766">
            <v>43144</v>
          </cell>
          <cell r="Q1766" t="str">
            <v>AYUDA TEMPORAL A LAS FAMILIAS DE VARIAS LOCALIDADES, PARA RELOCALIZACIÓN DE HOGARES LOCALIZADOS EN ZONAS DE ALTO RIESGO NO MITIGABLE ID:2012-T314-07, LOCALIDAD:04 SAN CRISTÓBAL, UPZ:50 LA GLORIA</v>
          </cell>
          <cell r="R1766">
            <v>2435382</v>
          </cell>
          <cell r="S1766">
            <v>405897</v>
          </cell>
          <cell r="T1766">
            <v>0</v>
          </cell>
          <cell r="U1766">
            <v>2029485</v>
          </cell>
          <cell r="V1766">
            <v>2029485</v>
          </cell>
        </row>
        <row r="1767">
          <cell r="J1767">
            <v>1307</v>
          </cell>
          <cell r="K1767">
            <v>43144</v>
          </cell>
          <cell r="L1767" t="str">
            <v>ANASTASIO  RIVERA RIVERA</v>
          </cell>
          <cell r="M1767">
            <v>31</v>
          </cell>
          <cell r="N1767" t="str">
            <v>RESOLUCION</v>
          </cell>
          <cell r="O1767">
            <v>1006</v>
          </cell>
          <cell r="P1767">
            <v>43144</v>
          </cell>
          <cell r="Q1767" t="str">
            <v>AYUDA TEMPORAL A LAS FAMILIAS DE VARIAS LOCALIDADES, PARA RELOCALIZACIÓN DE HOGARES LOCALIZADOS EN ZONAS DE ALTO RIESGO NO MITIGABLE ID:2015-W166-402, LOCALIDAD:19 CIUDAD BOLÍVAR, UPZ:67 LUCERO, SECTOR:UITOTO</v>
          </cell>
          <cell r="R1767">
            <v>7113432</v>
          </cell>
          <cell r="S1767">
            <v>0</v>
          </cell>
          <cell r="T1767">
            <v>0</v>
          </cell>
          <cell r="U1767">
            <v>7113432</v>
          </cell>
          <cell r="V1767">
            <v>3556716</v>
          </cell>
        </row>
        <row r="1768">
          <cell r="J1768">
            <v>1308</v>
          </cell>
          <cell r="K1768">
            <v>43144</v>
          </cell>
          <cell r="L1768" t="str">
            <v>JOSE SIGIFREDO CASTELLANOS MONTILLA</v>
          </cell>
          <cell r="M1768">
            <v>31</v>
          </cell>
          <cell r="N1768" t="str">
            <v>RESOLUCION</v>
          </cell>
          <cell r="O1768">
            <v>1005</v>
          </cell>
          <cell r="P1768">
            <v>43144</v>
          </cell>
          <cell r="Q1768" t="str">
            <v>AYUDA TEMPORAL A LAS FAMILIAS DE VARIAS LOCALIDADES, PARA RELOCALIZACIÓN DE HOGARES LOCALIZADOS EN ZONAS DE ALTO RIESGO NO MITIGABLE ID:2010-19-11685, LOCALIDAD:19 CIUDAD BOLÍVAR, UPZ:69 ISMAEL PERDOMO, SECTOR:OLA INVERNAL 2010 FOPAE</v>
          </cell>
          <cell r="R1768">
            <v>3098410</v>
          </cell>
          <cell r="S1768">
            <v>442630</v>
          </cell>
          <cell r="T1768">
            <v>0</v>
          </cell>
          <cell r="U1768">
            <v>2655780</v>
          </cell>
          <cell r="V1768">
            <v>2655780</v>
          </cell>
        </row>
        <row r="1769">
          <cell r="J1769">
            <v>1309</v>
          </cell>
          <cell r="K1769">
            <v>43144</v>
          </cell>
          <cell r="L1769" t="str">
            <v>REGINALDO  PIZARIO CHAMAPURO</v>
          </cell>
          <cell r="M1769">
            <v>31</v>
          </cell>
          <cell r="N1769" t="str">
            <v>RESOLUCION</v>
          </cell>
          <cell r="O1769">
            <v>1004</v>
          </cell>
          <cell r="P1769">
            <v>43144</v>
          </cell>
          <cell r="Q1769" t="str">
            <v>AYUDA TEMPORAL A LAS FAMILIAS DE VARIAS LOCALIDADES, PARA RELOCALIZACIÓN DE HOGARES LOCALIZADOS EN ZONAS DE ALTO RIESGO NO MITIGABLE ID:2014-W166-003, LOCALIDAD:19 CIUDAD BOLÍVAR, UPZ:68 EL TESORO, SECTOR:WOUNAAN</v>
          </cell>
          <cell r="R1769">
            <v>2360696</v>
          </cell>
          <cell r="S1769">
            <v>590174</v>
          </cell>
          <cell r="T1769">
            <v>0</v>
          </cell>
          <cell r="U1769">
            <v>1770522</v>
          </cell>
          <cell r="V1769">
            <v>1770522</v>
          </cell>
        </row>
        <row r="1770">
          <cell r="J1770">
            <v>1310</v>
          </cell>
          <cell r="K1770">
            <v>43144</v>
          </cell>
          <cell r="L1770" t="str">
            <v>BLANCA EDITH RINCON ROJAS</v>
          </cell>
          <cell r="M1770">
            <v>31</v>
          </cell>
          <cell r="N1770" t="str">
            <v>RESOLUCION</v>
          </cell>
          <cell r="O1770">
            <v>1003</v>
          </cell>
          <cell r="P1770">
            <v>43144</v>
          </cell>
          <cell r="Q1770" t="str">
            <v>AYUDA TEMPORAL A LAS FAMILIAS DE VARIAS LOCALIDADES, PARA RELOCALIZACIÓN DE HOGARES LOCALIZADOS EN ZONAS DE ALTO RIESGO NO MITIGABLE ID:2016-08-14787, LOCALIDAD:08 KENNEDY, UPZ:82 PATIO BONITO, SECTOR:PALMITAS</v>
          </cell>
          <cell r="R1770">
            <v>4057438</v>
          </cell>
          <cell r="S1770">
            <v>0</v>
          </cell>
          <cell r="T1770">
            <v>0</v>
          </cell>
          <cell r="U1770">
            <v>4057438</v>
          </cell>
          <cell r="V1770">
            <v>2213148</v>
          </cell>
        </row>
        <row r="1771">
          <cell r="J1771">
            <v>1311</v>
          </cell>
          <cell r="K1771">
            <v>43144</v>
          </cell>
          <cell r="L1771" t="str">
            <v>NOEL  TORRES BECERRA</v>
          </cell>
          <cell r="M1771">
            <v>31</v>
          </cell>
          <cell r="N1771" t="str">
            <v>RESOLUCION</v>
          </cell>
          <cell r="O1771">
            <v>987</v>
          </cell>
          <cell r="P1771">
            <v>43144</v>
          </cell>
          <cell r="Q1771" t="str">
            <v>AYUDA TEMPORAL A LAS FAMILIAS DE VARIAS LOCALIDADES, PARA RELOCALIZACIÓN DE HOGARES LOCALIZADOS EN ZONAS DE ALTO RIESGO NO MITIGABLE ID:2011-20-13433, LOCALIDAD:20 SUMAPAZ, UPZ:5 UPR RIO SUMAPAZ, SECTOR:</v>
          </cell>
          <cell r="R1771">
            <v>9302605</v>
          </cell>
          <cell r="S1771">
            <v>0</v>
          </cell>
          <cell r="T1771">
            <v>0</v>
          </cell>
          <cell r="U1771">
            <v>9302605</v>
          </cell>
          <cell r="V1771">
            <v>5009095</v>
          </cell>
        </row>
        <row r="1772">
          <cell r="J1772">
            <v>1312</v>
          </cell>
          <cell r="K1772">
            <v>43144</v>
          </cell>
          <cell r="L1772" t="str">
            <v>ROSA MARIA MONTENEGRO DE SAYAGO</v>
          </cell>
          <cell r="M1772">
            <v>31</v>
          </cell>
          <cell r="N1772" t="str">
            <v>RESOLUCION</v>
          </cell>
          <cell r="O1772">
            <v>986</v>
          </cell>
          <cell r="P1772">
            <v>43144</v>
          </cell>
          <cell r="Q1772" t="str">
            <v>AYUDA TEMPORAL A LAS FAMILIAS DE VARIAS LOCALIDADES, PARA RELOCALIZACIÓN DE HOGARES LOCALIZADOS EN ZONAS DE ALTO RIESGO NO MITIGABLE ID:2011-5-13264, LOCALIDAD:05 USME, UPZ:56 DANUBIO, SECTOR:</v>
          </cell>
          <cell r="R1772">
            <v>3216354</v>
          </cell>
          <cell r="S1772">
            <v>536059</v>
          </cell>
          <cell r="T1772">
            <v>0</v>
          </cell>
          <cell r="U1772">
            <v>2680295</v>
          </cell>
          <cell r="V1772">
            <v>2680295</v>
          </cell>
        </row>
        <row r="1773">
          <cell r="J1773">
            <v>1313</v>
          </cell>
          <cell r="K1773">
            <v>43144</v>
          </cell>
          <cell r="L1773" t="str">
            <v>ADOLFO  DAZA CAMARGO</v>
          </cell>
          <cell r="M1773">
            <v>31</v>
          </cell>
          <cell r="N1773" t="str">
            <v>RESOLUCION</v>
          </cell>
          <cell r="O1773">
            <v>985</v>
          </cell>
          <cell r="P1773">
            <v>43144</v>
          </cell>
          <cell r="Q1773" t="str">
            <v>AYUDA TEMPORAL A LAS FAMILIAS DE VARIAS LOCALIDADES, PARA RELOCALIZACIÓN DE HOGARES LOCALIZADOS EN ZONAS DE ALTO RIESGO NO MITIGABLE ID:2013-Q21-00671, LOCALIDAD:19 CIUDAD BOLÍVAR, UPZ:67 LUCERO, SECTOR:BRAZO DERECHO DE LIMAS</v>
          </cell>
          <cell r="R1773">
            <v>2582006</v>
          </cell>
          <cell r="S1773">
            <v>368858</v>
          </cell>
          <cell r="T1773">
            <v>0</v>
          </cell>
          <cell r="U1773">
            <v>2213148</v>
          </cell>
          <cell r="V1773">
            <v>2213148</v>
          </cell>
        </row>
        <row r="1774">
          <cell r="J1774">
            <v>1314</v>
          </cell>
          <cell r="K1774">
            <v>43144</v>
          </cell>
          <cell r="L1774" t="str">
            <v>TOMAS AUGUSTO QUIZA ALVAREZ</v>
          </cell>
          <cell r="M1774">
            <v>31</v>
          </cell>
          <cell r="N1774" t="str">
            <v>RESOLUCION</v>
          </cell>
          <cell r="O1774">
            <v>984</v>
          </cell>
          <cell r="P1774">
            <v>43144</v>
          </cell>
          <cell r="Q1774" t="str">
            <v>AYUDA TEMPORAL A LAS FAMILIAS DE VARIAS LOCALIDADES, PARA RELOCALIZACIÓN DE HOGARES LOCALIZADOS EN ZONAS DE ALTO RIESGO NO MITIGABLE ID:2006-4-8838, LOCALIDAD:04 SAN CRISTÓBAL, UPZ:50 LA GLORIA, SECTOR:</v>
          </cell>
          <cell r="R1774">
            <v>3275466</v>
          </cell>
          <cell r="S1774">
            <v>545911</v>
          </cell>
          <cell r="T1774">
            <v>0</v>
          </cell>
          <cell r="U1774">
            <v>2729555</v>
          </cell>
          <cell r="V1774">
            <v>2729555</v>
          </cell>
        </row>
        <row r="1775">
          <cell r="J1775">
            <v>1315</v>
          </cell>
          <cell r="K1775">
            <v>43144</v>
          </cell>
          <cell r="L1775" t="str">
            <v>JOSE VICENTE DUARTE GONZALEZ</v>
          </cell>
          <cell r="M1775">
            <v>31</v>
          </cell>
          <cell r="N1775" t="str">
            <v>RESOLUCION</v>
          </cell>
          <cell r="O1775">
            <v>1009</v>
          </cell>
          <cell r="P1775">
            <v>43144</v>
          </cell>
          <cell r="Q1775" t="str">
            <v>AYUDA TEMPORAL A LAS FAMILIAS DE VARIAS LOCALIDADES, PARA RELOCALIZACIÓN DE HOGARES LOCALIZADOS EN ZONAS DE ALTO RIESGO NO MITIGABLE ID:2010-19-12227, LOCALIDAD:19 CIUDAD BOLÍVAR, UPZ:67 LUCERO, SECTOR:LIMAS</v>
          </cell>
          <cell r="R1775">
            <v>2582006</v>
          </cell>
          <cell r="S1775">
            <v>368858</v>
          </cell>
          <cell r="T1775">
            <v>0</v>
          </cell>
          <cell r="U1775">
            <v>2213148</v>
          </cell>
          <cell r="V1775">
            <v>2213148</v>
          </cell>
        </row>
        <row r="1776">
          <cell r="J1776">
            <v>1316</v>
          </cell>
          <cell r="K1776">
            <v>43144</v>
          </cell>
          <cell r="L1776" t="str">
            <v>HERMINSO  ALTURO PERDOMO</v>
          </cell>
          <cell r="M1776">
            <v>31</v>
          </cell>
          <cell r="N1776" t="str">
            <v>RESOLUCION</v>
          </cell>
          <cell r="O1776">
            <v>1093</v>
          </cell>
          <cell r="P1776">
            <v>43144</v>
          </cell>
          <cell r="Q1776" t="str">
            <v>AYUDA TEMPORAL A LAS FAMILIAS DE VARIAS LOCALIDADES, PARA RELOCALIZACIÓN DE HOGARES LOCALIZADOS EN ZONAS DE ALTO RIESGO NO MITIGABLE ID:2015-OTR-01375, LOCALIDAD:11 SUBA, UPZ:71 TIBABUYES, SECTOR:GAVILANES</v>
          </cell>
          <cell r="R1776">
            <v>3209076</v>
          </cell>
          <cell r="S1776">
            <v>534846</v>
          </cell>
          <cell r="T1776">
            <v>0</v>
          </cell>
          <cell r="U1776">
            <v>2674230</v>
          </cell>
          <cell r="V1776">
            <v>2674230</v>
          </cell>
        </row>
        <row r="1777">
          <cell r="J1777">
            <v>1317</v>
          </cell>
          <cell r="K1777">
            <v>43144</v>
          </cell>
          <cell r="L1777" t="str">
            <v>GEIMAR ARLEY NIÑO SANCHEZ</v>
          </cell>
          <cell r="M1777">
            <v>31</v>
          </cell>
          <cell r="N1777" t="str">
            <v>RESOLUCION</v>
          </cell>
          <cell r="O1777">
            <v>1092</v>
          </cell>
          <cell r="P1777">
            <v>43144</v>
          </cell>
          <cell r="Q1777" t="str">
            <v>AYUDA TEMPORAL A LAS FAMILIAS DE VARIAS LOCALIDADES, PARA RELOCALIZACIÓN DE HOGARES LOCALIZADOS EN ZONAS DE ALTO RIESGO NO MITIGABLE ID:2014-Q03-01077, LOCALIDAD:19 CIUDAD BOLÍVAR, UPZ:66 SAN FRANCISCO, SECTOR:LIMAS</v>
          </cell>
          <cell r="R1777">
            <v>2784006</v>
          </cell>
          <cell r="S1777">
            <v>464001</v>
          </cell>
          <cell r="T1777">
            <v>0</v>
          </cell>
          <cell r="U1777">
            <v>2320005</v>
          </cell>
          <cell r="V1777">
            <v>2320005</v>
          </cell>
        </row>
        <row r="1778">
          <cell r="J1778">
            <v>1318</v>
          </cell>
          <cell r="K1778">
            <v>43144</v>
          </cell>
          <cell r="L1778" t="str">
            <v>TEOFILO  CABEZON CARDENAS</v>
          </cell>
          <cell r="M1778">
            <v>31</v>
          </cell>
          <cell r="N1778" t="str">
            <v>RESOLUCION</v>
          </cell>
          <cell r="O1778">
            <v>1091</v>
          </cell>
          <cell r="P1778">
            <v>43144</v>
          </cell>
          <cell r="Q1778" t="str">
            <v>AYUDA TEMPORAL A LAS FAMILIAS DE VARIAS LOCALIDADES, PARA RELOCALIZACIÓN DE HOGARES LOCALIZADOS EN ZONAS DE ALTO RIESGO NO MITIGABLE ID:2014-W166-023, LOCALIDAD:19 CIUDAD BOLÍVAR, UPZ:68 EL TESORO, SECTOR:WOUNAAN</v>
          </cell>
          <cell r="R1778">
            <v>7207200</v>
          </cell>
          <cell r="S1778">
            <v>0</v>
          </cell>
          <cell r="T1778">
            <v>0</v>
          </cell>
          <cell r="U1778">
            <v>7207200</v>
          </cell>
          <cell r="V1778">
            <v>3880800</v>
          </cell>
        </row>
        <row r="1779">
          <cell r="J1779">
            <v>1319</v>
          </cell>
          <cell r="K1779">
            <v>43144</v>
          </cell>
          <cell r="L1779" t="str">
            <v>GILBERTO  FORERO</v>
          </cell>
          <cell r="M1779">
            <v>31</v>
          </cell>
          <cell r="N1779" t="str">
            <v>RESOLUCION</v>
          </cell>
          <cell r="O1779">
            <v>983</v>
          </cell>
          <cell r="P1779">
            <v>43144</v>
          </cell>
          <cell r="Q1779" t="str">
            <v>AYUDA TEMPORAL A LAS FAMILIAS DE VARIAS LOCALIDADES, PARA RELOCALIZACIÓN DE HOGARES LOCALIZADOS EN ZONAS DE ALTO RIESGO NO MITIGABLE ID:2012-ALES-190, LOCALIDAD:19 CIUDAD BOLÍVAR, UPZ:69 ISMAEL PERDOMO, SECTOR:ALTOS DE LA ESTANCIA</v>
          </cell>
          <cell r="R1779">
            <v>2788569</v>
          </cell>
          <cell r="S1779">
            <v>398367</v>
          </cell>
          <cell r="T1779">
            <v>0</v>
          </cell>
          <cell r="U1779">
            <v>2390202</v>
          </cell>
          <cell r="V1779">
            <v>2390202</v>
          </cell>
        </row>
        <row r="1780">
          <cell r="J1780">
            <v>1320</v>
          </cell>
          <cell r="K1780">
            <v>43144</v>
          </cell>
          <cell r="L1780" t="str">
            <v>LEYDI YOHANA GARZON MARTINEZ</v>
          </cell>
          <cell r="M1780">
            <v>31</v>
          </cell>
          <cell r="N1780" t="str">
            <v>RESOLUCION</v>
          </cell>
          <cell r="O1780">
            <v>1015</v>
          </cell>
          <cell r="P1780">
            <v>43144</v>
          </cell>
          <cell r="Q1780" t="str">
            <v>AYUDA TEMPORAL A LAS FAMILIAS DE VARIAS LOCALIDADES, PARA RELOCALIZACIÓN DE HOGARES LOCALIZADOS EN ZONAS DE ALTO RIESGO NO MITIGABLE ID:2015-Q03-03625, LOCALIDAD:19 CIUDAD BOLÍVAR, UPZ:67 LUCERO, SECTOR:LIMAS</v>
          </cell>
          <cell r="R1780">
            <v>4604880</v>
          </cell>
          <cell r="S1780">
            <v>0</v>
          </cell>
          <cell r="T1780">
            <v>0</v>
          </cell>
          <cell r="U1780">
            <v>4604880</v>
          </cell>
          <cell r="V1780">
            <v>2762928</v>
          </cell>
        </row>
        <row r="1781">
          <cell r="J1781">
            <v>1321</v>
          </cell>
          <cell r="K1781">
            <v>43144</v>
          </cell>
          <cell r="L1781" t="str">
            <v>FABELICIA  BURGARA CHAUCARAMA</v>
          </cell>
          <cell r="M1781">
            <v>31</v>
          </cell>
          <cell r="N1781" t="str">
            <v>RESOLUCION</v>
          </cell>
          <cell r="O1781">
            <v>1002</v>
          </cell>
          <cell r="P1781">
            <v>43144</v>
          </cell>
          <cell r="Q1781" t="str">
            <v>AYUDA TEMPORAL A LAS FAMILIAS DE VARIAS LOCALIDADES, PARA RELOCALIZACIÓN DE HOGARES LOCALIZADOS EN ZONAS DE ALTO RIESGO NO MITIGABLE ID:2015-W166-438, LOCALIDAD:19 CIUDAD BOLÍVAR, UPZ:68 EL TESORO, SECTOR:WOUNAAN</v>
          </cell>
          <cell r="R1781">
            <v>6491914</v>
          </cell>
          <cell r="S1781">
            <v>0</v>
          </cell>
          <cell r="T1781">
            <v>0</v>
          </cell>
          <cell r="U1781">
            <v>6491914</v>
          </cell>
          <cell r="V1781">
            <v>2360696</v>
          </cell>
        </row>
        <row r="1782">
          <cell r="J1782">
            <v>1322</v>
          </cell>
          <cell r="K1782">
            <v>43144</v>
          </cell>
          <cell r="L1782" t="str">
            <v>OLGA  CHIRIMIA GINGUIMIA</v>
          </cell>
          <cell r="M1782">
            <v>31</v>
          </cell>
          <cell r="N1782" t="str">
            <v>RESOLUCION</v>
          </cell>
          <cell r="O1782">
            <v>1014</v>
          </cell>
          <cell r="P1782">
            <v>43144</v>
          </cell>
          <cell r="Q1782" t="str">
            <v>AYUDA TEMPORAL A LAS FAMILIAS DE VARIAS LOCALIDADES, PARA RELOCALIZACIÓN DE HOGARES LOCALIZADOS EN ZONAS DE ALTO RIESGO NO MITIGABLE ID:2015-W166-204, LOCALIDAD:04 SAN CRISTÓBAL, UPZ:33 SOSIEGO, SECTOR:EPERARA</v>
          </cell>
          <cell r="R1782">
            <v>5532880</v>
          </cell>
          <cell r="S1782">
            <v>0</v>
          </cell>
          <cell r="T1782">
            <v>0</v>
          </cell>
          <cell r="U1782">
            <v>5532880</v>
          </cell>
          <cell r="V1782">
            <v>2213152</v>
          </cell>
        </row>
        <row r="1783">
          <cell r="J1783">
            <v>1323</v>
          </cell>
          <cell r="K1783">
            <v>43144</v>
          </cell>
          <cell r="L1783" t="str">
            <v>JOSE RICARDO TANGARIFE GOMEZ</v>
          </cell>
          <cell r="M1783">
            <v>31</v>
          </cell>
          <cell r="N1783" t="str">
            <v>RESOLUCION</v>
          </cell>
          <cell r="O1783">
            <v>982</v>
          </cell>
          <cell r="P1783">
            <v>43144</v>
          </cell>
          <cell r="Q1783" t="str">
            <v>AYUDA TEMPORAL A LAS FAMILIAS DE VARIAS LOCALIDADES, PARA RELOCALIZACIÓN DE HOGARES LOCALIZADOS EN ZONAS DE ALTO RIESGO NO MITIGABLE ID:2015-D227-00054, LOCALIDAD:04 SAN CRISTÓBAL, UPZ:51 LOS LIBERTADORES, SECTOR:SANTA TERESITA</v>
          </cell>
          <cell r="R1783">
            <v>4687452</v>
          </cell>
          <cell r="S1783">
            <v>0</v>
          </cell>
          <cell r="T1783">
            <v>0</v>
          </cell>
          <cell r="U1783">
            <v>4687452</v>
          </cell>
          <cell r="V1783">
            <v>1953105</v>
          </cell>
        </row>
        <row r="1784">
          <cell r="J1784">
            <v>1324</v>
          </cell>
          <cell r="K1784">
            <v>43144</v>
          </cell>
          <cell r="L1784" t="str">
            <v>LAMINIA  ISMARE OPUA</v>
          </cell>
          <cell r="M1784">
            <v>31</v>
          </cell>
          <cell r="N1784" t="str">
            <v>RESOLUCION</v>
          </cell>
          <cell r="O1784">
            <v>1013</v>
          </cell>
          <cell r="P1784">
            <v>43144</v>
          </cell>
          <cell r="Q1784" t="str">
            <v>AYUDA TEMPORAL A LAS FAMILIAS DE VARIAS LOCALIDADES, PARA RELOCALIZACIÓN DE HOGARES LOCALIZADOS EN ZONAS DE ALTO RIESGO NO MITIGABLE ID:2014-W166-035, LOCALIDAD:19 CIUDAD BOLÍVAR, UPZ:67 LUCERO, SECTOR:WOUNAAN</v>
          </cell>
          <cell r="R1784">
            <v>5901740</v>
          </cell>
          <cell r="S1784">
            <v>0</v>
          </cell>
          <cell r="T1784">
            <v>0</v>
          </cell>
          <cell r="U1784">
            <v>5901740</v>
          </cell>
          <cell r="V1784">
            <v>2360696</v>
          </cell>
        </row>
        <row r="1785">
          <cell r="J1785">
            <v>1325</v>
          </cell>
          <cell r="K1785">
            <v>43144</v>
          </cell>
          <cell r="L1785" t="str">
            <v>CLARA LILIA AREVALO</v>
          </cell>
          <cell r="M1785">
            <v>31</v>
          </cell>
          <cell r="N1785" t="str">
            <v>RESOLUCION</v>
          </cell>
          <cell r="O1785">
            <v>1001</v>
          </cell>
          <cell r="P1785">
            <v>43144</v>
          </cell>
          <cell r="Q1785" t="str">
            <v>AYUDA TEMPORAL A LAS FAMILIAS DE VARIAS LOCALIDADES, PARA RELOCALIZACIÓN DE HOGARES LOCALIZADOS EN ZONAS DE ALTO RIESGO NO MITIGABLE ID:2011-5-13260, LOCALIDAD:05 USME, UPZ:56 DANUBIO</v>
          </cell>
          <cell r="R1785">
            <v>2531226</v>
          </cell>
          <cell r="S1785">
            <v>421871</v>
          </cell>
          <cell r="T1785">
            <v>0</v>
          </cell>
          <cell r="U1785">
            <v>2109355</v>
          </cell>
          <cell r="V1785">
            <v>2109355</v>
          </cell>
        </row>
        <row r="1786">
          <cell r="J1786">
            <v>1326</v>
          </cell>
          <cell r="K1786">
            <v>43144</v>
          </cell>
          <cell r="L1786" t="str">
            <v>MARIA  AYALA</v>
          </cell>
          <cell r="M1786">
            <v>31</v>
          </cell>
          <cell r="N1786" t="str">
            <v>RESOLUCION</v>
          </cell>
          <cell r="O1786">
            <v>981</v>
          </cell>
          <cell r="P1786">
            <v>43144</v>
          </cell>
          <cell r="Q1786" t="str">
            <v>AYUDA TEMPORAL A LAS FAMILIAS DE VARIAS LOCALIDADES, PARA RELOCALIZACIÓN DE HOGARES LOCALIZADOS EN ZONAS DE ALTO RIESGO NO MITIGABLE ID:2006-19-8520, LOCALIDAD:19 CIUDAD BOLÍVAR, UPZ:68 EL TESORO, SECTOR:QUEBRADA EL INFIERNO</v>
          </cell>
          <cell r="R1786">
            <v>3088757</v>
          </cell>
          <cell r="S1786">
            <v>441251</v>
          </cell>
          <cell r="T1786">
            <v>0</v>
          </cell>
          <cell r="U1786">
            <v>2647506</v>
          </cell>
          <cell r="V1786">
            <v>2647506</v>
          </cell>
        </row>
        <row r="1787">
          <cell r="J1787">
            <v>1327</v>
          </cell>
          <cell r="K1787">
            <v>43144</v>
          </cell>
          <cell r="L1787" t="str">
            <v>YEISA AYCHELL RIVERA OLAYA</v>
          </cell>
          <cell r="M1787">
            <v>31</v>
          </cell>
          <cell r="N1787" t="str">
            <v>RESOLUCION</v>
          </cell>
          <cell r="O1787">
            <v>1012</v>
          </cell>
          <cell r="P1787">
            <v>43144</v>
          </cell>
          <cell r="Q1787" t="str">
            <v>AYUDA TEMPORAL A LAS FAMILIAS DE VARIAS LOCALIDADES, PARA RELOCALIZACIÓN DE HOGARES LOCALIZADOS EN ZONAS DE ALTO RIESGO NO MITIGABLE ID:2015-W166-403, LOCALIDAD:19 CIUDAD BOLÍVAR, UPZ:67 LUCERO, SECTOR:UITOTO</v>
          </cell>
          <cell r="R1787">
            <v>5489556</v>
          </cell>
          <cell r="S1787">
            <v>0</v>
          </cell>
          <cell r="T1787">
            <v>0</v>
          </cell>
          <cell r="U1787">
            <v>5489556</v>
          </cell>
          <cell r="V1787">
            <v>3202241</v>
          </cell>
        </row>
        <row r="1788">
          <cell r="J1788">
            <v>1328</v>
          </cell>
          <cell r="K1788">
            <v>43144</v>
          </cell>
          <cell r="L1788" t="str">
            <v>FLOR MARIA JAIME</v>
          </cell>
          <cell r="M1788">
            <v>31</v>
          </cell>
          <cell r="N1788" t="str">
            <v>RESOLUCION</v>
          </cell>
          <cell r="O1788">
            <v>1011</v>
          </cell>
          <cell r="P1788">
            <v>43144</v>
          </cell>
          <cell r="Q1788" t="str">
            <v>AYUDA TEMPORAL A LAS FAMILIAS DE VARIAS LOCALIDADES, PARA RELOCALIZACIÓN DE HOGARES LOCALIZADOS EN ZONAS DE ALTO RIESGO NO MITIGABLE ID:2013-Q09-00146, LOCALIDAD:19 CIUDAD BOLÍVAR, UPZ:67 LUCERO, SECTOR:QUEBRADA TROMPETA</v>
          </cell>
          <cell r="R1788">
            <v>2213148</v>
          </cell>
          <cell r="S1788">
            <v>368858</v>
          </cell>
          <cell r="T1788">
            <v>0</v>
          </cell>
          <cell r="U1788">
            <v>1844290</v>
          </cell>
          <cell r="V1788">
            <v>1844290</v>
          </cell>
        </row>
        <row r="1789">
          <cell r="J1789">
            <v>1329</v>
          </cell>
          <cell r="K1789">
            <v>43144</v>
          </cell>
          <cell r="L1789" t="str">
            <v>YENIFER  AGUDELO GONZALEZ</v>
          </cell>
          <cell r="M1789">
            <v>31</v>
          </cell>
          <cell r="N1789" t="str">
            <v>RESOLUCION</v>
          </cell>
          <cell r="O1789">
            <v>1000</v>
          </cell>
          <cell r="P1789">
            <v>43144</v>
          </cell>
          <cell r="Q1789" t="str">
            <v>AYUDA TEMPORAL A LAS FAMILIAS DE VARIAS LOCALIDADES, PARA RELOCALIZACIÓN DE HOGARES LOCALIZADOS EN ZONAS DE ALTO RIESGO NO MITIGABLE ID:2011-19-13423, LOCALIDAD:19 CIUDAD BOLÍVAR, UPZ:69 ISMAEL PERDOMO.</v>
          </cell>
          <cell r="R1789">
            <v>5812440</v>
          </cell>
          <cell r="S1789">
            <v>0</v>
          </cell>
          <cell r="T1789">
            <v>0</v>
          </cell>
          <cell r="U1789">
            <v>5812440</v>
          </cell>
          <cell r="V1789">
            <v>2906220</v>
          </cell>
        </row>
        <row r="1790">
          <cell r="J1790">
            <v>1330</v>
          </cell>
          <cell r="K1790">
            <v>43144</v>
          </cell>
          <cell r="L1790" t="str">
            <v>MERY LILIA FURQUE VEGA</v>
          </cell>
          <cell r="M1790">
            <v>31</v>
          </cell>
          <cell r="N1790" t="str">
            <v>RESOLUCION</v>
          </cell>
          <cell r="O1790">
            <v>1010</v>
          </cell>
          <cell r="P1790">
            <v>43144</v>
          </cell>
          <cell r="Q1790" t="str">
            <v>AYUDA TEMPORAL A LAS FAMILIAS DE VARIAS LOCALIDADES, PARA RELOCALIZACIÓN DE HOGARES LOCALIZADOS EN ZONAS DE ALTO RIESGO NO MITIGABLE ID:2007-4-9376, LOCALIDAD:04 SAN CRISTÓBAL, UPZ:32 SAN BLAS</v>
          </cell>
          <cell r="R1790">
            <v>3098410</v>
          </cell>
          <cell r="S1790">
            <v>442630</v>
          </cell>
          <cell r="T1790">
            <v>0</v>
          </cell>
          <cell r="U1790">
            <v>2655780</v>
          </cell>
          <cell r="V1790">
            <v>2655780</v>
          </cell>
        </row>
        <row r="1791">
          <cell r="J1791">
            <v>1331</v>
          </cell>
          <cell r="K1791">
            <v>43144</v>
          </cell>
          <cell r="L1791" t="str">
            <v>OMAIRA  SALCEDO ANGARITA</v>
          </cell>
          <cell r="M1791">
            <v>31</v>
          </cell>
          <cell r="N1791" t="str">
            <v>RESOLUCION</v>
          </cell>
          <cell r="O1791">
            <v>1098</v>
          </cell>
          <cell r="P1791">
            <v>43144</v>
          </cell>
          <cell r="Q1791" t="str">
            <v>Asignacion del instrumento financiero a las familias ocupantes del predio que hayan superado la fase de verificacion dentro  del marco del Decreto 457 de 2017. LOCALIDAD: KENNEDY; BARRIO: VEREDITAS; ID: 2017-8-383767</v>
          </cell>
          <cell r="R1791">
            <v>54686940</v>
          </cell>
          <cell r="S1791">
            <v>0</v>
          </cell>
          <cell r="T1791">
            <v>0</v>
          </cell>
          <cell r="U1791">
            <v>54686940</v>
          </cell>
          <cell r="V1791">
            <v>0</v>
          </cell>
        </row>
        <row r="1792">
          <cell r="J1792">
            <v>1332</v>
          </cell>
          <cell r="K1792">
            <v>43144</v>
          </cell>
          <cell r="L1792" t="str">
            <v>REYES ALFONSO LEYTON</v>
          </cell>
          <cell r="M1792">
            <v>31</v>
          </cell>
          <cell r="N1792" t="str">
            <v>RESOLUCION</v>
          </cell>
          <cell r="O1792">
            <v>1102</v>
          </cell>
          <cell r="P1792">
            <v>43144</v>
          </cell>
          <cell r="Q1792" t="str">
            <v>Asignacion del instrumento financiero a las familias ocupantes del predio que hayan superado la fase de verificacion dentro  del marco del Decreto 457 de 2017. LOCALIDAD: KENNEDY; BARRIO: VEREDITAS; ID: 2017-8-383690</v>
          </cell>
          <cell r="R1792">
            <v>54686940</v>
          </cell>
          <cell r="S1792">
            <v>0</v>
          </cell>
          <cell r="T1792">
            <v>0</v>
          </cell>
          <cell r="U1792">
            <v>54686940</v>
          </cell>
          <cell r="V1792">
            <v>54686940</v>
          </cell>
        </row>
        <row r="1793">
          <cell r="J1793">
            <v>1333</v>
          </cell>
          <cell r="K1793">
            <v>43144</v>
          </cell>
          <cell r="L1793" t="str">
            <v>JUAN DAVID LOPEZ PENAGOS</v>
          </cell>
          <cell r="M1793">
            <v>31</v>
          </cell>
          <cell r="N1793" t="str">
            <v>RESOLUCION</v>
          </cell>
          <cell r="O1793">
            <v>762</v>
          </cell>
          <cell r="P1793">
            <v>43144</v>
          </cell>
          <cell r="Q1793" t="str">
            <v>Asignacion del instrumento financiero a las familias ocupantes del predio que hayan superado la fase de verificacion dentro  del marco del Decreto 457 de 2017. LOCALIDAD: KENNEDY; BARRIO: VEREDITAS; ID: 2017-8-383887</v>
          </cell>
          <cell r="R1793">
            <v>54686940</v>
          </cell>
          <cell r="S1793">
            <v>0</v>
          </cell>
          <cell r="T1793">
            <v>0</v>
          </cell>
          <cell r="U1793">
            <v>54686940</v>
          </cell>
          <cell r="V1793">
            <v>54686940</v>
          </cell>
        </row>
        <row r="1794">
          <cell r="J1794">
            <v>1334</v>
          </cell>
          <cell r="K1794">
            <v>43144</v>
          </cell>
          <cell r="L1794" t="str">
            <v>ANYI VANESSA ARIZA CAMACHO</v>
          </cell>
          <cell r="M1794">
            <v>31</v>
          </cell>
          <cell r="N1794" t="str">
            <v>RESOLUCION</v>
          </cell>
          <cell r="O1794">
            <v>1101</v>
          </cell>
          <cell r="P1794">
            <v>43144</v>
          </cell>
          <cell r="Q1794" t="str">
            <v>Asignacion del instrumento financiero a las familias ocupantes del predio que hayan superado la fase de verificacion dentro  del marco del Decreto 457 de 2017. LOCALIDAD: KENNEDY; BARRIO: VEREDITAS; ID: 2017-8-383612</v>
          </cell>
          <cell r="R1794">
            <v>54686940</v>
          </cell>
          <cell r="S1794">
            <v>54686940</v>
          </cell>
          <cell r="T1794">
            <v>0</v>
          </cell>
          <cell r="U1794">
            <v>0</v>
          </cell>
          <cell r="V1794">
            <v>0</v>
          </cell>
        </row>
        <row r="1795">
          <cell r="J1795">
            <v>1335</v>
          </cell>
          <cell r="K1795">
            <v>43144</v>
          </cell>
          <cell r="L1795" t="str">
            <v>LEIDY YOHANNA AGUILAR VELASQUEZ</v>
          </cell>
          <cell r="M1795">
            <v>31</v>
          </cell>
          <cell r="N1795" t="str">
            <v>RESOLUCION</v>
          </cell>
          <cell r="O1795">
            <v>1100</v>
          </cell>
          <cell r="P1795">
            <v>43144</v>
          </cell>
          <cell r="Q1795" t="str">
            <v>Asignacion del instrumento financiero a las familias ocupantes del predio que hayan superado la fase de verificacion dentro  del marco del Decreto 457 de 2017. LOCALIDAD: KENNEDY; BARRIO: VEREDITAS; ID: 2017-8-383789</v>
          </cell>
          <cell r="R1795">
            <v>54686940</v>
          </cell>
          <cell r="S1795">
            <v>54686940</v>
          </cell>
          <cell r="T1795">
            <v>0</v>
          </cell>
          <cell r="U1795">
            <v>0</v>
          </cell>
          <cell r="V1795">
            <v>0</v>
          </cell>
        </row>
        <row r="1796">
          <cell r="J1796">
            <v>1336</v>
          </cell>
          <cell r="K1796">
            <v>43144</v>
          </cell>
          <cell r="L1796" t="str">
            <v>ALFREDO  CASTELLANOS</v>
          </cell>
          <cell r="M1796">
            <v>31</v>
          </cell>
          <cell r="N1796" t="str">
            <v>RESOLUCION</v>
          </cell>
          <cell r="O1796">
            <v>1099</v>
          </cell>
          <cell r="P1796">
            <v>43144</v>
          </cell>
          <cell r="Q1796" t="str">
            <v>Asignacion del instrumento financiero a las familias ocupantes del predio que hayan superado la fase de verificacion dentro  del marco del Decreto 457 de 2017. LOCALIDAD: KENNEDY; BARRIO: VEREDITAS; ID: 2017-8-383894</v>
          </cell>
          <cell r="R1796">
            <v>54686940</v>
          </cell>
          <cell r="S1796">
            <v>0</v>
          </cell>
          <cell r="T1796">
            <v>0</v>
          </cell>
          <cell r="U1796">
            <v>54686940</v>
          </cell>
          <cell r="V1796">
            <v>54686940</v>
          </cell>
        </row>
        <row r="1797">
          <cell r="J1797">
            <v>1337</v>
          </cell>
          <cell r="K1797">
            <v>43144</v>
          </cell>
          <cell r="L1797" t="str">
            <v>ANYI VANESSA ARIZA CAMACHO</v>
          </cell>
          <cell r="M1797">
            <v>31</v>
          </cell>
          <cell r="N1797" t="str">
            <v>RESOLUCION</v>
          </cell>
          <cell r="O1797">
            <v>1101</v>
          </cell>
          <cell r="P1797">
            <v>43144</v>
          </cell>
          <cell r="Q1797" t="str">
            <v>Asignacion del instrumento financiero a las familias ocupantes del predio que hayan superado la fase de verificacion dentro  del marco del Decreto 457 de 2017. LOCALIDAD: KENNEDY; BARRIO: VEREDITAS; ID: 2017-8-383612</v>
          </cell>
          <cell r="R1797">
            <v>54686940</v>
          </cell>
          <cell r="S1797">
            <v>0</v>
          </cell>
          <cell r="T1797">
            <v>0</v>
          </cell>
          <cell r="U1797">
            <v>54686940</v>
          </cell>
          <cell r="V1797">
            <v>54686940</v>
          </cell>
        </row>
        <row r="1798">
          <cell r="J1798">
            <v>1338</v>
          </cell>
          <cell r="K1798">
            <v>43144</v>
          </cell>
          <cell r="L1798" t="str">
            <v>MARIA GLADYS OSORIO CASTRO</v>
          </cell>
          <cell r="M1798">
            <v>31</v>
          </cell>
          <cell r="N1798" t="str">
            <v>RESOLUCION</v>
          </cell>
          <cell r="O1798">
            <v>1126</v>
          </cell>
          <cell r="P1798">
            <v>43144</v>
          </cell>
          <cell r="Q1798" t="str">
            <v>Asignacion del instrumento financiero a las familias ocupantes del predio que hayan superado la fase de verificacion dentro  del marco del Decreto 457 de 2017. LOCALIDAD: KENNEDY; BARRIO: VEREDITAS; ID: 2018-8-383900</v>
          </cell>
          <cell r="R1798">
            <v>54686940</v>
          </cell>
          <cell r="S1798">
            <v>0</v>
          </cell>
          <cell r="T1798">
            <v>0</v>
          </cell>
          <cell r="U1798">
            <v>54686940</v>
          </cell>
          <cell r="V1798">
            <v>54686940</v>
          </cell>
        </row>
        <row r="1799">
          <cell r="J1799">
            <v>1339</v>
          </cell>
          <cell r="K1799">
            <v>43144</v>
          </cell>
          <cell r="L1799" t="str">
            <v>CELIA MARIA AGUIRRE MUÑOZ</v>
          </cell>
          <cell r="M1799">
            <v>31</v>
          </cell>
          <cell r="N1799" t="str">
            <v>RESOLUCION</v>
          </cell>
          <cell r="O1799">
            <v>1105</v>
          </cell>
          <cell r="P1799">
            <v>43144</v>
          </cell>
          <cell r="Q1799" t="str">
            <v>Asignacion del instrumento financiero a las familias ocupantes del predio que hayan superado la fase de verificacion dentro  del marco del Decreto 457 de 2017. LOCALIDAD: KENNEDY; BARRIO: VEREDITAS; ID: 2018-8-383910</v>
          </cell>
          <cell r="R1799">
            <v>54686940</v>
          </cell>
          <cell r="S1799">
            <v>0</v>
          </cell>
          <cell r="T1799">
            <v>0</v>
          </cell>
          <cell r="U1799">
            <v>54686940</v>
          </cell>
          <cell r="V1799">
            <v>54686940</v>
          </cell>
        </row>
        <row r="1800">
          <cell r="J1800">
            <v>1340</v>
          </cell>
          <cell r="K1800">
            <v>43144</v>
          </cell>
          <cell r="L1800" t="str">
            <v>AURORA YANETH VELASQUEZ</v>
          </cell>
          <cell r="M1800">
            <v>31</v>
          </cell>
          <cell r="N1800" t="str">
            <v>RESOLUCION</v>
          </cell>
          <cell r="O1800">
            <v>1097</v>
          </cell>
          <cell r="P1800">
            <v>43144</v>
          </cell>
          <cell r="Q1800" t="str">
            <v>Asignacion del instrumento financiero a las familias ocupantes del predio que hayan superado la fase de verificacion dentro  del marco del Decreto 457 de 2017. LOCALIDAD: KENNEDY; BARRIO: VEREDITAS; ID: 2017-8-383789</v>
          </cell>
          <cell r="R1800">
            <v>54686940</v>
          </cell>
          <cell r="S1800">
            <v>0</v>
          </cell>
          <cell r="T1800">
            <v>0</v>
          </cell>
          <cell r="U1800">
            <v>54686940</v>
          </cell>
          <cell r="V1800">
            <v>54686940</v>
          </cell>
        </row>
        <row r="1801">
          <cell r="J1801">
            <v>1341</v>
          </cell>
          <cell r="K1801">
            <v>43144</v>
          </cell>
          <cell r="L1801" t="str">
            <v>MARTHA JANETH ARIZA CAMACHO</v>
          </cell>
          <cell r="M1801">
            <v>31</v>
          </cell>
          <cell r="N1801" t="str">
            <v>RESOLUCION</v>
          </cell>
          <cell r="O1801">
            <v>1104</v>
          </cell>
          <cell r="P1801">
            <v>43144</v>
          </cell>
          <cell r="Q1801" t="str">
            <v>Asignacion del instrumento financiero a las familias ocupantes del predio que hayan superado la fase de verificacion dentro  del marco del Decreto 457 de 2017. LOCALIDAD: KENNEDY; BARRIO: VEREDITAS; ID: 2018-8-383917</v>
          </cell>
          <cell r="R1801">
            <v>54686940</v>
          </cell>
          <cell r="S1801">
            <v>0</v>
          </cell>
          <cell r="T1801">
            <v>0</v>
          </cell>
          <cell r="U1801">
            <v>54686940</v>
          </cell>
          <cell r="V1801">
            <v>54686940</v>
          </cell>
        </row>
        <row r="1802">
          <cell r="J1802">
            <v>1342</v>
          </cell>
          <cell r="K1802">
            <v>43144</v>
          </cell>
          <cell r="L1802" t="str">
            <v>JOSE MANUEL TORRES NAIZAQUE</v>
          </cell>
          <cell r="M1802">
            <v>31</v>
          </cell>
          <cell r="N1802" t="str">
            <v>RESOLUCION</v>
          </cell>
          <cell r="O1802">
            <v>1096</v>
          </cell>
          <cell r="P1802">
            <v>43144</v>
          </cell>
          <cell r="Q1802" t="str">
            <v>Asignacion del instrumento financiero a las familias ocupantes del predio que hayan superado la fase de verificacion dentro  del marco del Decreto 457 de 2017. LOCALIDAD: KENNEDY; BARRIO: VEREDITAS; ID: 2018-8-383913</v>
          </cell>
          <cell r="R1802">
            <v>54686940</v>
          </cell>
          <cell r="S1802">
            <v>0</v>
          </cell>
          <cell r="T1802">
            <v>0</v>
          </cell>
          <cell r="U1802">
            <v>54686940</v>
          </cell>
          <cell r="V1802">
            <v>54686940</v>
          </cell>
        </row>
        <row r="1803">
          <cell r="J1803">
            <v>1343</v>
          </cell>
          <cell r="K1803">
            <v>43144</v>
          </cell>
          <cell r="L1803" t="str">
            <v>LEIDY YOHANNA AGUILAR VELASQUEZ</v>
          </cell>
          <cell r="M1803">
            <v>31</v>
          </cell>
          <cell r="N1803" t="str">
            <v>RESOLUCION</v>
          </cell>
          <cell r="O1803">
            <v>1100</v>
          </cell>
          <cell r="P1803">
            <v>43144</v>
          </cell>
          <cell r="Q1803" t="str">
            <v>Asignacion del instrumento financiero a las familias ocupantes del predio que hayan superado la fase de verificacion dentro  del marco del Decreto 457 de 2017. LOCALIDAD: KENNEDY; BARRIO: VEREDITAS; ID: 2018-8-383915</v>
          </cell>
          <cell r="R1803">
            <v>54686940</v>
          </cell>
          <cell r="S1803">
            <v>0</v>
          </cell>
          <cell r="T1803">
            <v>0</v>
          </cell>
          <cell r="U1803">
            <v>54686940</v>
          </cell>
          <cell r="V1803">
            <v>54686940</v>
          </cell>
        </row>
        <row r="1804">
          <cell r="J1804">
            <v>1344</v>
          </cell>
          <cell r="K1804">
            <v>43144</v>
          </cell>
          <cell r="L1804" t="str">
            <v>LUZ ADRIANA GARCIA DIAZ</v>
          </cell>
          <cell r="M1804">
            <v>31</v>
          </cell>
          <cell r="N1804" t="str">
            <v>RESOLUCION</v>
          </cell>
          <cell r="O1804">
            <v>1095</v>
          </cell>
          <cell r="P1804">
            <v>43144</v>
          </cell>
          <cell r="Q1804" t="str">
            <v>Asignacion del instrumento financiero a las familias ocupantes del predio que hayan superado la fase de verificacion dentro  del marco del Decreto 457 de 2017. LOCALIDAD: KENNEDY; BARRIO: VEREDITAS; ID: 2018-8-383904.</v>
          </cell>
          <cell r="R1804">
            <v>54686940</v>
          </cell>
          <cell r="S1804">
            <v>0</v>
          </cell>
          <cell r="T1804">
            <v>0</v>
          </cell>
          <cell r="U1804">
            <v>54686940</v>
          </cell>
          <cell r="V1804">
            <v>54686940</v>
          </cell>
        </row>
        <row r="1805">
          <cell r="J1805">
            <v>1345</v>
          </cell>
          <cell r="K1805">
            <v>43144</v>
          </cell>
          <cell r="L1805" t="str">
            <v>DEIVY JAIR NAVARRO SARMIENTO</v>
          </cell>
          <cell r="M1805">
            <v>31</v>
          </cell>
          <cell r="N1805" t="str">
            <v>RESOLUCION</v>
          </cell>
          <cell r="O1805">
            <v>1103</v>
          </cell>
          <cell r="P1805">
            <v>43144</v>
          </cell>
          <cell r="Q1805" t="str">
            <v>Asignacion del instrumento financiero a las familias ocupantes del predio que hayan superado la fase de verificacion dentro  del marco del Decreto 457 de 2017. LOCALIDAD: KENNEDY; BARRIO: VEREDITAS; ID: 2017-8-383722.</v>
          </cell>
          <cell r="R1805">
            <v>54686940</v>
          </cell>
          <cell r="S1805">
            <v>0</v>
          </cell>
          <cell r="T1805">
            <v>0</v>
          </cell>
          <cell r="U1805">
            <v>54686940</v>
          </cell>
          <cell r="V1805">
            <v>54686940</v>
          </cell>
        </row>
        <row r="1806">
          <cell r="J1806">
            <v>1346</v>
          </cell>
          <cell r="K1806">
            <v>43145</v>
          </cell>
          <cell r="L1806" t="str">
            <v>CARMEN ROSA POVEDA VDA DE CAMACHO</v>
          </cell>
          <cell r="M1806">
            <v>31</v>
          </cell>
          <cell r="N1806" t="str">
            <v>RESOLUCION</v>
          </cell>
          <cell r="O1806">
            <v>732</v>
          </cell>
          <cell r="P1806">
            <v>43145</v>
          </cell>
          <cell r="Q1806" t="str">
            <v>AYUDA TEMPORAL A LAS FAMILIAS DE VARIAS LOCALIDADES, PARA RELOCALIZACIÓN DE HOGARES LOCALIZADOS EN ZONAS DE ALTO RIESGO NO MITIGABLE ID:2014-Q07-00795, LOCALIDAD:19 CIUDAD BOLÍVAR, UPZ:68 EL TESORO, SECTOR:QUEBRADA GALINDO</v>
          </cell>
          <cell r="R1806">
            <v>3330061</v>
          </cell>
          <cell r="S1806">
            <v>475723</v>
          </cell>
          <cell r="T1806">
            <v>0</v>
          </cell>
          <cell r="U1806">
            <v>2854338</v>
          </cell>
          <cell r="V1806">
            <v>2854338</v>
          </cell>
        </row>
        <row r="1807">
          <cell r="J1807">
            <v>1347</v>
          </cell>
          <cell r="K1807">
            <v>43145</v>
          </cell>
          <cell r="L1807" t="str">
            <v>ISABEL  GOMEZ JIMENEZ</v>
          </cell>
          <cell r="M1807">
            <v>31</v>
          </cell>
          <cell r="N1807" t="str">
            <v>RESOLUCION</v>
          </cell>
          <cell r="O1807">
            <v>1177</v>
          </cell>
          <cell r="P1807">
            <v>43145</v>
          </cell>
          <cell r="Q1807" t="str">
            <v>AYUDA TEMPORAL A LAS FAMILIAS DE VARIAS LOCALIDADES, PARA RELOCALIZACIÓN DE HOGARES LOCALIZADOS EN ZONAS DE ALTO RIESGO NO MITIGABLE ID:2012-ALES-227, LOCALIDAD:19 CIUDAD BOLÍVAR, UPZ:69 ISMAEL PERDOMO, SECTOR:ALTOS DE LA ESTANCIA</v>
          </cell>
          <cell r="R1807">
            <v>3382995</v>
          </cell>
          <cell r="S1807">
            <v>483285</v>
          </cell>
          <cell r="T1807">
            <v>0</v>
          </cell>
          <cell r="U1807">
            <v>2899710</v>
          </cell>
          <cell r="V1807">
            <v>2899710</v>
          </cell>
        </row>
        <row r="1808">
          <cell r="J1808">
            <v>1348</v>
          </cell>
          <cell r="K1808">
            <v>43145</v>
          </cell>
          <cell r="L1808" t="str">
            <v>OSCAR JAVIER VELANDIA SIERRA</v>
          </cell>
          <cell r="M1808">
            <v>31</v>
          </cell>
          <cell r="N1808" t="str">
            <v>RESOLUCION</v>
          </cell>
          <cell r="O1808">
            <v>1178</v>
          </cell>
          <cell r="P1808">
            <v>43145</v>
          </cell>
          <cell r="Q1808" t="str">
            <v>AYUDA TEMPORAL A LAS FAMILIAS DE VARIAS LOCALIDADES, PARA RELOCALIZACIÓN DE HOGARES LOCALIZADOS EN ZONAS DE ALTO RIESGO NO MITIGABLE ID:2013-Q10-00548, LOCALIDAD:04 SAN CRISTÓBAL, UPZ:51 LOS LIBERTADORES, SECTOR:QUEBRADA VEREJONES</v>
          </cell>
          <cell r="R1808">
            <v>3201695</v>
          </cell>
          <cell r="S1808">
            <v>457385</v>
          </cell>
          <cell r="T1808">
            <v>0</v>
          </cell>
          <cell r="U1808">
            <v>2744310</v>
          </cell>
          <cell r="V1808">
            <v>2744310</v>
          </cell>
        </row>
        <row r="1809">
          <cell r="J1809">
            <v>1349</v>
          </cell>
          <cell r="K1809">
            <v>43145</v>
          </cell>
          <cell r="L1809" t="str">
            <v>NELSON  GALEANO CORZO</v>
          </cell>
          <cell r="M1809">
            <v>31</v>
          </cell>
          <cell r="N1809" t="str">
            <v>RESOLUCION</v>
          </cell>
          <cell r="O1809">
            <v>1179</v>
          </cell>
          <cell r="P1809">
            <v>43145</v>
          </cell>
          <cell r="Q1809" t="str">
            <v>AYUDA TEMPORAL A LAS FAMILIAS DE VARIAS LOCALIDADES, PARA RELOCALIZACIÓN DE HOGARES LOCALIZADOS EN ZONAS DE ALTO RIESGO NO MITIGABLE ID:2013-Q05-00054, LOCALIDAD:19 CIUDAD BOLÍVAR, UPZ:68 EL TESORO, SECTOR:QUEBRADA GALINDO</v>
          </cell>
          <cell r="R1809">
            <v>2596764</v>
          </cell>
          <cell r="S1809">
            <v>649191</v>
          </cell>
          <cell r="T1809">
            <v>0</v>
          </cell>
          <cell r="U1809">
            <v>1947573</v>
          </cell>
          <cell r="V1809">
            <v>1947573</v>
          </cell>
        </row>
        <row r="1810">
          <cell r="J1810">
            <v>1350</v>
          </cell>
          <cell r="K1810">
            <v>43145</v>
          </cell>
          <cell r="L1810" t="str">
            <v>ARCESIO  CANIZALEZ SOTO</v>
          </cell>
          <cell r="M1810">
            <v>31</v>
          </cell>
          <cell r="N1810" t="str">
            <v>RESOLUCION</v>
          </cell>
          <cell r="O1810">
            <v>1183</v>
          </cell>
          <cell r="P1810">
            <v>43145</v>
          </cell>
          <cell r="Q1810" t="str">
            <v>AYUDA TEMPORAL A LAS FAMILIAS DE VARIAS LOCALIDADES, PARA RELOCALIZACIÓN DE HOGARES LOCALIZADOS EN ZONAS DE ALTO RIESGO NO MITIGABLE ID:2016-08-14914, LOCALIDAD:08 KENNEDY, UPZ:82 PATIO BONITO, SECTOR:PALMITAS</v>
          </cell>
          <cell r="R1810">
            <v>4986969</v>
          </cell>
          <cell r="S1810">
            <v>0</v>
          </cell>
          <cell r="T1810">
            <v>0</v>
          </cell>
          <cell r="U1810">
            <v>4986969</v>
          </cell>
          <cell r="V1810">
            <v>2685291</v>
          </cell>
        </row>
        <row r="1811">
          <cell r="J1811">
            <v>1351</v>
          </cell>
          <cell r="K1811">
            <v>43145</v>
          </cell>
          <cell r="L1811" t="str">
            <v>JOSE ANTONIO GRIMALDO BONILLA</v>
          </cell>
          <cell r="M1811">
            <v>31</v>
          </cell>
          <cell r="N1811" t="str">
            <v>RESOLUCION</v>
          </cell>
          <cell r="O1811">
            <v>1174</v>
          </cell>
          <cell r="P1811">
            <v>43145</v>
          </cell>
          <cell r="Q1811" t="str">
            <v>AYUDA TEMPORAL A LAS FAMILIAS DE VARIAS LOCALIDADES, PARA RELOCALIZACIÓN DE HOGARES LOCALIZADOS EN ZONAS DE ALTO RIESGO NO MITIGABLE ID:2016-08-14892, LOCALIDAD:08 KENNEDY, UPZ:82 PATIO BONITO, SECTOR:PALMITAS</v>
          </cell>
          <cell r="R1811">
            <v>6722183</v>
          </cell>
          <cell r="S1811">
            <v>0</v>
          </cell>
          <cell r="T1811">
            <v>0</v>
          </cell>
          <cell r="U1811">
            <v>6722183</v>
          </cell>
          <cell r="V1811">
            <v>3619637</v>
          </cell>
        </row>
        <row r="1812">
          <cell r="J1812">
            <v>1352</v>
          </cell>
          <cell r="K1812">
            <v>43145</v>
          </cell>
          <cell r="L1812" t="str">
            <v>JOSE MIYER CHIRIPUA GARCIA</v>
          </cell>
          <cell r="M1812">
            <v>31</v>
          </cell>
          <cell r="N1812" t="str">
            <v>RESOLUCION</v>
          </cell>
          <cell r="O1812">
            <v>1175</v>
          </cell>
          <cell r="P1812">
            <v>43145</v>
          </cell>
          <cell r="Q1812" t="str">
            <v>AYUDA TEMPORAL A LAS FAMILIAS DE VARIAS LOCALIDADES, PARA RELOCALIZACIÓN DE HOGARES LOCALIZADOS EN ZONAS DE ALTO RIESGO NO MITIGABLE ID:2014-W166-025, LOCALIDAD:19 CIUDAD BOLÍVAR, UPZ:67 LUCERO, SECTOR:WOUNAAN</v>
          </cell>
          <cell r="R1812">
            <v>4795154</v>
          </cell>
          <cell r="S1812">
            <v>0</v>
          </cell>
          <cell r="T1812">
            <v>0</v>
          </cell>
          <cell r="U1812">
            <v>4795154</v>
          </cell>
          <cell r="V1812">
            <v>2582006</v>
          </cell>
        </row>
        <row r="1813">
          <cell r="J1813">
            <v>1353</v>
          </cell>
          <cell r="K1813">
            <v>43145</v>
          </cell>
          <cell r="L1813" t="str">
            <v>ORLANDO  OCHOA MOSUCA</v>
          </cell>
          <cell r="M1813">
            <v>31</v>
          </cell>
          <cell r="N1813" t="str">
            <v>RESOLUCION</v>
          </cell>
          <cell r="O1813">
            <v>1176</v>
          </cell>
          <cell r="P1813">
            <v>43145</v>
          </cell>
          <cell r="Q1813" t="str">
            <v>AYUDA TEMPORAL A LAS FAMILIAS DE VARIAS LOCALIDADES, PARA RELOCALIZACIÓN DE HOGARES LOCALIZADOS EN ZONAS DE ALTO RIESGO NO MITIGABLE ID:2013-Q04-00517, LOCALIDAD:19 CIUDAD BOLÍVAR, UPZ:67 LUCERO, SECTOR:PEÑA COLORADA</v>
          </cell>
          <cell r="R1813">
            <v>3150049</v>
          </cell>
          <cell r="S1813">
            <v>450007</v>
          </cell>
          <cell r="T1813">
            <v>0</v>
          </cell>
          <cell r="U1813">
            <v>2700042</v>
          </cell>
          <cell r="V1813">
            <v>2700042</v>
          </cell>
        </row>
        <row r="1814">
          <cell r="J1814">
            <v>1354</v>
          </cell>
          <cell r="K1814">
            <v>43145</v>
          </cell>
          <cell r="L1814" t="str">
            <v>NELSON RODRIGUEZ MONTOYA</v>
          </cell>
          <cell r="M1814">
            <v>31</v>
          </cell>
          <cell r="N1814" t="str">
            <v>RESOLUCION</v>
          </cell>
          <cell r="O1814">
            <v>1184</v>
          </cell>
          <cell r="P1814">
            <v>43145</v>
          </cell>
          <cell r="Q1814" t="str">
            <v>AYUDA TEMPORAL A LAS FAMILIAS DE VARIAS LOCALIDADES, PARA RELOCALIZACIÓN DE HOGARES LOCALIZADOS EN ZONAS DE ALTO RIESGO NO MITIGABLE ID:2014-Q09-01189, LOCALIDAD:19 CIUDAD BOLÍVAR, UPZ:67 LUCERO, SECTOR:QUEBRADA TROMPETA</v>
          </cell>
          <cell r="R1814">
            <v>3247524</v>
          </cell>
          <cell r="S1814">
            <v>541254</v>
          </cell>
          <cell r="T1814">
            <v>0</v>
          </cell>
          <cell r="U1814">
            <v>2706270</v>
          </cell>
          <cell r="V1814">
            <v>2706270</v>
          </cell>
        </row>
        <row r="1815">
          <cell r="J1815">
            <v>1355</v>
          </cell>
          <cell r="K1815">
            <v>43145</v>
          </cell>
          <cell r="L1815" t="str">
            <v>JOSE BRANDON TELLO NARANJO</v>
          </cell>
          <cell r="M1815">
            <v>31</v>
          </cell>
          <cell r="N1815" t="str">
            <v>RESOLUCION</v>
          </cell>
          <cell r="O1815">
            <v>1094</v>
          </cell>
          <cell r="P1815">
            <v>43145</v>
          </cell>
          <cell r="Q1815" t="str">
            <v>Asignacion del instrumento financiero a las familias ocupantes del predio que hayan superado la fase de verificacion dentro  del marco del Decreto 457 de 2017. LOCALIDAD: KENNEDY; BARRIO: VEREDITAS; ID: 2017-8-383655</v>
          </cell>
          <cell r="R1815">
            <v>54686940</v>
          </cell>
          <cell r="S1815">
            <v>0</v>
          </cell>
          <cell r="T1815">
            <v>0</v>
          </cell>
          <cell r="U1815">
            <v>54686940</v>
          </cell>
          <cell r="V1815">
            <v>54686940</v>
          </cell>
        </row>
        <row r="1816">
          <cell r="J1816">
            <v>1356</v>
          </cell>
          <cell r="K1816">
            <v>43146</v>
          </cell>
          <cell r="L1816" t="str">
            <v>YEISON ALEXANDER CHAPARRO ANGULO</v>
          </cell>
          <cell r="M1816">
            <v>31</v>
          </cell>
          <cell r="N1816" t="str">
            <v>RESOLUCION</v>
          </cell>
          <cell r="O1816">
            <v>1180</v>
          </cell>
          <cell r="P1816">
            <v>43146</v>
          </cell>
          <cell r="Q1816" t="str">
            <v>AYUDA TEMPORAL A LAS FAMILIAS DE VARIAS LOCALIDADES, PARA RELOCALIZACIÓN DE HOGARES LOCALIZADOS EN ZONAS DE ALTO RIESGO NO MITIGABLE ID:2011-5-13065, LOCALIDAD:05 USME, UPZ:56 DANUBIO.</v>
          </cell>
          <cell r="R1816">
            <v>3769724</v>
          </cell>
          <cell r="S1816">
            <v>538532</v>
          </cell>
          <cell r="T1816">
            <v>0</v>
          </cell>
          <cell r="U1816">
            <v>3231192</v>
          </cell>
          <cell r="V1816">
            <v>3231192</v>
          </cell>
        </row>
        <row r="1817">
          <cell r="J1817">
            <v>1357</v>
          </cell>
          <cell r="K1817">
            <v>43146</v>
          </cell>
          <cell r="L1817" t="str">
            <v>MARTHA CECILIA DIAZ DIAZ</v>
          </cell>
          <cell r="M1817">
            <v>31</v>
          </cell>
          <cell r="N1817" t="str">
            <v>RESOLUCION</v>
          </cell>
          <cell r="O1817">
            <v>1181</v>
          </cell>
          <cell r="P1817">
            <v>43146</v>
          </cell>
          <cell r="Q1817" t="str">
            <v>AYUDA TEMPORAL A LAS FAMILIAS DE VARIAS LOCALIDADES, PARA RELOCALIZACIÓN DE HOGARES LOCALIZADOS EN ZONAS DE ALTO RIESGO NO MITIGABLE ID:2015-D227-00015, LOCALIDAD:04 SAN CRISTÓBAL, UPZ:51 LOS LIBERTADORES, SECTOR:SANTA TERESITA</v>
          </cell>
          <cell r="R1817">
            <v>3865040</v>
          </cell>
          <cell r="S1817">
            <v>0</v>
          </cell>
          <cell r="T1817">
            <v>0</v>
          </cell>
          <cell r="U1817">
            <v>3865040</v>
          </cell>
          <cell r="V1817">
            <v>3381910</v>
          </cell>
        </row>
        <row r="1818">
          <cell r="J1818">
            <v>1358</v>
          </cell>
          <cell r="K1818">
            <v>43146</v>
          </cell>
          <cell r="L1818" t="str">
            <v>JUAN FRANCISCO ORTIZ REYES</v>
          </cell>
          <cell r="M1818">
            <v>31</v>
          </cell>
          <cell r="N1818" t="str">
            <v>RESOLUCION</v>
          </cell>
          <cell r="O1818">
            <v>1182</v>
          </cell>
          <cell r="P1818">
            <v>43146</v>
          </cell>
          <cell r="Q1818" t="str">
            <v>AYUDA TEMPORAL A LAS FAMILIAS DE VARIAS LOCALIDADES, PARA RELOCALIZACIÓN DE HOGARES LOCALIZADOS EN ZONAS DE ALTO RIESGO NO MITIGABLE ID:2014-Q09-00906, LOCALIDAD:19 CIUDAD BOLÍVAR, UPZ:67 LUCERO, SECTOR:QUEBRADA TROMPETA</v>
          </cell>
          <cell r="R1818">
            <v>5276661</v>
          </cell>
          <cell r="S1818">
            <v>0</v>
          </cell>
          <cell r="T1818">
            <v>0</v>
          </cell>
          <cell r="U1818">
            <v>5276661</v>
          </cell>
          <cell r="V1818">
            <v>1623588</v>
          </cell>
        </row>
        <row r="1819">
          <cell r="J1819">
            <v>1361</v>
          </cell>
          <cell r="K1819">
            <v>43146</v>
          </cell>
          <cell r="L1819" t="str">
            <v>ROSARIO  JANSASOY AGREDA</v>
          </cell>
          <cell r="M1819">
            <v>31</v>
          </cell>
          <cell r="N1819" t="str">
            <v>RESOLUCION</v>
          </cell>
          <cell r="O1819">
            <v>1266</v>
          </cell>
          <cell r="P1819">
            <v>43146</v>
          </cell>
          <cell r="Q1819" t="str">
            <v>VUR de la actual vigencia de acuerdo con el Decreto 255 de 2013. LOCALIDAD:CIUDAD BOLIVAR; BARRIO:LA CUMBRE 8 DE DICEMBRE; ID: 2014-LC-00814.</v>
          </cell>
          <cell r="R1819">
            <v>39062100</v>
          </cell>
          <cell r="S1819">
            <v>0</v>
          </cell>
          <cell r="T1819">
            <v>0</v>
          </cell>
          <cell r="U1819">
            <v>39062100</v>
          </cell>
          <cell r="V1819">
            <v>39062100</v>
          </cell>
        </row>
        <row r="1820">
          <cell r="J1820">
            <v>1363</v>
          </cell>
          <cell r="K1820">
            <v>43147</v>
          </cell>
          <cell r="L1820" t="str">
            <v>SANDRA MILENA CASTRO MORA</v>
          </cell>
          <cell r="M1820">
            <v>31</v>
          </cell>
          <cell r="N1820" t="str">
            <v>RESOLUCION</v>
          </cell>
          <cell r="O1820">
            <v>1274</v>
          </cell>
          <cell r="P1820">
            <v>43147</v>
          </cell>
          <cell r="Q1820" t="str">
            <v>Asignacion del instrumento financiero a las familias ocupantes del predio que hayan superado la fase de verificacion dentro  del marco del Decreto 457 de 2017. LOCALIDAD: KENNEDY; BARRIO: VEREDITAS; ID: 2018-8-383902.</v>
          </cell>
          <cell r="R1820">
            <v>54686940</v>
          </cell>
          <cell r="S1820">
            <v>0</v>
          </cell>
          <cell r="T1820">
            <v>0</v>
          </cell>
          <cell r="U1820">
            <v>54686940</v>
          </cell>
          <cell r="V1820">
            <v>54686940</v>
          </cell>
        </row>
        <row r="1821">
          <cell r="J1821">
            <v>1364</v>
          </cell>
          <cell r="K1821">
            <v>43147</v>
          </cell>
          <cell r="L1821" t="str">
            <v>MARIA CLEOTILDE CARO TOVAR</v>
          </cell>
          <cell r="M1821">
            <v>31</v>
          </cell>
          <cell r="N1821" t="str">
            <v>RESOLUCION</v>
          </cell>
          <cell r="O1821">
            <v>1275</v>
          </cell>
          <cell r="P1821">
            <v>43147</v>
          </cell>
          <cell r="Q1821" t="str">
            <v>Asignacion del instrumento financiero a las familias ocupantes del predio que hayan superado la fase de verificacion dentro  del marco del Decreto 457 de 2017. LOCALIDAD: KENNEDY; BARRIO: VEREDITAS; ID: 2017-8-383704</v>
          </cell>
          <cell r="R1821">
            <v>54686940</v>
          </cell>
          <cell r="S1821">
            <v>0</v>
          </cell>
          <cell r="T1821">
            <v>0</v>
          </cell>
          <cell r="U1821">
            <v>54686940</v>
          </cell>
          <cell r="V1821">
            <v>54686940</v>
          </cell>
        </row>
        <row r="1822">
          <cell r="J1822">
            <v>1365</v>
          </cell>
          <cell r="K1822">
            <v>43147</v>
          </cell>
          <cell r="L1822" t="str">
            <v>LUIS ALBERTO CERON ESPINOSA</v>
          </cell>
          <cell r="M1822">
            <v>31</v>
          </cell>
          <cell r="N1822" t="str">
            <v>RESOLUCION</v>
          </cell>
          <cell r="O1822">
            <v>1277</v>
          </cell>
          <cell r="P1822">
            <v>43147</v>
          </cell>
          <cell r="Q1822" t="str">
            <v>Asignacion del instrumento financiero a las familias ocupantes del predio que hayan superado la fase de verificacion dentro  del marco del Decreto 457 de 2017. LOCALIDAD: KENNEDY; BARRIO: VEREDITAS; ID: 2018-8-383905</v>
          </cell>
          <cell r="R1822">
            <v>54686940</v>
          </cell>
          <cell r="S1822">
            <v>0</v>
          </cell>
          <cell r="T1822">
            <v>0</v>
          </cell>
          <cell r="U1822">
            <v>54686940</v>
          </cell>
          <cell r="V1822">
            <v>54686940</v>
          </cell>
        </row>
        <row r="1823">
          <cell r="J1823">
            <v>1366</v>
          </cell>
          <cell r="K1823">
            <v>43147</v>
          </cell>
          <cell r="L1823" t="str">
            <v>MARIA ALEJANDRA ESPINOSA PASCUAS</v>
          </cell>
          <cell r="M1823">
            <v>31</v>
          </cell>
          <cell r="N1823" t="str">
            <v>RESOLUCION</v>
          </cell>
          <cell r="O1823">
            <v>1276</v>
          </cell>
          <cell r="P1823">
            <v>43147</v>
          </cell>
          <cell r="Q1823" t="str">
            <v>Asignacion del instrumento financiero a las familias ocupantes del predio que hayan superado la fase de verificacion dentro  del marco del Decreto 457 de 2017. LOCALIDAD: KENNEDY; BARRIO: VEREDITAS; ID: 2018-8-383921.</v>
          </cell>
          <cell r="R1823">
            <v>54686940</v>
          </cell>
          <cell r="S1823">
            <v>0</v>
          </cell>
          <cell r="T1823">
            <v>0</v>
          </cell>
          <cell r="U1823">
            <v>54686940</v>
          </cell>
          <cell r="V1823">
            <v>54686940</v>
          </cell>
        </row>
        <row r="1824">
          <cell r="J1824">
            <v>1367</v>
          </cell>
          <cell r="K1824">
            <v>43147</v>
          </cell>
          <cell r="L1824" t="str">
            <v>NIDIA JOHANA JIMENEZ CASTELLANOS</v>
          </cell>
          <cell r="M1824">
            <v>31</v>
          </cell>
          <cell r="N1824" t="str">
            <v>RESOLUCION</v>
          </cell>
          <cell r="O1824">
            <v>1269</v>
          </cell>
          <cell r="P1824">
            <v>43147</v>
          </cell>
          <cell r="Q1824" t="str">
            <v>Asignacion del instrumento financiero a las familias ocupantes del predio que hayan superado la fase de verificacion dentro  del marco del Decreto 457 de 2017. LOCALIDAD: KENNEDY; BARRIO: VEREDITAS; ID: 2017-8-383736</v>
          </cell>
          <cell r="R1824">
            <v>54686940</v>
          </cell>
          <cell r="S1824">
            <v>0</v>
          </cell>
          <cell r="T1824">
            <v>0</v>
          </cell>
          <cell r="U1824">
            <v>54686940</v>
          </cell>
          <cell r="V1824">
            <v>54686940</v>
          </cell>
        </row>
        <row r="1825">
          <cell r="J1825">
            <v>1368</v>
          </cell>
          <cell r="K1825">
            <v>43147</v>
          </cell>
          <cell r="L1825" t="str">
            <v>LEYDI CAROLINA ARIZA CAMACHO</v>
          </cell>
          <cell r="M1825">
            <v>31</v>
          </cell>
          <cell r="N1825" t="str">
            <v>RESOLUCION</v>
          </cell>
          <cell r="O1825">
            <v>1272</v>
          </cell>
          <cell r="P1825">
            <v>43147</v>
          </cell>
          <cell r="Q1825" t="str">
            <v>Asignacion del instrumento financiero a las familias ocupantes del predio que hayan superado la fase de verificacion dentro  del marco del Decreto 457 de 2017. LOCALIDAD: KENNEDY; BARRIO: VEREDITAS; ID: 2018-8-383916.</v>
          </cell>
          <cell r="R1825">
            <v>54686940</v>
          </cell>
          <cell r="S1825">
            <v>0</v>
          </cell>
          <cell r="T1825">
            <v>0</v>
          </cell>
          <cell r="U1825">
            <v>54686940</v>
          </cell>
          <cell r="V1825">
            <v>54686940</v>
          </cell>
        </row>
        <row r="1826">
          <cell r="J1826">
            <v>1369</v>
          </cell>
          <cell r="K1826">
            <v>43147</v>
          </cell>
          <cell r="L1826" t="str">
            <v>JHON ALEXANDER OROZCO CHITIVA</v>
          </cell>
          <cell r="M1826">
            <v>31</v>
          </cell>
          <cell r="N1826" t="str">
            <v>RESOLUCION</v>
          </cell>
          <cell r="O1826">
            <v>1268</v>
          </cell>
          <cell r="P1826">
            <v>43147</v>
          </cell>
          <cell r="Q1826" t="str">
            <v>Asignacion del instrumento financiero a las familias ocupantes del predio que hayan superado la fase de verificacion dentro  del marco del Decreto 457 de 2017. LOCALIDAD: KENNEDY; BARRIO: VEREDITAS; ID: 2018-8-383901</v>
          </cell>
          <cell r="R1826">
            <v>54686940</v>
          </cell>
          <cell r="S1826">
            <v>0</v>
          </cell>
          <cell r="T1826">
            <v>0</v>
          </cell>
          <cell r="U1826">
            <v>54686940</v>
          </cell>
          <cell r="V1826">
            <v>54686940</v>
          </cell>
        </row>
        <row r="1827">
          <cell r="J1827">
            <v>1370</v>
          </cell>
          <cell r="K1827">
            <v>43147</v>
          </cell>
          <cell r="L1827" t="str">
            <v>DANIEL  BARRERA MORENO</v>
          </cell>
          <cell r="M1827">
            <v>31</v>
          </cell>
          <cell r="N1827" t="str">
            <v>RESOLUCION</v>
          </cell>
          <cell r="O1827">
            <v>1270</v>
          </cell>
          <cell r="P1827">
            <v>43147</v>
          </cell>
          <cell r="Q1827" t="str">
            <v>Asignacion del instrumento financiero a las familias ocupantes del predio que hayan superado la fase de verificacion dentro  del marco del Decreto 457 de 2017. LOCALIDAD: KENNEDY; BARRIO: VEREDITAS; ID: 2018-8-383911</v>
          </cell>
          <cell r="R1827">
            <v>54686940</v>
          </cell>
          <cell r="S1827">
            <v>0</v>
          </cell>
          <cell r="T1827">
            <v>0</v>
          </cell>
          <cell r="U1827">
            <v>54686940</v>
          </cell>
          <cell r="V1827">
            <v>54686940</v>
          </cell>
        </row>
        <row r="1828">
          <cell r="J1828">
            <v>1371</v>
          </cell>
          <cell r="K1828">
            <v>43147</v>
          </cell>
          <cell r="L1828" t="str">
            <v>ROSA JULIA CHITIVA PABON</v>
          </cell>
          <cell r="M1828">
            <v>31</v>
          </cell>
          <cell r="N1828" t="str">
            <v>RESOLUCION</v>
          </cell>
          <cell r="O1828">
            <v>1273</v>
          </cell>
          <cell r="P1828">
            <v>43147</v>
          </cell>
          <cell r="Q1828" t="str">
            <v>Asignacion del instrumento financiero a las familias ocupantes del predio que hayan superado la fase de verificacion dentro  del marco del Decreto 457 de 2017. LOCALIDAD: KENNEDY; BARRIO: VEREDITAS; ID: 2017-8-383691</v>
          </cell>
          <cell r="R1828">
            <v>54686940</v>
          </cell>
          <cell r="S1828">
            <v>0</v>
          </cell>
          <cell r="T1828">
            <v>0</v>
          </cell>
          <cell r="U1828">
            <v>54686940</v>
          </cell>
          <cell r="V1828">
            <v>54686940</v>
          </cell>
        </row>
        <row r="1829">
          <cell r="J1829">
            <v>1372</v>
          </cell>
          <cell r="K1829">
            <v>43147</v>
          </cell>
          <cell r="L1829" t="str">
            <v>MANUEL FERNANDO GAMBA MARTINEZ</v>
          </cell>
          <cell r="M1829">
            <v>31</v>
          </cell>
          <cell r="N1829" t="str">
            <v>RESOLUCION</v>
          </cell>
          <cell r="O1829">
            <v>1271</v>
          </cell>
          <cell r="P1829">
            <v>43147</v>
          </cell>
          <cell r="Q1829" t="str">
            <v>Asignacion del instrumento financiero a las familias ocupantes del predio que hayan superado la fase de verificacion dentro  del marco del Decreto 457 de 2017. LOCALIDAD: KENNEDY; BARRIO: VEREDITAS; ID: 2018-8-383914</v>
          </cell>
          <cell r="R1829">
            <v>54686940</v>
          </cell>
          <cell r="S1829">
            <v>0</v>
          </cell>
          <cell r="T1829">
            <v>0</v>
          </cell>
          <cell r="U1829">
            <v>54686940</v>
          </cell>
          <cell r="V1829">
            <v>54686940</v>
          </cell>
        </row>
        <row r="1830">
          <cell r="J1830">
            <v>1373</v>
          </cell>
          <cell r="K1830">
            <v>43147</v>
          </cell>
          <cell r="L1830" t="str">
            <v>MARTHA EDITH VALDEZ CORTES</v>
          </cell>
          <cell r="M1830">
            <v>31</v>
          </cell>
          <cell r="N1830" t="str">
            <v>RESOLUCION</v>
          </cell>
          <cell r="O1830">
            <v>1279</v>
          </cell>
          <cell r="P1830">
            <v>43147</v>
          </cell>
          <cell r="Q1830" t="str">
            <v>Asignacion del instrumento financiero a las familias ocupantes del predio que hayan superado la fase de verificacion dentro  del marco del Decreto 457 de 2017. LOCALIDAD: KENNEDY; BARRIO: VEREDITAS; ID: 2017-8-383752</v>
          </cell>
          <cell r="R1830">
            <v>54686940</v>
          </cell>
          <cell r="S1830">
            <v>0</v>
          </cell>
          <cell r="T1830">
            <v>0</v>
          </cell>
          <cell r="U1830">
            <v>54686940</v>
          </cell>
          <cell r="V1830">
            <v>54686940</v>
          </cell>
        </row>
        <row r="1831">
          <cell r="J1831">
            <v>1374</v>
          </cell>
          <cell r="K1831">
            <v>43147</v>
          </cell>
          <cell r="L1831" t="str">
            <v>JAIRO  CASTRO MORA</v>
          </cell>
          <cell r="M1831">
            <v>31</v>
          </cell>
          <cell r="N1831" t="str">
            <v>RESOLUCION</v>
          </cell>
          <cell r="O1831">
            <v>1278</v>
          </cell>
          <cell r="P1831">
            <v>43147</v>
          </cell>
          <cell r="Q1831" t="str">
            <v>Asignacion del instrumento financiero a las familias ocupantes del predio que hayan superado la fase de verificacion dentro  del marco del Decreto 457 de 2017. LOCALIDAD: KENNEDY; BARRIO: VEREDITAS; ID: 2018-8-383903</v>
          </cell>
          <cell r="R1831">
            <v>54686940</v>
          </cell>
          <cell r="S1831">
            <v>0</v>
          </cell>
          <cell r="T1831">
            <v>0</v>
          </cell>
          <cell r="U1831">
            <v>54686940</v>
          </cell>
          <cell r="V1831">
            <v>54686940</v>
          </cell>
        </row>
        <row r="1832">
          <cell r="J1832">
            <v>1375</v>
          </cell>
          <cell r="K1832">
            <v>43147</v>
          </cell>
          <cell r="L1832" t="str">
            <v>LUISA FERNANDA MAHECHA MORENO</v>
          </cell>
          <cell r="M1832">
            <v>31</v>
          </cell>
          <cell r="N1832" t="str">
            <v>RESOLUCION</v>
          </cell>
          <cell r="O1832">
            <v>1283</v>
          </cell>
          <cell r="P1832">
            <v>43147</v>
          </cell>
          <cell r="Q1832" t="str">
            <v>Asignacion del instrumento financiero a las familias ocupantes del predio que hayan superado la fase de verificacion dentro  del marco del Decreto 457 de 2017. LOCALIDAD: KENNEDY; BARRIO: VEREDITAS; ID: 2018-8-383930</v>
          </cell>
          <cell r="R1832">
            <v>54686940</v>
          </cell>
          <cell r="S1832">
            <v>0</v>
          </cell>
          <cell r="T1832">
            <v>0</v>
          </cell>
          <cell r="U1832">
            <v>54686940</v>
          </cell>
          <cell r="V1832">
            <v>54686940</v>
          </cell>
        </row>
        <row r="1833">
          <cell r="J1833">
            <v>1376</v>
          </cell>
          <cell r="K1833">
            <v>43147</v>
          </cell>
          <cell r="L1833" t="str">
            <v>VICTOR LEONARDO CERON ESPINOSA</v>
          </cell>
          <cell r="M1833">
            <v>31</v>
          </cell>
          <cell r="N1833" t="str">
            <v>RESOLUCION</v>
          </cell>
          <cell r="O1833">
            <v>1282</v>
          </cell>
          <cell r="P1833">
            <v>43147</v>
          </cell>
          <cell r="Q1833" t="str">
            <v>Asignacion del instrumento financiero a las familias ocupantes del predio que hayan superado la fase de verificacion dentro  del marco del Decreto 457 de 2017. LOCALIDAD: KENNEDY; BARRIO: VEREDITAS; ID: 2018-8-383920</v>
          </cell>
          <cell r="R1833">
            <v>54686940</v>
          </cell>
          <cell r="S1833">
            <v>0</v>
          </cell>
          <cell r="T1833">
            <v>0</v>
          </cell>
          <cell r="U1833">
            <v>54686940</v>
          </cell>
          <cell r="V1833">
            <v>54686940</v>
          </cell>
        </row>
        <row r="1834">
          <cell r="J1834">
            <v>1377</v>
          </cell>
          <cell r="K1834">
            <v>43147</v>
          </cell>
          <cell r="L1834" t="str">
            <v>JOSE DAVID RODRIGUEZ VALDES</v>
          </cell>
          <cell r="M1834">
            <v>31</v>
          </cell>
          <cell r="N1834" t="str">
            <v>RESOLUCION</v>
          </cell>
          <cell r="O1834">
            <v>1281</v>
          </cell>
          <cell r="P1834">
            <v>43147</v>
          </cell>
          <cell r="Q1834" t="str">
            <v>Asignacion del instrumento financiero a las familias ocupantes del predio que hayan superado la fase de verificacion dentro  del marco del Decreto 457 de 2017. LOCALIDAD: KENNEDY; BARRIO: VEREDITAS; ID: 2018-8-383912.</v>
          </cell>
          <cell r="R1834">
            <v>54686940</v>
          </cell>
          <cell r="S1834">
            <v>0</v>
          </cell>
          <cell r="T1834">
            <v>0</v>
          </cell>
          <cell r="U1834">
            <v>54686940</v>
          </cell>
          <cell r="V1834">
            <v>54686940</v>
          </cell>
        </row>
        <row r="1835">
          <cell r="J1835">
            <v>1381</v>
          </cell>
          <cell r="K1835">
            <v>43150</v>
          </cell>
          <cell r="L1835" t="str">
            <v>RUBIELA  LEON OBANDO</v>
          </cell>
          <cell r="M1835">
            <v>31</v>
          </cell>
          <cell r="N1835" t="str">
            <v>RESOLUCION</v>
          </cell>
          <cell r="O1835">
            <v>1284</v>
          </cell>
          <cell r="P1835">
            <v>43150</v>
          </cell>
          <cell r="Q1835" t="str">
            <v>Asignacion del instrumento financiero a las familias ocupantes del predio que hayan superado la fase de verificacion dentro  del marco del Decreto 457 de 2017. LOCALIDAD: KENNEDY; BARRIO: VEREDITAS; ID: 2017-8-383607</v>
          </cell>
          <cell r="R1835">
            <v>54686940</v>
          </cell>
          <cell r="S1835">
            <v>0</v>
          </cell>
          <cell r="T1835">
            <v>0</v>
          </cell>
          <cell r="U1835">
            <v>54686940</v>
          </cell>
          <cell r="V1835">
            <v>54686940</v>
          </cell>
        </row>
        <row r="1836">
          <cell r="J1836">
            <v>1382</v>
          </cell>
          <cell r="K1836">
            <v>43150</v>
          </cell>
          <cell r="L1836" t="str">
            <v>EDWIN  PATIÑO LEON</v>
          </cell>
          <cell r="M1836">
            <v>31</v>
          </cell>
          <cell r="N1836" t="str">
            <v>RESOLUCION</v>
          </cell>
          <cell r="O1836">
            <v>1285</v>
          </cell>
          <cell r="P1836">
            <v>43150</v>
          </cell>
          <cell r="Q1836" t="str">
            <v>Asignacion del instrumento financiero a las familias ocupantes del predio que hayan superado la fase de verificacion dentro  del marco del Decreto 457 de 2017. LOCALIDAD: KENNEDY; BARRIO: VEREDITAS; ID: 2017-8-383615</v>
          </cell>
          <cell r="R1836">
            <v>54686940</v>
          </cell>
          <cell r="S1836">
            <v>0</v>
          </cell>
          <cell r="T1836">
            <v>0</v>
          </cell>
          <cell r="U1836">
            <v>54686940</v>
          </cell>
          <cell r="V1836">
            <v>54686940</v>
          </cell>
        </row>
        <row r="1837">
          <cell r="J1837">
            <v>1383</v>
          </cell>
          <cell r="K1837">
            <v>43150</v>
          </cell>
          <cell r="L1837" t="str">
            <v>CAROLINA  NOPE ARIAS</v>
          </cell>
          <cell r="M1837">
            <v>31</v>
          </cell>
          <cell r="N1837" t="str">
            <v>RESOLUCION</v>
          </cell>
          <cell r="O1837">
            <v>1280</v>
          </cell>
          <cell r="P1837">
            <v>43150</v>
          </cell>
          <cell r="Q1837" t="str">
            <v>ASIGNACION DEL INSTRUMENTO FINANCIERO A LAS FAMILIAS OCUPANTES DEL PREDIO QUE HAYAN SUPERADO LA FASE DE VERIFICACION; DENTRO DEL MARCO DELDECRETO 457 DE 2017. LOCALIDAD: KENNEDY; BARRIO: VEREDITAS; ID: 2018-8-15013 - CAROLINA NOPE ARIAS, REPRESENTANTE LEGAL DEL BENEFICIARIO ROBERT STEVEN RUSINQUE NOPE CON T.I.  1,001,052,651</v>
          </cell>
          <cell r="R1837">
            <v>54686940</v>
          </cell>
          <cell r="S1837">
            <v>0</v>
          </cell>
          <cell r="T1837">
            <v>0</v>
          </cell>
          <cell r="U1837">
            <v>54686940</v>
          </cell>
          <cell r="V1837">
            <v>54686940</v>
          </cell>
        </row>
        <row r="1838">
          <cell r="J1838">
            <v>1392</v>
          </cell>
          <cell r="K1838">
            <v>43151</v>
          </cell>
          <cell r="L1838" t="str">
            <v>FABIO IVAN ESPITIA GONZALEZ</v>
          </cell>
          <cell r="M1838">
            <v>31</v>
          </cell>
          <cell r="N1838" t="str">
            <v>RESOLUCION</v>
          </cell>
          <cell r="O1838">
            <v>1347</v>
          </cell>
          <cell r="P1838">
            <v>43151</v>
          </cell>
          <cell r="Q1838" t="str">
            <v>AYUDA TEMPORAL A LAS FAMILIAS DE VARIAS LOCALIDADES, PARA RELOCALIZACIÓN DE HOGARES LOCALIZADOS EN ZONAS DE ALTO RIESGO NO MITIGABLE ID:2014-OTR-01128, LOCALIDAD:11 SUBA, UPZ:71 TIBABUYES, SECTOR:GAVILANES</v>
          </cell>
          <cell r="R1838">
            <v>2550450</v>
          </cell>
          <cell r="S1838">
            <v>425075</v>
          </cell>
          <cell r="T1838">
            <v>0</v>
          </cell>
          <cell r="U1838">
            <v>2125375</v>
          </cell>
          <cell r="V1838">
            <v>2125375</v>
          </cell>
        </row>
        <row r="1839">
          <cell r="J1839">
            <v>1393</v>
          </cell>
          <cell r="K1839">
            <v>43151</v>
          </cell>
          <cell r="L1839" t="str">
            <v>CONSUELO DEL CARMEN HERNANDEZ ARCIA</v>
          </cell>
          <cell r="M1839">
            <v>31</v>
          </cell>
          <cell r="N1839" t="str">
            <v>RESOLUCION</v>
          </cell>
          <cell r="O1839">
            <v>1333</v>
          </cell>
          <cell r="P1839">
            <v>43151</v>
          </cell>
          <cell r="Q1839" t="str">
            <v>AYUDA TEMPORAL A LAS FAMILIAS DE VARIAS LOCALIDADES, PARA RELOCALIZACIÓN DE HOGARES LOCALIZADOS EN ZONAS DE ALTO RIESGO NO MITIGABLE ID:2015-Q04-01434, LOCALIDAD:19 CIUDAD BOLÍVAR, UPZ:67 LUCERO, SECTOR:PEÑA COLORADA</v>
          </cell>
          <cell r="R1839">
            <v>2706270</v>
          </cell>
          <cell r="S1839">
            <v>0</v>
          </cell>
          <cell r="T1839">
            <v>0</v>
          </cell>
          <cell r="U1839">
            <v>2706270</v>
          </cell>
          <cell r="V1839">
            <v>2255225</v>
          </cell>
        </row>
        <row r="1840">
          <cell r="J1840">
            <v>1394</v>
          </cell>
          <cell r="K1840">
            <v>43151</v>
          </cell>
          <cell r="L1840" t="str">
            <v>JOSE ORLANDO GANZO MORALES</v>
          </cell>
          <cell r="M1840">
            <v>31</v>
          </cell>
          <cell r="N1840" t="str">
            <v>RESOLUCION</v>
          </cell>
          <cell r="O1840">
            <v>1334</v>
          </cell>
          <cell r="P1840">
            <v>43151</v>
          </cell>
          <cell r="Q1840" t="str">
            <v>AYUDA TEMPORAL A LAS FAMILIAS DE VARIAS LOCALIDADES, PARA RELOCALIZACIÓN DE HOGARES LOCALIZADOS EN ZONAS DE ALTO RIESGO NO MITIGABLE ID:2011-4-12724, LOCALIDAD:04 SAN CRISTÓBAL, UPZ:32 SAN BLAS</v>
          </cell>
          <cell r="R1840">
            <v>2213148</v>
          </cell>
          <cell r="S1840">
            <v>368858</v>
          </cell>
          <cell r="T1840">
            <v>0</v>
          </cell>
          <cell r="U1840">
            <v>1844290</v>
          </cell>
          <cell r="V1840">
            <v>1844290</v>
          </cell>
        </row>
        <row r="1841">
          <cell r="J1841">
            <v>1395</v>
          </cell>
          <cell r="K1841">
            <v>43151</v>
          </cell>
          <cell r="L1841" t="str">
            <v>ALBA LUCIA PEÑA LINARES</v>
          </cell>
          <cell r="M1841">
            <v>31</v>
          </cell>
          <cell r="N1841" t="str">
            <v>RESOLUCION</v>
          </cell>
          <cell r="O1841">
            <v>1335</v>
          </cell>
          <cell r="P1841">
            <v>43151</v>
          </cell>
          <cell r="Q1841" t="str">
            <v>AYUDA TEMPORAL A LAS FAMILIAS DE VARIAS LOCALIDADES, PARA RELOCALIZACIÓN DE HOGARES LOCALIZADOS EN ZONAS DE ALTO RIESGO NO MITIGABLE ID:2012-T314-09, LOCALIDAD:04 SAN CRISTÓBAL, UPZ:50 LA GLORIA</v>
          </cell>
          <cell r="R1841">
            <v>3054150</v>
          </cell>
          <cell r="S1841">
            <v>509025</v>
          </cell>
          <cell r="T1841">
            <v>0</v>
          </cell>
          <cell r="U1841">
            <v>2545125</v>
          </cell>
          <cell r="V1841">
            <v>2545125</v>
          </cell>
        </row>
        <row r="1842">
          <cell r="J1842">
            <v>1396</v>
          </cell>
          <cell r="K1842">
            <v>43151</v>
          </cell>
          <cell r="L1842" t="str">
            <v>ANA ISABEL FORERO SOTO</v>
          </cell>
          <cell r="M1842">
            <v>31</v>
          </cell>
          <cell r="N1842" t="str">
            <v>RESOLUCION</v>
          </cell>
          <cell r="O1842">
            <v>1336</v>
          </cell>
          <cell r="P1842">
            <v>43151</v>
          </cell>
          <cell r="Q1842" t="str">
            <v>AYUDA TEMPORAL A LAS FAMILIAS DE VARIAS LOCALIDADES, PARA RELOCALIZACIÓN DE HOGARES LOCALIZADOS EN ZONAS DE ALTO RIESGO NO MITIGABLE ID:2014-OTR-00879, LOCALIDAD:03 SANTA FE, UPZ:96 LOURDES, SECTOR:CASA 2</v>
          </cell>
          <cell r="R1842">
            <v>3014166</v>
          </cell>
          <cell r="S1842">
            <v>502361</v>
          </cell>
          <cell r="T1842">
            <v>0</v>
          </cell>
          <cell r="U1842">
            <v>2511805</v>
          </cell>
          <cell r="V1842">
            <v>2511805</v>
          </cell>
        </row>
        <row r="1843">
          <cell r="J1843">
            <v>1397</v>
          </cell>
          <cell r="K1843">
            <v>43151</v>
          </cell>
          <cell r="L1843" t="str">
            <v>MARLENY  MARTINEZ MARTINEZ</v>
          </cell>
          <cell r="M1843">
            <v>31</v>
          </cell>
          <cell r="N1843" t="str">
            <v>RESOLUCION</v>
          </cell>
          <cell r="O1843">
            <v>1337</v>
          </cell>
          <cell r="P1843">
            <v>43151</v>
          </cell>
          <cell r="Q1843" t="str">
            <v>AYUDA TEMPORAL A LAS FAMILIAS DE VARIAS LOCALIDADES, PARA RELOCALIZACIÓN DE HOGARES LOCALIZADOS EN ZONAS DE ALTO RIESGO NO MITIGABLE ID:2011-19-12731, LOCALIDAD:19 CIUDAD BOLÍVAR, UPZ:67 LUCERO, SECTOR:OLA INVERNAL 2010 FOPAE</v>
          </cell>
          <cell r="R1843">
            <v>2301678</v>
          </cell>
          <cell r="S1843">
            <v>383613</v>
          </cell>
          <cell r="T1843">
            <v>0</v>
          </cell>
          <cell r="U1843">
            <v>1918065</v>
          </cell>
          <cell r="V1843">
            <v>1918065</v>
          </cell>
        </row>
        <row r="1844">
          <cell r="J1844">
            <v>1398</v>
          </cell>
          <cell r="K1844">
            <v>43151</v>
          </cell>
          <cell r="L1844" t="str">
            <v>JOSE GUILLERMO ARIZA</v>
          </cell>
          <cell r="M1844">
            <v>31</v>
          </cell>
          <cell r="N1844" t="str">
            <v>RESOLUCION</v>
          </cell>
          <cell r="O1844">
            <v>1338</v>
          </cell>
          <cell r="P1844">
            <v>43151</v>
          </cell>
          <cell r="Q1844" t="str">
            <v>AYUDA TEMPORAL A LAS FAMILIAS DE VARIAS LOCALIDADES, PARA RELOCALIZACIÓN DE HOGARES LOCALIZADOS EN ZONAS DE ALTO RIESGO NO MITIGABLE ID:2011-4-12643, LOCALIDAD:04 SAN CRISTÓBAL, UPZ:32 SAN BLAS</v>
          </cell>
          <cell r="R1844">
            <v>2854338</v>
          </cell>
          <cell r="S1844">
            <v>475723</v>
          </cell>
          <cell r="T1844">
            <v>0</v>
          </cell>
          <cell r="U1844">
            <v>2378615</v>
          </cell>
          <cell r="V1844">
            <v>2378615</v>
          </cell>
        </row>
        <row r="1845">
          <cell r="J1845">
            <v>1399</v>
          </cell>
          <cell r="K1845">
            <v>43151</v>
          </cell>
          <cell r="L1845" t="str">
            <v>VICTOR MANUEL FIGUEROA RAMOS</v>
          </cell>
          <cell r="M1845">
            <v>31</v>
          </cell>
          <cell r="N1845" t="str">
            <v>RESOLUCION</v>
          </cell>
          <cell r="O1845">
            <v>1339</v>
          </cell>
          <cell r="P1845">
            <v>43151</v>
          </cell>
          <cell r="Q1845" t="str">
            <v>AYUDA TEMPORAL A LAS FAMILIAS DE VARIAS LOCALIDADES, PARA RELOCALIZACIÓN DE HOGARES LOCALIZADOS EN ZONAS DE ALTO RIESGO NO MITIGABLE ID:2014-Q03-01043, LOCALIDAD:19 CIUDAD BOLÍVAR, UPZ:66 SAN FRANCISCO, SECTOR:LIMAS</v>
          </cell>
          <cell r="R1845">
            <v>2987262</v>
          </cell>
          <cell r="S1845">
            <v>497877</v>
          </cell>
          <cell r="T1845">
            <v>0</v>
          </cell>
          <cell r="U1845">
            <v>2489385</v>
          </cell>
          <cell r="V1845">
            <v>2489385</v>
          </cell>
        </row>
        <row r="1846">
          <cell r="J1846">
            <v>1400</v>
          </cell>
          <cell r="K1846">
            <v>43151</v>
          </cell>
          <cell r="L1846" t="str">
            <v>JENNY PAOLA CABALLERO TORRES</v>
          </cell>
          <cell r="M1846">
            <v>31</v>
          </cell>
          <cell r="N1846" t="str">
            <v>RESOLUCION</v>
          </cell>
          <cell r="O1846">
            <v>1340</v>
          </cell>
          <cell r="P1846">
            <v>43151</v>
          </cell>
          <cell r="Q1846" t="str">
            <v>AYUDA TEMPORAL A LAS FAMILIAS DE VARIAS LOCALIDADES, PARA RELOCALIZACIÓN DE HOGARES LOCALIZADOS EN ZONAS DE ALTO RIESGO NO MITIGABLE ID:2015-Q03-01432, LOCALIDAD:19 CIUDAD BOLÍVAR, UPZ:66 SAN FRANCISCO, SECTOR:LIMAS</v>
          </cell>
          <cell r="R1846">
            <v>2706270</v>
          </cell>
          <cell r="S1846">
            <v>0</v>
          </cell>
          <cell r="T1846">
            <v>0</v>
          </cell>
          <cell r="U1846">
            <v>2706270</v>
          </cell>
          <cell r="V1846">
            <v>2255225</v>
          </cell>
        </row>
        <row r="1847">
          <cell r="J1847">
            <v>1401</v>
          </cell>
          <cell r="K1847">
            <v>43151</v>
          </cell>
          <cell r="L1847" t="str">
            <v>MARIA GILMA RAMOS ROLDAN</v>
          </cell>
          <cell r="M1847">
            <v>31</v>
          </cell>
          <cell r="N1847" t="str">
            <v>RESOLUCION</v>
          </cell>
          <cell r="O1847">
            <v>1341</v>
          </cell>
          <cell r="P1847">
            <v>43151</v>
          </cell>
          <cell r="Q1847" t="str">
            <v>AYUDA TEMPORAL A LAS FAMILIAS DE VARIAS LOCALIDADES, PARA RELOCALIZACIÓN DE HOGARES LOCALIZADOS EN ZONAS DE ALTO RIESGO NO MITIGABLE ID:2014-OTR-00900, LOCALIDAD:03 SANTA FE, UPZ:96 LOURDES, SECTOR:CASA 3</v>
          </cell>
          <cell r="R1847">
            <v>2213148</v>
          </cell>
          <cell r="S1847">
            <v>368858</v>
          </cell>
          <cell r="T1847">
            <v>0</v>
          </cell>
          <cell r="U1847">
            <v>1844290</v>
          </cell>
          <cell r="V1847">
            <v>1844290</v>
          </cell>
        </row>
        <row r="1848">
          <cell r="J1848">
            <v>1402</v>
          </cell>
          <cell r="K1848">
            <v>43151</v>
          </cell>
          <cell r="L1848" t="str">
            <v>MARCELINA  VARGAS GONZALEZ</v>
          </cell>
          <cell r="M1848">
            <v>31</v>
          </cell>
          <cell r="N1848" t="str">
            <v>RESOLUCION</v>
          </cell>
          <cell r="O1848">
            <v>1302</v>
          </cell>
          <cell r="P1848">
            <v>43151</v>
          </cell>
          <cell r="Q1848" t="str">
            <v>AYUDA TEMPORAL A LAS FAMILIAS DE VARIAS LOCALIDADES, PARA RELOCALIZACIÓN DE HOGARES LOCALIZADOS EN ZONAS DE ALTO RIESGO NO MITIGABLE ID:2005-19-5791, LOCALIDAD:19 CIUDAD BOLÍVAR, UPZ:67 LUCERO, SECTOR:LIMAS</v>
          </cell>
          <cell r="R1848">
            <v>3054150</v>
          </cell>
          <cell r="S1848">
            <v>3054150</v>
          </cell>
          <cell r="T1848">
            <v>0</v>
          </cell>
          <cell r="U1848">
            <v>0</v>
          </cell>
          <cell r="V1848">
            <v>0</v>
          </cell>
        </row>
        <row r="1849">
          <cell r="J1849">
            <v>1403</v>
          </cell>
          <cell r="K1849">
            <v>43151</v>
          </cell>
          <cell r="L1849" t="str">
            <v>OFELIA  MARTINEZ DE GUTIERREZ</v>
          </cell>
          <cell r="M1849">
            <v>31</v>
          </cell>
          <cell r="N1849" t="str">
            <v>RESOLUCION</v>
          </cell>
          <cell r="O1849">
            <v>1342</v>
          </cell>
          <cell r="P1849">
            <v>43151</v>
          </cell>
          <cell r="Q1849" t="str">
            <v>AYUDA TEMPORAL A LAS FAMILIAS DE VARIAS LOCALIDADES, PARA RELOCALIZACIÓN DE HOGARES LOCALIZADOS EN ZONAS DE ALTO RIESGO NO MITIGABLE ID:2014-LC-00810, LOCALIDAD:19 CIUDAD BOLÍVAR, UPZ:69 ISMAEL PERDOMO</v>
          </cell>
          <cell r="R1849">
            <v>2439360</v>
          </cell>
          <cell r="S1849">
            <v>406560</v>
          </cell>
          <cell r="T1849">
            <v>0</v>
          </cell>
          <cell r="U1849">
            <v>2032800</v>
          </cell>
          <cell r="V1849">
            <v>2032800</v>
          </cell>
        </row>
        <row r="1850">
          <cell r="J1850">
            <v>1404</v>
          </cell>
          <cell r="K1850">
            <v>43151</v>
          </cell>
          <cell r="L1850" t="str">
            <v>ORLANDO  RODRIGUEZ ANZOLA</v>
          </cell>
          <cell r="M1850">
            <v>31</v>
          </cell>
          <cell r="N1850" t="str">
            <v>RESOLUCION</v>
          </cell>
          <cell r="O1850">
            <v>1306</v>
          </cell>
          <cell r="P1850">
            <v>43151</v>
          </cell>
          <cell r="Q1850" t="str">
            <v>AYUDA TEMPORAL A LAS FAMILIAS DE VARIAS LOCALIDADES, PARA RELOCALIZACIÓN DE HOGARES LOCALIZADOS EN ZONAS DE ALTO RIESGO NO MITIGABLE ID:2015-Q03-03362, LOCALIDAD:19 CIUDAD BOLÍVAR, UPZ:67 LUCERO, SECTOR:LIMAS</v>
          </cell>
          <cell r="R1850">
            <v>2655780</v>
          </cell>
          <cell r="S1850">
            <v>0</v>
          </cell>
          <cell r="T1850">
            <v>0</v>
          </cell>
          <cell r="U1850">
            <v>2655780</v>
          </cell>
          <cell r="V1850">
            <v>2213150</v>
          </cell>
        </row>
        <row r="1851">
          <cell r="J1851">
            <v>1405</v>
          </cell>
          <cell r="K1851">
            <v>43151</v>
          </cell>
          <cell r="L1851" t="str">
            <v>FABIO NELSON BARRAGAN PERILLA</v>
          </cell>
          <cell r="M1851">
            <v>31</v>
          </cell>
          <cell r="N1851" t="str">
            <v>RESOLUCION</v>
          </cell>
          <cell r="O1851">
            <v>1343</v>
          </cell>
          <cell r="P1851">
            <v>43151</v>
          </cell>
          <cell r="Q1851" t="str">
            <v>AYUDA TEMPORAL A LAS FAMILIAS DE VARIAS LOCALIDADES, PARA RELOCALIZACIÓN DE HOGARES LOCALIZADOS EN ZONAS DE ALTO RIESGO NO MITIGABLE ID:2011-4-12644, LOCALIDAD:04 SAN CRISTÓBAL, UPZ:32 SAN BLAS</v>
          </cell>
          <cell r="R1851">
            <v>2899932</v>
          </cell>
          <cell r="S1851">
            <v>483322</v>
          </cell>
          <cell r="T1851">
            <v>0</v>
          </cell>
          <cell r="U1851">
            <v>2416610</v>
          </cell>
          <cell r="V1851">
            <v>2416610</v>
          </cell>
        </row>
        <row r="1852">
          <cell r="J1852">
            <v>1406</v>
          </cell>
          <cell r="K1852">
            <v>43151</v>
          </cell>
          <cell r="L1852" t="str">
            <v>MARYLIN  REALPE CAMACHO</v>
          </cell>
          <cell r="M1852">
            <v>31</v>
          </cell>
          <cell r="N1852" t="str">
            <v>RESOLUCION</v>
          </cell>
          <cell r="O1852">
            <v>1344</v>
          </cell>
          <cell r="P1852">
            <v>43151</v>
          </cell>
          <cell r="Q1852" t="str">
            <v>AYUDA TEMPORAL A LAS FAMILIAS DE VARIAS LOCALIDADES, PARA RELOCALIZACIÓN DE HOGARES LOCALIZADOS EN ZONAS DE ALTO RIESGO NO MITIGABLE ID:2014-OTR-00877, LOCALIDAD:03 SANTA FE, UPZ:96 LOURDES, SECTOR:CASA 1</v>
          </cell>
          <cell r="R1852">
            <v>2551518</v>
          </cell>
          <cell r="S1852">
            <v>425253</v>
          </cell>
          <cell r="T1852">
            <v>0</v>
          </cell>
          <cell r="U1852">
            <v>2126265</v>
          </cell>
          <cell r="V1852">
            <v>2126265</v>
          </cell>
        </row>
        <row r="1853">
          <cell r="J1853">
            <v>1407</v>
          </cell>
          <cell r="K1853">
            <v>43151</v>
          </cell>
          <cell r="L1853" t="str">
            <v>CLAUDIA MARCELA RUBIO MANCIPE</v>
          </cell>
          <cell r="M1853">
            <v>31</v>
          </cell>
          <cell r="N1853" t="str">
            <v>RESOLUCION</v>
          </cell>
          <cell r="O1853">
            <v>1307</v>
          </cell>
          <cell r="P1853">
            <v>43151</v>
          </cell>
          <cell r="Q1853" t="str">
            <v>AYUDA TEMPORAL A LAS FAMILIAS DE VARIAS LOCALIDADES, PARA RELOCALIZACIÓN DE HOGARES LOCALIZADOS EN ZONAS DE ALTO RIESGO NO MITIGABLE ID:2015-19-14753, LOCALIDAD:19 CIUDAD BOLÍVAR, UPZ:67 LUCERO</v>
          </cell>
          <cell r="R1853">
            <v>2844810</v>
          </cell>
          <cell r="S1853">
            <v>474135</v>
          </cell>
          <cell r="T1853">
            <v>0</v>
          </cell>
          <cell r="U1853">
            <v>2370675</v>
          </cell>
          <cell r="V1853">
            <v>2370675</v>
          </cell>
        </row>
        <row r="1854">
          <cell r="J1854">
            <v>1408</v>
          </cell>
          <cell r="K1854">
            <v>43151</v>
          </cell>
          <cell r="L1854" t="str">
            <v>MARYSOL  ROJAS</v>
          </cell>
          <cell r="M1854">
            <v>31</v>
          </cell>
          <cell r="N1854" t="str">
            <v>RESOLUCION</v>
          </cell>
          <cell r="O1854">
            <v>1308</v>
          </cell>
          <cell r="P1854">
            <v>43151</v>
          </cell>
          <cell r="Q1854" t="str">
            <v>AYUDA TEMPORAL A LAS FAMILIAS DE VARIAS LOCALIDADES, PARA RELOCALIZACIÓN DE HOGARES LOCALIZADOS EN ZONAS DE ALTO RIESGO NO MITIGABLE ID:2014-Q20-01175, LOCALIDAD:04 SAN CRISTÓBAL, UPZ:50 LA GLORIA, SECTOR:LA CHIGUAZA</v>
          </cell>
          <cell r="R1854">
            <v>2358570</v>
          </cell>
          <cell r="S1854">
            <v>393095</v>
          </cell>
          <cell r="T1854">
            <v>0</v>
          </cell>
          <cell r="U1854">
            <v>1965475</v>
          </cell>
          <cell r="V1854">
            <v>1965475</v>
          </cell>
        </row>
        <row r="1855">
          <cell r="J1855">
            <v>1409</v>
          </cell>
          <cell r="K1855">
            <v>43151</v>
          </cell>
          <cell r="L1855" t="str">
            <v>EZEQUIEL  ARISTIZABAL RAMOS</v>
          </cell>
          <cell r="M1855">
            <v>86</v>
          </cell>
          <cell r="N1855" t="str">
            <v>ESCRITURA PUBLICA</v>
          </cell>
          <cell r="O1855">
            <v>1345</v>
          </cell>
          <cell r="P1855">
            <v>43151</v>
          </cell>
          <cell r="Q1855" t="str">
            <v>AYUDA TEMPORAL A LAS FAMILIAS DE VARIAS LOCALIDADES, PARA RELOCALIZACIÓN DE HOGARES LOCALIZADOS EN ZONAS DE ALTO RIESGO NO MITIGABLE ID:2014-OTR-00899, LOCALIDAD:03 SANTA FE, UPZ:96 LOURDES, SECTOR:CASA 3</v>
          </cell>
          <cell r="R1855">
            <v>3014166</v>
          </cell>
          <cell r="S1855">
            <v>3014166</v>
          </cell>
          <cell r="T1855">
            <v>0</v>
          </cell>
          <cell r="U1855">
            <v>0</v>
          </cell>
          <cell r="V1855">
            <v>0</v>
          </cell>
        </row>
        <row r="1856">
          <cell r="J1856">
            <v>1410</v>
          </cell>
          <cell r="K1856">
            <v>43151</v>
          </cell>
          <cell r="L1856" t="str">
            <v>LUCILA  MEDINA</v>
          </cell>
          <cell r="M1856">
            <v>31</v>
          </cell>
          <cell r="N1856" t="str">
            <v>RESOLUCION</v>
          </cell>
          <cell r="O1856">
            <v>1346</v>
          </cell>
          <cell r="P1856">
            <v>43151</v>
          </cell>
          <cell r="Q1856" t="str">
            <v>AYUDA TEMPORAL A LAS FAMILIAS DE VARIAS LOCALIDADES, PARA RELOCALIZACIÓN DE HOGARES LOCALIZADOS EN ZONAS DE ALTO RIESGO NO MITIGABLE ID:2011-4-12683, LOCALIDAD:04 SAN CRISTÓBAL, UPZ:32 SAN BLAS</v>
          </cell>
          <cell r="R1856">
            <v>2474274</v>
          </cell>
          <cell r="S1856">
            <v>412379</v>
          </cell>
          <cell r="T1856">
            <v>0</v>
          </cell>
          <cell r="U1856">
            <v>2061895</v>
          </cell>
          <cell r="V1856">
            <v>2061895</v>
          </cell>
        </row>
        <row r="1857">
          <cell r="J1857">
            <v>1411</v>
          </cell>
          <cell r="K1857">
            <v>43151</v>
          </cell>
          <cell r="L1857" t="str">
            <v>ARQUIMEDES  VEGA ANZOLA</v>
          </cell>
          <cell r="M1857">
            <v>31</v>
          </cell>
          <cell r="N1857" t="str">
            <v>RESOLUCION</v>
          </cell>
          <cell r="O1857">
            <v>1309</v>
          </cell>
          <cell r="P1857">
            <v>43151</v>
          </cell>
          <cell r="Q1857" t="str">
            <v>AYUDA TEMPORAL A LAS FAMILIAS DE VARIAS LOCALIDADES, PARA RELOCALIZACIÓN DE HOGARES LOCALIZADOS EN ZONAS DE ALTO RIESGO NO MITIGABLE ID:2015-D227-00001, LOCALIDAD:04 SAN CRISTÓBAL, UPZ:51 LOS LIBERTADORES, SECTOR:SANTA TERESITA</v>
          </cell>
          <cell r="R1857">
            <v>2474274</v>
          </cell>
          <cell r="S1857">
            <v>412379</v>
          </cell>
          <cell r="T1857">
            <v>0</v>
          </cell>
          <cell r="U1857">
            <v>2061895</v>
          </cell>
          <cell r="V1857">
            <v>2061895</v>
          </cell>
        </row>
        <row r="1858">
          <cell r="J1858">
            <v>1412</v>
          </cell>
          <cell r="K1858">
            <v>43151</v>
          </cell>
          <cell r="L1858" t="str">
            <v>EZEQUIEL  ARISTIZABAL RAMOS</v>
          </cell>
          <cell r="M1858">
            <v>31</v>
          </cell>
          <cell r="N1858" t="str">
            <v>RESOLUCION</v>
          </cell>
          <cell r="O1858">
            <v>1409</v>
          </cell>
          <cell r="P1858">
            <v>43151</v>
          </cell>
          <cell r="Q1858" t="str">
            <v>AYUDA TEMPORAL A LAS FAMILIAS DE VARIAS LOCALIDADES, PARA RELOCALIZACIÓN DE HOGARES LOCALIZADOS EN ZONAS DE ALTO RIESGO NO MITIGABLE ID:2014-OTR-00899, LOCALIDAD:03 SANTA FE, UPZ:96 LOURDES, SECTOR:CASA 3</v>
          </cell>
          <cell r="R1858">
            <v>3014166</v>
          </cell>
          <cell r="S1858">
            <v>3014166</v>
          </cell>
          <cell r="T1858">
            <v>0</v>
          </cell>
          <cell r="U1858">
            <v>0</v>
          </cell>
          <cell r="V1858">
            <v>0</v>
          </cell>
        </row>
        <row r="1859">
          <cell r="J1859">
            <v>1413</v>
          </cell>
          <cell r="K1859">
            <v>43151</v>
          </cell>
          <cell r="L1859" t="str">
            <v>MARIA AURORA BELLO</v>
          </cell>
          <cell r="M1859">
            <v>31</v>
          </cell>
          <cell r="N1859" t="str">
            <v>RESOLUCION</v>
          </cell>
          <cell r="O1859">
            <v>1349</v>
          </cell>
          <cell r="P1859">
            <v>43151</v>
          </cell>
          <cell r="Q1859" t="str">
            <v>AYUDA TEMPORAL A LAS FAMILIAS DE VARIAS LOCALIDADES, PARA RELOCALIZACIÓN DE HOGARES LOCALIZADOS EN ZONAS DE ALTO RIESGO NO MITIGABLE ID:2013-Q21-00419, LOCALIDAD:19 CIUDAD BOLÍVAR, UPZ:67 LUCERO, SECTOR:BRAZO DERECHO DE LIMAS</v>
          </cell>
          <cell r="R1859">
            <v>2706270</v>
          </cell>
          <cell r="S1859">
            <v>451045</v>
          </cell>
          <cell r="T1859">
            <v>0</v>
          </cell>
          <cell r="U1859">
            <v>2255225</v>
          </cell>
          <cell r="V1859">
            <v>2255225</v>
          </cell>
        </row>
        <row r="1860">
          <cell r="J1860">
            <v>1414</v>
          </cell>
          <cell r="K1860">
            <v>43151</v>
          </cell>
          <cell r="L1860" t="str">
            <v>MARIA BEATRIZ NARANJO PATARROYO</v>
          </cell>
          <cell r="M1860">
            <v>31</v>
          </cell>
          <cell r="N1860" t="str">
            <v>RESOLUCION</v>
          </cell>
          <cell r="O1860">
            <v>1310</v>
          </cell>
          <cell r="P1860">
            <v>43151</v>
          </cell>
          <cell r="Q1860" t="str">
            <v>AYUDA TEMPORAL A LAS FAMILIAS DE VARIAS LOCALIDADES, PARA RELOCALIZACIÓN DE HOGARES LOCALIZADOS EN ZONAS DE ALTO RIESGO NO MITIGABLE ID:2014-OTR-00880, LOCALIDAD:03 SANTA FE, UPZ:96 LOURDES, SECTOR:CASA 2</v>
          </cell>
          <cell r="R1860">
            <v>2550450</v>
          </cell>
          <cell r="S1860">
            <v>425075</v>
          </cell>
          <cell r="T1860">
            <v>0</v>
          </cell>
          <cell r="U1860">
            <v>2125375</v>
          </cell>
          <cell r="V1860">
            <v>2125375</v>
          </cell>
        </row>
        <row r="1861">
          <cell r="J1861">
            <v>1415</v>
          </cell>
          <cell r="K1861">
            <v>43151</v>
          </cell>
          <cell r="L1861" t="str">
            <v>BAUDILIO  TOLOZA CASTILLO</v>
          </cell>
          <cell r="M1861">
            <v>31</v>
          </cell>
          <cell r="N1861" t="str">
            <v>RESOLUCION</v>
          </cell>
          <cell r="O1861">
            <v>1291</v>
          </cell>
          <cell r="P1861">
            <v>43151</v>
          </cell>
          <cell r="Q1861" t="str">
            <v>AYUDA TEMPORAL A LAS FAMILIAS DE VARIAS LOCALIDADES, PARA RELOCALIZACIÓN DE HOGARES LOCALIZADOS EN ZONAS DE ALTO RIESGO NO MITIGABLE ID:2014-LC-00790, LOCALIDAD:19 CIUDAD BOLÍVAR, UPZ:69 ISMAEL PERDOMO</v>
          </cell>
          <cell r="R1861">
            <v>2882880</v>
          </cell>
          <cell r="S1861">
            <v>480480</v>
          </cell>
          <cell r="T1861">
            <v>0</v>
          </cell>
          <cell r="U1861">
            <v>2402400</v>
          </cell>
          <cell r="V1861">
            <v>2402400</v>
          </cell>
        </row>
        <row r="1862">
          <cell r="J1862">
            <v>1416</v>
          </cell>
          <cell r="K1862">
            <v>43151</v>
          </cell>
          <cell r="L1862" t="str">
            <v>DIANA MARCELA OSORIO MORALES</v>
          </cell>
          <cell r="M1862">
            <v>31</v>
          </cell>
          <cell r="N1862" t="str">
            <v>RESOLUCION</v>
          </cell>
          <cell r="O1862">
            <v>1292</v>
          </cell>
          <cell r="P1862">
            <v>43151</v>
          </cell>
          <cell r="Q1862" t="str">
            <v>AYUDA TEMPORAL A LAS FAMILIAS DE VARIAS LOCALIDADES, PARA RELOCALIZACIÓN DE HOGARES LOCALIZADOS EN ZONAS DE ALTO RIESGO NO MITIGABLE ID:2014-LC-00791, LOCALIDAD:19 CIUDAD BOLÍVAR, UPZ:69 ISMAEL PERDOMO</v>
          </cell>
          <cell r="R1862">
            <v>2439360</v>
          </cell>
          <cell r="S1862">
            <v>406560</v>
          </cell>
          <cell r="T1862">
            <v>0</v>
          </cell>
          <cell r="U1862">
            <v>2032800</v>
          </cell>
          <cell r="V1862">
            <v>2032800</v>
          </cell>
        </row>
        <row r="1863">
          <cell r="J1863">
            <v>1417</v>
          </cell>
          <cell r="K1863">
            <v>43151</v>
          </cell>
          <cell r="L1863" t="str">
            <v>YURY JOHANNA BRICEÑO MORENO</v>
          </cell>
          <cell r="M1863">
            <v>31</v>
          </cell>
          <cell r="N1863" t="str">
            <v>RESOLUCION</v>
          </cell>
          <cell r="O1863">
            <v>1311</v>
          </cell>
          <cell r="P1863">
            <v>43151</v>
          </cell>
          <cell r="Q1863" t="str">
            <v>AYUDA TEMPORAL A LAS FAMILIAS DE VARIAS LOCALIDADES, PARA RELOCALIZACIÓN DE HOGARES LOCALIZADOS EN ZONAS DE ALTO RIESGO NO MITIGABLE ID:2014-OTR-00910, LOCALIDAD:03 SANTA FE, UPZ:96 LOURDES, SECTOR:CASA 3</v>
          </cell>
          <cell r="R1863">
            <v>2553138</v>
          </cell>
          <cell r="S1863">
            <v>425523</v>
          </cell>
          <cell r="T1863">
            <v>0</v>
          </cell>
          <cell r="U1863">
            <v>2127615</v>
          </cell>
          <cell r="V1863">
            <v>2127615</v>
          </cell>
        </row>
        <row r="1864">
          <cell r="J1864">
            <v>1418</v>
          </cell>
          <cell r="K1864">
            <v>43151</v>
          </cell>
          <cell r="L1864" t="str">
            <v>FLOR MARINA BAQUERO UMAÑA</v>
          </cell>
          <cell r="M1864">
            <v>31</v>
          </cell>
          <cell r="N1864" t="str">
            <v>RESOLUCION</v>
          </cell>
          <cell r="O1864">
            <v>1293</v>
          </cell>
          <cell r="P1864">
            <v>43151</v>
          </cell>
          <cell r="Q1864" t="str">
            <v>AYUDA TEMPORAL A LAS FAMILIAS DE VARIAS LOCALIDADES, PARA RELOCALIZACIÓN DE HOGARES LOCALIZADOS EN ZONAS DE ALTO RIESGO NO MITIGABLE ID:2015-Q03-01481, LOCALIDAD:19 CIUDAD BOLÍVAR, UPZ:66 SAN FRANCISCO, SECTOR:LIMAS</v>
          </cell>
          <cell r="R1864">
            <v>2887073</v>
          </cell>
          <cell r="S1864">
            <v>0</v>
          </cell>
          <cell r="T1864">
            <v>0</v>
          </cell>
          <cell r="U1864">
            <v>2887073</v>
          </cell>
          <cell r="V1864">
            <v>2474634</v>
          </cell>
        </row>
        <row r="1865">
          <cell r="J1865">
            <v>1419</v>
          </cell>
          <cell r="K1865">
            <v>43151</v>
          </cell>
          <cell r="L1865" t="str">
            <v>JUAN EVANGELISTA NARANJO PATARROYO</v>
          </cell>
          <cell r="M1865">
            <v>31</v>
          </cell>
          <cell r="N1865" t="str">
            <v>RESOLUCION</v>
          </cell>
          <cell r="O1865">
            <v>1312</v>
          </cell>
          <cell r="P1865">
            <v>43151</v>
          </cell>
          <cell r="Q1865" t="str">
            <v>AYUDA TEMPORAL A LAS FAMILIAS DE VARIAS LOCALIDADES, PARA RELOCALIZACIÓN DE HOGARES LOCALIZADOS EN ZONAS DE ALTO RIESGO NO MITIGABLE ID:2014-OTR-00886, LOCALIDAD:03 SANTA FE, UPZ:96 LOURDES, SECTOR:CASA 2</v>
          </cell>
          <cell r="R1865">
            <v>3014166</v>
          </cell>
          <cell r="S1865">
            <v>502361</v>
          </cell>
          <cell r="T1865">
            <v>0</v>
          </cell>
          <cell r="U1865">
            <v>2511805</v>
          </cell>
          <cell r="V1865">
            <v>2511805</v>
          </cell>
        </row>
        <row r="1866">
          <cell r="J1866">
            <v>1420</v>
          </cell>
          <cell r="K1866">
            <v>43151</v>
          </cell>
          <cell r="L1866" t="str">
            <v>ALEXANDRA  REY GUTIERREZ</v>
          </cell>
          <cell r="M1866">
            <v>31</v>
          </cell>
          <cell r="N1866" t="str">
            <v>RESOLUCION</v>
          </cell>
          <cell r="O1866">
            <v>1313</v>
          </cell>
          <cell r="P1866">
            <v>43151</v>
          </cell>
          <cell r="Q1866" t="str">
            <v>AYUDA TEMPORAL A LAS FAMILIAS DE VARIAS LOCALIDADES, PARA RELOCALIZACIÓN DE HOGARES LOCALIZADOS EN ZONAS DE ALTO RIESGO NO MITIGABLE ID:2012-T314-05, LOCALIDAD:04 SAN CRISTÓBAL, UPZ:50 LA GLORIA,</v>
          </cell>
          <cell r="R1866">
            <v>3060180</v>
          </cell>
          <cell r="S1866">
            <v>510030</v>
          </cell>
          <cell r="T1866">
            <v>0</v>
          </cell>
          <cell r="U1866">
            <v>2550150</v>
          </cell>
          <cell r="V1866">
            <v>2550150</v>
          </cell>
        </row>
        <row r="1867">
          <cell r="J1867">
            <v>1421</v>
          </cell>
          <cell r="K1867">
            <v>43151</v>
          </cell>
          <cell r="L1867" t="str">
            <v>LUZ MARINA TUNJUELO BARBOSA</v>
          </cell>
          <cell r="M1867">
            <v>31</v>
          </cell>
          <cell r="N1867" t="str">
            <v>RESOLUCION</v>
          </cell>
          <cell r="O1867">
            <v>1314</v>
          </cell>
          <cell r="P1867">
            <v>43151</v>
          </cell>
          <cell r="Q1867" t="str">
            <v>AYUDA TEMPORAL A LAS FAMILIAS DE VARIAS LOCALIDADES, PARA RELOCALIZACIÓN DE HOGARES LOCALIZADOS EN ZONAS DE ALTO RIESGO NO MITIGABLE ID:2011-4-12662, LOCALIDAD:04 SAN CRISTÓBAL, UPZ:32 SAN BLAS, SECTOR:</v>
          </cell>
          <cell r="R1867">
            <v>2590566</v>
          </cell>
          <cell r="S1867">
            <v>431761</v>
          </cell>
          <cell r="T1867">
            <v>0</v>
          </cell>
          <cell r="U1867">
            <v>2158805</v>
          </cell>
          <cell r="V1867">
            <v>2158805</v>
          </cell>
        </row>
        <row r="1868">
          <cell r="J1868">
            <v>1422</v>
          </cell>
          <cell r="K1868">
            <v>43151</v>
          </cell>
          <cell r="L1868" t="str">
            <v>CLARA INES ESCOBAR DE BENAVIDES</v>
          </cell>
          <cell r="M1868">
            <v>31</v>
          </cell>
          <cell r="N1868" t="str">
            <v>RESOLUCION</v>
          </cell>
          <cell r="O1868">
            <v>1315</v>
          </cell>
          <cell r="P1868">
            <v>43151</v>
          </cell>
          <cell r="Q1868" t="str">
            <v>AYUDA TEMPORAL A LAS FAMILIAS DE VARIAS LOCALIDADES, PARA RELOCALIZACIÓN DE HOGARES LOCALIZADOS EN ZONAS DE ALTO RIESGO NO MITIGABLE ID:2014-Q04-00825, LOCALIDAD:19 CIUDAD BOLÍVAR, UPZ:67 LUCERO, SECTOR:PEÑA COLORADA</v>
          </cell>
          <cell r="R1868">
            <v>2706270</v>
          </cell>
          <cell r="S1868">
            <v>451045</v>
          </cell>
          <cell r="T1868">
            <v>0</v>
          </cell>
          <cell r="U1868">
            <v>2255225</v>
          </cell>
          <cell r="V1868">
            <v>2255225</v>
          </cell>
        </row>
        <row r="1869">
          <cell r="J1869">
            <v>1423</v>
          </cell>
          <cell r="K1869">
            <v>43151</v>
          </cell>
          <cell r="L1869" t="str">
            <v>MAURICIO  CAMARGO RODRIGUEZ</v>
          </cell>
          <cell r="M1869">
            <v>31</v>
          </cell>
          <cell r="N1869" t="str">
            <v>RESOLUCION</v>
          </cell>
          <cell r="O1869">
            <v>1316</v>
          </cell>
          <cell r="P1869">
            <v>43151</v>
          </cell>
          <cell r="Q1869" t="str">
            <v>AYUDA TEMPORAL A LAS FAMILIAS DE VARIAS LOCALIDADES, PARA RELOCALIZACIÓN DE HOGARES LOCALIZADOS EN ZONAS DE ALTO RIESGO NO MITIGABLE ID:2014-OTR-01166, LOCALIDAD:11 SUBA, UPZ:71 TIBABUYES, SECTOR:GAVILANES</v>
          </cell>
          <cell r="R1869">
            <v>2586000</v>
          </cell>
          <cell r="S1869">
            <v>431000</v>
          </cell>
          <cell r="T1869">
            <v>0</v>
          </cell>
          <cell r="U1869">
            <v>2155000</v>
          </cell>
          <cell r="V1869">
            <v>2155000</v>
          </cell>
        </row>
        <row r="1870">
          <cell r="J1870">
            <v>1424</v>
          </cell>
          <cell r="K1870">
            <v>43151</v>
          </cell>
          <cell r="L1870" t="str">
            <v>GREGORIA  VARGAS</v>
          </cell>
          <cell r="M1870">
            <v>31</v>
          </cell>
          <cell r="N1870" t="str">
            <v>RESOLUCION</v>
          </cell>
          <cell r="O1870">
            <v>1317</v>
          </cell>
          <cell r="P1870">
            <v>43151</v>
          </cell>
          <cell r="Q1870" t="str">
            <v>AYUDA TEMPORAL A LAS FAMILIAS DE VARIAS LOCALIDADES, PARA RELOCALIZACIÓN DE HOGARES LOCALIZADOS EN ZONAS DE ALTO RIESGO NO MITIGABLE ID:2014-OTR-00872, LOCALIDAD:03 SANTA FE, UPZ:96 LOURDES, SECTOR:CASA 1</v>
          </cell>
          <cell r="R1870">
            <v>2281062</v>
          </cell>
          <cell r="S1870">
            <v>380177</v>
          </cell>
          <cell r="T1870">
            <v>0</v>
          </cell>
          <cell r="U1870">
            <v>1900885</v>
          </cell>
          <cell r="V1870">
            <v>1900885</v>
          </cell>
        </row>
        <row r="1871">
          <cell r="J1871">
            <v>1425</v>
          </cell>
          <cell r="K1871">
            <v>43151</v>
          </cell>
          <cell r="L1871" t="str">
            <v>NELLY ESPERANZA CAMARGO LOZANO</v>
          </cell>
          <cell r="M1871">
            <v>31</v>
          </cell>
          <cell r="N1871" t="str">
            <v>RESOLUCION</v>
          </cell>
          <cell r="O1871">
            <v>1318</v>
          </cell>
          <cell r="P1871">
            <v>43151</v>
          </cell>
          <cell r="Q1871" t="str">
            <v>AYUDA TEMPORAL A LAS FAMILIAS DE VARIAS LOCALIDADES, PARA RELOCALIZACIÓN DE HOGARES LOCALIZADOS EN ZONAS DE ALTO RIESGO NO MITIGABLE ID:2015-3-14763, LOCALIDAD:03 SANTA FE, UPZ:96 LOURDES.</v>
          </cell>
          <cell r="R1871">
            <v>2844810</v>
          </cell>
          <cell r="S1871">
            <v>474135</v>
          </cell>
          <cell r="T1871">
            <v>0</v>
          </cell>
          <cell r="U1871">
            <v>2370675</v>
          </cell>
          <cell r="V1871">
            <v>2370675</v>
          </cell>
        </row>
        <row r="1872">
          <cell r="J1872">
            <v>1426</v>
          </cell>
          <cell r="K1872">
            <v>43151</v>
          </cell>
          <cell r="L1872" t="str">
            <v>EZEQUIEL  ARISTIZABAL RAMOS</v>
          </cell>
          <cell r="M1872">
            <v>31</v>
          </cell>
          <cell r="N1872" t="str">
            <v>RESOLUCION</v>
          </cell>
          <cell r="O1872">
            <v>1345</v>
          </cell>
          <cell r="P1872">
            <v>43151</v>
          </cell>
          <cell r="Q1872" t="str">
            <v>AYUDA TEMPORAL A LAS FAMILIAS DE VARIAS LOCALIDADES, PARA RELOCALIZACIÓN DE HOGARES LOCALIZADOS EN ZONAS DE ALTO RIESGO NO MITIGABLE ID:2014-OTR-00899, LOCALIDAD:03 SANTA FE, UPZ:96 LOURDES, SECTOR:CASA 3</v>
          </cell>
          <cell r="R1872">
            <v>3014166</v>
          </cell>
          <cell r="S1872">
            <v>502361</v>
          </cell>
          <cell r="T1872">
            <v>0</v>
          </cell>
          <cell r="U1872">
            <v>2511805</v>
          </cell>
          <cell r="V1872">
            <v>2511805</v>
          </cell>
        </row>
        <row r="1873">
          <cell r="J1873">
            <v>1427</v>
          </cell>
          <cell r="K1873">
            <v>43151</v>
          </cell>
          <cell r="L1873" t="str">
            <v>MARCELINA  VARGAS GONZALEZ</v>
          </cell>
          <cell r="M1873">
            <v>31</v>
          </cell>
          <cell r="N1873" t="str">
            <v>RESOLUCION</v>
          </cell>
          <cell r="O1873">
            <v>1305</v>
          </cell>
          <cell r="P1873">
            <v>43151</v>
          </cell>
          <cell r="Q1873" t="str">
            <v>AYUDA TEMPORAL A LAS FAMILIAS DE VARIAS LOCALIDADES, PARA RELOCALIZACIÓN DE HOGARES LOCALIZADOS EN ZONAS DE ALTO RIESGO NO MITIGABLE ID:2005-19-5791, LOCALIDAD:19 CIUDAD BOLÍVAR, UPZ:67 LUCERO, SECTOR:LIMAS</v>
          </cell>
          <cell r="R1873">
            <v>3054150</v>
          </cell>
          <cell r="S1873">
            <v>509025</v>
          </cell>
          <cell r="T1873">
            <v>0</v>
          </cell>
          <cell r="U1873">
            <v>2545125</v>
          </cell>
          <cell r="V1873">
            <v>2545125</v>
          </cell>
        </row>
        <row r="1874">
          <cell r="J1874">
            <v>1428</v>
          </cell>
          <cell r="K1874">
            <v>43152</v>
          </cell>
          <cell r="L1874" t="str">
            <v>JOSE IGNACIO MARTINEZ RODRIGUEZ</v>
          </cell>
          <cell r="M1874">
            <v>31</v>
          </cell>
          <cell r="N1874" t="str">
            <v>RESOLUCION</v>
          </cell>
          <cell r="O1874">
            <v>1348</v>
          </cell>
          <cell r="P1874">
            <v>43152</v>
          </cell>
          <cell r="Q1874" t="str">
            <v>AYUDA TEMPORAL A LAS FAMILIAS DE VARIAS LOCALIDADES, PARA RELOCALIZACIÓN DE HOGARES LOCALIZADOS EN ZONAS DE ALTO RIESGO NO MITIGABLE ID:2011-4-12646, LOCALIDAD:04 SAN CRISTÓBAL, UPZ:32 SAN BLAS, SECTOR:</v>
          </cell>
          <cell r="R1874">
            <v>2213148</v>
          </cell>
          <cell r="S1874">
            <v>368858</v>
          </cell>
          <cell r="T1874">
            <v>0</v>
          </cell>
          <cell r="U1874">
            <v>1844290</v>
          </cell>
          <cell r="V1874">
            <v>1844290</v>
          </cell>
        </row>
        <row r="1875">
          <cell r="J1875">
            <v>1429</v>
          </cell>
          <cell r="K1875">
            <v>43152</v>
          </cell>
          <cell r="L1875" t="str">
            <v>BLANCA CONSUELO BEJARANO</v>
          </cell>
          <cell r="M1875">
            <v>31</v>
          </cell>
          <cell r="N1875" t="str">
            <v>RESOLUCION</v>
          </cell>
          <cell r="O1875">
            <v>1319</v>
          </cell>
          <cell r="P1875">
            <v>43152</v>
          </cell>
          <cell r="Q1875" t="str">
            <v>AYUDA TEMPORAL A LAS FAMILIAS DE VARIAS LOCALIDADES, PARA RELOCALIZACIÓN DE HOGARES LOCALIZADOS EN ZONAS DE ALTO RIESGO NO MITIGABLE ID:2005-4-6465, LOCALIDAD:04 SAN CRISTÓBAL, UPZ:51 LOS LIBERTADORES, SECTOR:</v>
          </cell>
          <cell r="R1875">
            <v>2213148</v>
          </cell>
          <cell r="S1875">
            <v>368858</v>
          </cell>
          <cell r="T1875">
            <v>0</v>
          </cell>
          <cell r="U1875">
            <v>1844290</v>
          </cell>
          <cell r="V1875">
            <v>1844290</v>
          </cell>
        </row>
        <row r="1876">
          <cell r="J1876">
            <v>1430</v>
          </cell>
          <cell r="K1876">
            <v>43152</v>
          </cell>
          <cell r="L1876" t="str">
            <v>MARTHA FABIOLA CAMACHO ROJAS</v>
          </cell>
          <cell r="M1876">
            <v>31</v>
          </cell>
          <cell r="N1876" t="str">
            <v>RESOLUCION</v>
          </cell>
          <cell r="O1876">
            <v>1320</v>
          </cell>
          <cell r="P1876">
            <v>43152</v>
          </cell>
          <cell r="Q1876" t="str">
            <v>AYUDA TEMPORAL A LAS FAMILIAS DE VARIAS LOCALIDADES, PARA RELOCALIZACIÓN DE HOGARES LOCALIZADOS EN ZONAS DE ALTO RIESGO NO MITIGABLE ID:2014-OTR-00871, LOCALIDAD:03 SANTA FE, UPZ:96 LOURDES, SECTOR:CASA 1</v>
          </cell>
          <cell r="R1876">
            <v>2550450</v>
          </cell>
          <cell r="S1876">
            <v>425075</v>
          </cell>
          <cell r="T1876">
            <v>0</v>
          </cell>
          <cell r="U1876">
            <v>2125375</v>
          </cell>
          <cell r="V1876">
            <v>2125375</v>
          </cell>
        </row>
        <row r="1877">
          <cell r="J1877">
            <v>1431</v>
          </cell>
          <cell r="K1877">
            <v>43152</v>
          </cell>
          <cell r="L1877" t="str">
            <v>EZEQUIEL  TORRES</v>
          </cell>
          <cell r="M1877">
            <v>31</v>
          </cell>
          <cell r="N1877" t="str">
            <v>RESOLUCION</v>
          </cell>
          <cell r="O1877">
            <v>1321</v>
          </cell>
          <cell r="P1877">
            <v>43152</v>
          </cell>
          <cell r="Q1877" t="str">
            <v>AYUDA TEMPORAL A LAS FAMILIAS DE VARIAS LOCALIDADES, PARA RELOCALIZACIÓN DE HOGARES LOCALIZADOS EN ZONAS DE ALTO RIESGO NO MITIGABLE ID:2014-OTR-00889, LOCALIDAD:03 SANTA FE, UPZ:96 LOURDES, SECTOR:CASA 2</v>
          </cell>
          <cell r="R1877">
            <v>2213148</v>
          </cell>
          <cell r="S1877">
            <v>368858</v>
          </cell>
          <cell r="T1877">
            <v>0</v>
          </cell>
          <cell r="U1877">
            <v>1844290</v>
          </cell>
          <cell r="V1877">
            <v>1844290</v>
          </cell>
        </row>
        <row r="1878">
          <cell r="J1878">
            <v>1432</v>
          </cell>
          <cell r="K1878">
            <v>43152</v>
          </cell>
          <cell r="L1878" t="str">
            <v>JOSE FERNANDO MENDEZ GARCIA</v>
          </cell>
          <cell r="M1878">
            <v>31</v>
          </cell>
          <cell r="N1878" t="str">
            <v>RESOLUCION</v>
          </cell>
          <cell r="O1878">
            <v>1322</v>
          </cell>
          <cell r="P1878">
            <v>43152</v>
          </cell>
          <cell r="Q1878" t="str">
            <v>AYUDA TEMPORAL A LAS FAMILIAS DE VARIAS LOCALIDADES, PARA RELOCALIZACIÓN DE HOGARES LOCALIZADOS EN ZONAS DE ALTO RIESGO NO MITIGABLE ID:2014-OTR-00902, LOCALIDAD:03 SANTA FE, UPZ:96 LOURDES, SECTOR:CASA 3</v>
          </cell>
          <cell r="R1878">
            <v>2744310</v>
          </cell>
          <cell r="S1878">
            <v>457385</v>
          </cell>
          <cell r="T1878">
            <v>0</v>
          </cell>
          <cell r="U1878">
            <v>2286925</v>
          </cell>
          <cell r="V1878">
            <v>2286925</v>
          </cell>
        </row>
        <row r="1879">
          <cell r="J1879">
            <v>1433</v>
          </cell>
          <cell r="K1879">
            <v>43152</v>
          </cell>
          <cell r="L1879" t="str">
            <v>SANDRA  GORDILLO CARREÑO</v>
          </cell>
          <cell r="M1879">
            <v>31</v>
          </cell>
          <cell r="N1879" t="str">
            <v>RESOLUCION</v>
          </cell>
          <cell r="O1879">
            <v>1323</v>
          </cell>
          <cell r="P1879">
            <v>43152</v>
          </cell>
          <cell r="Q1879" t="str">
            <v>AYUDA TEMPORAL A LAS FAMILIAS DE VARIAS LOCALIDADES, PARA RELOCALIZACIÓN DE HOGARES LOCALIZADOS EN ZONAS DE ALTO RIESGO NO MITIGABLE ID:2011-4-12655, LOCALIDAD:04 SAN CRISTÓBAL, UPZ:32 SAN BLAS, SECTOR:</v>
          </cell>
          <cell r="R1879">
            <v>3170214</v>
          </cell>
          <cell r="S1879">
            <v>528369</v>
          </cell>
          <cell r="T1879">
            <v>0</v>
          </cell>
          <cell r="U1879">
            <v>2641845</v>
          </cell>
          <cell r="V1879">
            <v>2641845</v>
          </cell>
        </row>
        <row r="1880">
          <cell r="J1880">
            <v>1434</v>
          </cell>
          <cell r="K1880">
            <v>43152</v>
          </cell>
          <cell r="L1880" t="str">
            <v>LINA ANDREA MENDEZ GARCIA</v>
          </cell>
          <cell r="M1880">
            <v>31</v>
          </cell>
          <cell r="N1880" t="str">
            <v>RESOLUCION</v>
          </cell>
          <cell r="O1880">
            <v>1324</v>
          </cell>
          <cell r="P1880">
            <v>43152</v>
          </cell>
          <cell r="Q1880" t="str">
            <v>AYUDA TEMPORAL A LAS FAMILIAS DE VARIAS LOCALIDADES, PARA RELOCALIZACIÓN DE HOGARES LOCALIZADOS EN ZONAS DE ALTO RIESGO NO MITIGABLE ID:2014-OTR-00903, LOCALIDAD:03 SANTA FE, UPZ:96 LOURDES, SECTOR:CASA 3</v>
          </cell>
          <cell r="R1880">
            <v>3479664</v>
          </cell>
          <cell r="S1880">
            <v>579944</v>
          </cell>
          <cell r="T1880">
            <v>0</v>
          </cell>
          <cell r="U1880">
            <v>2899720</v>
          </cell>
          <cell r="V1880">
            <v>2899720</v>
          </cell>
        </row>
        <row r="1881">
          <cell r="J1881">
            <v>1435</v>
          </cell>
          <cell r="K1881">
            <v>43152</v>
          </cell>
          <cell r="L1881" t="str">
            <v>YAMILE  MENDEZ</v>
          </cell>
          <cell r="M1881">
            <v>31</v>
          </cell>
          <cell r="N1881" t="str">
            <v>RESOLUCION</v>
          </cell>
          <cell r="O1881">
            <v>1325</v>
          </cell>
          <cell r="P1881">
            <v>43152</v>
          </cell>
          <cell r="Q1881" t="str">
            <v>AYUDA TEMPORAL A LAS FAMILIAS DE VARIAS LOCALIDADES, PARA RELOCALIZACIÓN DE HOGARES LOCALIZADOS EN ZONAS DE ALTO RIESGO NO MITIGABLE ID:2012-ALES-132, LOCALIDAD:19 CIUDAD BOLÍVAR, UPZ:69 ISMAEL PERDOMO, SECTOR:ALTOS DE LA ESTANCIA</v>
          </cell>
          <cell r="R1881">
            <v>2586000</v>
          </cell>
          <cell r="S1881">
            <v>431000</v>
          </cell>
          <cell r="T1881">
            <v>0</v>
          </cell>
          <cell r="U1881">
            <v>2155000</v>
          </cell>
          <cell r="V1881">
            <v>2155000</v>
          </cell>
        </row>
        <row r="1882">
          <cell r="J1882">
            <v>1436</v>
          </cell>
          <cell r="K1882">
            <v>43152</v>
          </cell>
          <cell r="L1882" t="str">
            <v>YAMILE  CESPEDES JIMENEZ</v>
          </cell>
          <cell r="M1882">
            <v>31</v>
          </cell>
          <cell r="N1882" t="str">
            <v>RESOLUCION</v>
          </cell>
          <cell r="O1882">
            <v>21022018</v>
          </cell>
          <cell r="P1882">
            <v>43152</v>
          </cell>
          <cell r="Q1882" t="str">
            <v>AYUDA TEMPORAL A LAS FAMILIAS DE VARIAS LOCALIDADES, PARA RELOCALIZACIÓN DE HOGARES LOCALIZADOS EN ZONAS DE ALTO RIESGO NO MITIGABLE ID:2014-OTR-00895, LOCALIDAD:03 SANTA FE, UPZ:96 LOURDES, SECTOR:CASA 3</v>
          </cell>
          <cell r="R1882">
            <v>3014166</v>
          </cell>
          <cell r="S1882">
            <v>3014166</v>
          </cell>
          <cell r="T1882">
            <v>0</v>
          </cell>
          <cell r="U1882">
            <v>0</v>
          </cell>
          <cell r="V1882">
            <v>0</v>
          </cell>
        </row>
        <row r="1883">
          <cell r="J1883">
            <v>1437</v>
          </cell>
          <cell r="K1883">
            <v>43152</v>
          </cell>
          <cell r="L1883" t="str">
            <v>MARIA MARGARITA ACERO DE MORENO</v>
          </cell>
          <cell r="M1883">
            <v>31</v>
          </cell>
          <cell r="N1883" t="str">
            <v>RESOLUCION</v>
          </cell>
          <cell r="O1883">
            <v>1295</v>
          </cell>
          <cell r="P1883">
            <v>43152</v>
          </cell>
          <cell r="Q1883" t="str">
            <v>AYUDA TEMPORAL A LAS FAMILIAS DE VARIAS LOCALIDADES, PARA RELOCALIZACIÓN DE HOGARES LOCALIZADOS EN ZONAS DE ALTO RIESGO NO MITIGABLE ID:2014-Q03-00994, LOCALIDAD:19 CIUDAD BOLÍVAR, UPZ:66 SAN FRANCISCO, SECTOR:LIMAS</v>
          </cell>
          <cell r="R1883">
            <v>2217222</v>
          </cell>
          <cell r="S1883">
            <v>369537</v>
          </cell>
          <cell r="T1883">
            <v>0</v>
          </cell>
          <cell r="U1883">
            <v>1847685</v>
          </cell>
          <cell r="V1883">
            <v>1847685</v>
          </cell>
        </row>
        <row r="1884">
          <cell r="J1884">
            <v>1438</v>
          </cell>
          <cell r="K1884">
            <v>43152</v>
          </cell>
          <cell r="L1884" t="str">
            <v>ANGIE CENID TAPIA LOZANO</v>
          </cell>
          <cell r="M1884">
            <v>31</v>
          </cell>
          <cell r="N1884" t="str">
            <v>RESOLUCION</v>
          </cell>
          <cell r="O1884">
            <v>1296</v>
          </cell>
          <cell r="P1884">
            <v>43152</v>
          </cell>
          <cell r="Q1884" t="str">
            <v>AYUDA TEMPORAL A LAS FAMILIAS DE VARIAS LOCALIDADES, PARA RELOCALIZACIÓN DE HOGARES LOCALIZADOS EN ZONAS DE ALTO RIESGO NO MITIGABLE ID:2015-Q03-01486, LOCALIDAD:19 CIUDAD BOLÍVAR, UPZ:66 SAN FRANCISCO, SECTOR:LIMAS</v>
          </cell>
          <cell r="R1884">
            <v>2213148</v>
          </cell>
          <cell r="S1884">
            <v>0</v>
          </cell>
          <cell r="T1884">
            <v>0</v>
          </cell>
          <cell r="U1884">
            <v>2213148</v>
          </cell>
          <cell r="V1884">
            <v>1844290</v>
          </cell>
        </row>
        <row r="1885">
          <cell r="J1885">
            <v>1439</v>
          </cell>
          <cell r="K1885">
            <v>43152</v>
          </cell>
          <cell r="L1885" t="str">
            <v>MARISOL  BURGOS</v>
          </cell>
          <cell r="M1885">
            <v>31</v>
          </cell>
          <cell r="N1885" t="str">
            <v>RESOLUCION</v>
          </cell>
          <cell r="O1885">
            <v>1297</v>
          </cell>
          <cell r="P1885">
            <v>43152</v>
          </cell>
          <cell r="Q1885" t="str">
            <v>AYUDA TEMPORAL A LAS FAMILIAS DE VARIAS LOCALIDADES, PARA RELOCALIZACIÓN DE HOGARES LOCALIZADOS EN ZONAS DE ALTO RIESGO NO MITIGABLE ID:2014-LC-00813, LOCALIDAD:19 CIUDAD BOLÍVAR, UPZ:69 ISMAEL PERDOMO</v>
          </cell>
          <cell r="R1885">
            <v>2590566</v>
          </cell>
          <cell r="S1885">
            <v>431761</v>
          </cell>
          <cell r="T1885">
            <v>0</v>
          </cell>
          <cell r="U1885">
            <v>2158805</v>
          </cell>
          <cell r="V1885">
            <v>2158805</v>
          </cell>
        </row>
        <row r="1886">
          <cell r="J1886">
            <v>1440</v>
          </cell>
          <cell r="K1886">
            <v>43152</v>
          </cell>
          <cell r="L1886" t="str">
            <v>JOSE ANGEL TORRES SAGANOME</v>
          </cell>
          <cell r="M1886">
            <v>31</v>
          </cell>
          <cell r="N1886" t="str">
            <v>RESOLUCION</v>
          </cell>
          <cell r="O1886">
            <v>1298</v>
          </cell>
          <cell r="P1886">
            <v>43152</v>
          </cell>
          <cell r="Q1886" t="str">
            <v>AYUDA TEMPORAL A LAS FAMILIAS DE VARIAS LOCALIDADES, PARA RELOCALIZACIÓN DE HOGARES LOCALIZADOS EN ZONAS DE ALTO RIESGO NO MITIGABLE ID:2014-OTR-01149, LOCALIDAD:11 SUBA, UPZ:71 TIBABUYES, SECTOR:GAVILANES</v>
          </cell>
          <cell r="R1886">
            <v>2550450</v>
          </cell>
          <cell r="S1886">
            <v>0</v>
          </cell>
          <cell r="T1886">
            <v>0</v>
          </cell>
          <cell r="U1886">
            <v>2550450</v>
          </cell>
          <cell r="V1886">
            <v>1275225</v>
          </cell>
        </row>
        <row r="1887">
          <cell r="J1887">
            <v>1441</v>
          </cell>
          <cell r="K1887">
            <v>43152</v>
          </cell>
          <cell r="L1887" t="str">
            <v>ROSA ELENA TORRES MOLINA</v>
          </cell>
          <cell r="M1887">
            <v>31</v>
          </cell>
          <cell r="N1887" t="str">
            <v>RESOLUCION</v>
          </cell>
          <cell r="O1887">
            <v>1326</v>
          </cell>
          <cell r="P1887">
            <v>43152</v>
          </cell>
          <cell r="Q1887" t="str">
            <v>AYUDA TEMPORAL A LAS FAMILIAS DE VARIAS LOCALIDADES, PARA RELOCALIZACIÓN DE HOGARES LOCALIZADOS EN ZONAS DE ALTO RIESGO NO MITIGABLE ID:2011-4-12715, LOCALIDAD:04 SAN CRISTÓBAL, UPZ:32 SAN BLAS, SECTOR:</v>
          </cell>
          <cell r="R1887">
            <v>2390202</v>
          </cell>
          <cell r="S1887">
            <v>398367</v>
          </cell>
          <cell r="T1887">
            <v>0</v>
          </cell>
          <cell r="U1887">
            <v>1991835</v>
          </cell>
          <cell r="V1887">
            <v>1991835</v>
          </cell>
        </row>
        <row r="1888">
          <cell r="J1888">
            <v>1442</v>
          </cell>
          <cell r="K1888">
            <v>43152</v>
          </cell>
          <cell r="L1888" t="str">
            <v>ERIKA LILIANA LAGUNA CUELLAR</v>
          </cell>
          <cell r="M1888">
            <v>31</v>
          </cell>
          <cell r="N1888" t="str">
            <v>RESOLUCION</v>
          </cell>
          <cell r="O1888">
            <v>1327</v>
          </cell>
          <cell r="P1888">
            <v>43152</v>
          </cell>
          <cell r="Q1888" t="str">
            <v>AYUDA TEMPORAL A LAS FAMILIAS DE VARIAS LOCALIDADES, PARA RELOCALIZACIÓN DE HOGARES LOCALIZADOS EN ZONAS DE ALTO RIESGO NO MITIGABLE ID:2014-Q09-01199, LOCALIDAD:19 CIUDAD BOLÍVAR, UPZ:67 LUCERO, SECTOR:QUEBRADA TROMPETA</v>
          </cell>
          <cell r="R1888">
            <v>2877096</v>
          </cell>
          <cell r="S1888">
            <v>479516</v>
          </cell>
          <cell r="T1888">
            <v>0</v>
          </cell>
          <cell r="U1888">
            <v>2397580</v>
          </cell>
          <cell r="V1888">
            <v>2397580</v>
          </cell>
        </row>
        <row r="1889">
          <cell r="J1889">
            <v>1443</v>
          </cell>
          <cell r="K1889">
            <v>43152</v>
          </cell>
          <cell r="L1889" t="str">
            <v>IDALI  GUZMAN ROCHA</v>
          </cell>
          <cell r="M1889">
            <v>31</v>
          </cell>
          <cell r="N1889" t="str">
            <v>RESOLUCION</v>
          </cell>
          <cell r="O1889">
            <v>1328</v>
          </cell>
          <cell r="P1889">
            <v>43152</v>
          </cell>
          <cell r="Q1889" t="str">
            <v>AYUDA TEMPORAL A LAS FAMILIAS DE VARIAS LOCALIDADES, PARA RELOCALIZACIÓN DE HOGARES LOCALIZADOS EN ZONAS DE ALTO RIESGO NO MITIGABLE ID:2014-Q09-01208, LOCALIDAD:19 CIUDAD BOLÍVAR, UPZ:67 LUCERO, SECTOR:QUEBRADA TROMPETA</v>
          </cell>
          <cell r="R1889">
            <v>2539035</v>
          </cell>
          <cell r="S1889">
            <v>0</v>
          </cell>
          <cell r="T1889">
            <v>0</v>
          </cell>
          <cell r="U1889">
            <v>2539035</v>
          </cell>
          <cell r="V1889">
            <v>1523421</v>
          </cell>
        </row>
        <row r="1890">
          <cell r="J1890">
            <v>1444</v>
          </cell>
          <cell r="K1890">
            <v>43152</v>
          </cell>
          <cell r="L1890" t="str">
            <v>JOSE MONZAIDE MAHECHA GONZALEZ</v>
          </cell>
          <cell r="M1890">
            <v>31</v>
          </cell>
          <cell r="N1890" t="str">
            <v>RESOLUCION</v>
          </cell>
          <cell r="O1890">
            <v>1300</v>
          </cell>
          <cell r="P1890">
            <v>43152</v>
          </cell>
          <cell r="Q1890" t="str">
            <v>AYUDA TEMPORAL A LAS FAMILIAS DE VARIAS LOCALIDADES, PARA RELOCALIZACIÓN DE HOGARES LOCALIZADOS EN ZONAS DE ALTO RIESGO NO MITIGABLE ID:2011-4-12667, LOCALIDAD:04 SAN CRISTÓBAL, UPZ:32 SAN BLAS.</v>
          </cell>
          <cell r="R1890">
            <v>2301678</v>
          </cell>
          <cell r="S1890">
            <v>383613</v>
          </cell>
          <cell r="T1890">
            <v>0</v>
          </cell>
          <cell r="U1890">
            <v>1918065</v>
          </cell>
          <cell r="V1890">
            <v>1918065</v>
          </cell>
        </row>
        <row r="1891">
          <cell r="J1891">
            <v>1445</v>
          </cell>
          <cell r="K1891">
            <v>43152</v>
          </cell>
          <cell r="L1891" t="str">
            <v>GLORIA INES MEJIA VARGAS</v>
          </cell>
          <cell r="M1891">
            <v>31</v>
          </cell>
          <cell r="N1891" t="str">
            <v>RESOLUCION</v>
          </cell>
          <cell r="O1891">
            <v>1301</v>
          </cell>
          <cell r="P1891">
            <v>43152</v>
          </cell>
          <cell r="Q1891" t="str">
            <v>AYUDA TEMPORAL A LAS FAMILIAS DE VARIAS LOCALIDADES, PARA RELOCALIZACIÓN DE HOGARES LOCALIZADOS EN ZONAS DE ALTO RIESGO NO MITIGABLE ID:2012-T314-11, LOCALIDAD:04 SAN CRISTÓBAL, UPZ:50 LA GLORIA.</v>
          </cell>
          <cell r="R1891">
            <v>2590566</v>
          </cell>
          <cell r="S1891">
            <v>431761</v>
          </cell>
          <cell r="T1891">
            <v>0</v>
          </cell>
          <cell r="U1891">
            <v>2158805</v>
          </cell>
          <cell r="V1891">
            <v>2158805</v>
          </cell>
        </row>
        <row r="1892">
          <cell r="J1892">
            <v>1446</v>
          </cell>
          <cell r="K1892">
            <v>43152</v>
          </cell>
          <cell r="L1892" t="str">
            <v>HERMENCIA EMILIA CASTAÑEDA BERNAL</v>
          </cell>
          <cell r="M1892">
            <v>31</v>
          </cell>
          <cell r="N1892" t="str">
            <v>RESOLUCION</v>
          </cell>
          <cell r="O1892">
            <v>1302</v>
          </cell>
          <cell r="P1892">
            <v>43152</v>
          </cell>
          <cell r="Q1892" t="str">
            <v>AYUDA TEMPORAL A LAS FAMILIAS DE VARIAS LOCALIDADES, PARA RELOCALIZACIÓN DE HOGARES LOCALIZADOS EN ZONAS DE ALTO RIESGO NO MITIGABLE ID:2012-19-14070, LOCALIDAD:19 CIUDAD BOLÍVAR, UPZ:68 EL TESORO, SECTOR:QUEBRADA TROMPETA</v>
          </cell>
          <cell r="R1892">
            <v>2892240</v>
          </cell>
          <cell r="S1892">
            <v>482040</v>
          </cell>
          <cell r="T1892">
            <v>0</v>
          </cell>
          <cell r="U1892">
            <v>2410200</v>
          </cell>
          <cell r="V1892">
            <v>2410200</v>
          </cell>
        </row>
        <row r="1893">
          <cell r="J1893">
            <v>1447</v>
          </cell>
          <cell r="K1893">
            <v>43152</v>
          </cell>
          <cell r="L1893" t="str">
            <v>OSWALDO ANTONIO GARCIA GOMEZ</v>
          </cell>
          <cell r="M1893">
            <v>31</v>
          </cell>
          <cell r="N1893" t="str">
            <v>RESOLUCION</v>
          </cell>
          <cell r="O1893">
            <v>1303</v>
          </cell>
          <cell r="P1893">
            <v>43152</v>
          </cell>
          <cell r="Q1893" t="str">
            <v>AYUDA TEMPORAL A LAS FAMILIAS DE VARIAS LOCALIDADES, PARA RELOCALIZACIÓN DE HOGARES LOCALIZADOS EN ZONAS DE ALTO RIESGO NO MITIGABLE ID:2011-4-12691, LOCALIDAD:04 SAN CRISTÓBAL, UPZ:32 SAN BLAS.</v>
          </cell>
          <cell r="R1893">
            <v>3093150</v>
          </cell>
          <cell r="S1893">
            <v>515525</v>
          </cell>
          <cell r="T1893">
            <v>0</v>
          </cell>
          <cell r="U1893">
            <v>2577625</v>
          </cell>
          <cell r="V1893">
            <v>2577625</v>
          </cell>
        </row>
        <row r="1894">
          <cell r="J1894">
            <v>1448</v>
          </cell>
          <cell r="K1894">
            <v>43152</v>
          </cell>
          <cell r="L1894" t="str">
            <v>INGRID YULIET BARRAGAN CARVAJAL</v>
          </cell>
          <cell r="M1894">
            <v>31</v>
          </cell>
          <cell r="N1894" t="str">
            <v>RESOLUCION</v>
          </cell>
          <cell r="O1894">
            <v>1304</v>
          </cell>
          <cell r="P1894">
            <v>43152</v>
          </cell>
          <cell r="Q1894" t="str">
            <v>AYUDA TEMPORAL A LAS FAMILIAS DE VARIAS LOCALIDADES, PARA RELOCALIZACIÓN DE HOGARES LOCALIZADOS EN ZONAS DE ALTO RIESGO NO MITIGABLE ID:2014-LC-00792, LOCALIDAD:19 CIUDAD BOLÍVAR, UPZ:69 ISMAEL PERDOMO.</v>
          </cell>
          <cell r="R1894">
            <v>2439960</v>
          </cell>
          <cell r="S1894">
            <v>406660</v>
          </cell>
          <cell r="T1894">
            <v>0</v>
          </cell>
          <cell r="U1894">
            <v>2033300</v>
          </cell>
          <cell r="V1894">
            <v>2033300</v>
          </cell>
        </row>
        <row r="1895">
          <cell r="J1895">
            <v>1449</v>
          </cell>
          <cell r="K1895">
            <v>43152</v>
          </cell>
          <cell r="L1895" t="str">
            <v>OMAIRA  VANEGAS QUINCHO</v>
          </cell>
          <cell r="M1895">
            <v>31</v>
          </cell>
          <cell r="N1895" t="str">
            <v>RESOLUCION</v>
          </cell>
          <cell r="O1895">
            <v>1329</v>
          </cell>
          <cell r="P1895">
            <v>43152</v>
          </cell>
          <cell r="Q1895" t="str">
            <v>AYUDA TEMPORAL A LAS FAMILIAS DE VARIAS LOCALIDADES, PARA RELOCALIZACIÓN DE HOGARES LOCALIZADOS EN ZONAS DE ALTO RIESGO NO MITIGABLE ID:2013000263, LOCALIDAD:04 SAN CRISTÓBAL, UPZ:51 LOS LIBERTADORES, SECTOR:QUEBRADA VEREJONES</v>
          </cell>
          <cell r="R1895">
            <v>4310000</v>
          </cell>
          <cell r="S1895">
            <v>0</v>
          </cell>
          <cell r="T1895">
            <v>0</v>
          </cell>
          <cell r="U1895">
            <v>4310000</v>
          </cell>
          <cell r="V1895">
            <v>2586000</v>
          </cell>
        </row>
        <row r="1896">
          <cell r="J1896">
            <v>1450</v>
          </cell>
          <cell r="K1896">
            <v>43152</v>
          </cell>
          <cell r="L1896" t="str">
            <v>GLORIA  NIÑO VILLALBA</v>
          </cell>
          <cell r="M1896">
            <v>31</v>
          </cell>
          <cell r="N1896" t="str">
            <v>RESOLUCION</v>
          </cell>
          <cell r="O1896">
            <v>1330</v>
          </cell>
          <cell r="P1896">
            <v>43152</v>
          </cell>
          <cell r="Q1896" t="str">
            <v>AYUDA TEMPORAL A LAS FAMILIAS DE VARIAS LOCALIDADES, PARA RELOCALIZACIÓN DE HOGARES LOCALIZADOS EN ZONAS DE ALTO RIESGO NO MITIGABLE ID:2014-OTR-00897, LOCALIDAD:03 SANTA FE, UPZ:96 LOURDES, SECTOR:CASA 3</v>
          </cell>
          <cell r="R1896">
            <v>2551518</v>
          </cell>
          <cell r="S1896">
            <v>425253</v>
          </cell>
          <cell r="T1896">
            <v>0</v>
          </cell>
          <cell r="U1896">
            <v>2126265</v>
          </cell>
          <cell r="V1896">
            <v>2126265</v>
          </cell>
        </row>
        <row r="1897">
          <cell r="J1897">
            <v>1451</v>
          </cell>
          <cell r="K1897">
            <v>43152</v>
          </cell>
          <cell r="L1897" t="str">
            <v>YAMILE  CESPEDES JIMENEZ</v>
          </cell>
          <cell r="M1897">
            <v>31</v>
          </cell>
          <cell r="N1897" t="str">
            <v>RESOLUCION</v>
          </cell>
          <cell r="O1897">
            <v>1294</v>
          </cell>
          <cell r="P1897">
            <v>43152</v>
          </cell>
          <cell r="Q1897" t="str">
            <v>AYUDA TEMPORAL A LAS FAMILIAS DE VARIAS LOCALIDADES, PARA RELOCALIZACIÓN DE HOGARES LOCALIZADOS EN ZONAS DE ALTO RIESGO NO MITIGABLE ID:2014-OTR-00895, LOCALIDAD:03 SANTA FE, UPZ:96 LOURDES, SECTOR:CASA 3</v>
          </cell>
          <cell r="R1897">
            <v>3014166</v>
          </cell>
          <cell r="S1897">
            <v>502361</v>
          </cell>
          <cell r="T1897">
            <v>0</v>
          </cell>
          <cell r="U1897">
            <v>2511805</v>
          </cell>
          <cell r="V1897">
            <v>2511805</v>
          </cell>
        </row>
        <row r="1898">
          <cell r="J1898">
            <v>1452</v>
          </cell>
          <cell r="K1898">
            <v>43152</v>
          </cell>
          <cell r="L1898" t="str">
            <v>MARIA NIBIA HERNANDEZ MUNEVAR</v>
          </cell>
          <cell r="M1898">
            <v>31</v>
          </cell>
          <cell r="N1898" t="str">
            <v>RESOLUCION</v>
          </cell>
          <cell r="O1898">
            <v>1331</v>
          </cell>
          <cell r="P1898">
            <v>43152</v>
          </cell>
          <cell r="Q1898" t="str">
            <v>AYUDA TEMPORAL A LAS FAMILIAS DE VARIAS LOCALIDADES, PARA RELOCALIZACIÓN DE HOGARES LOCALIZADOS EN ZONAS DE ALTO RIESGO NO MITIGABLE ID:2011-4-12642, LOCALIDAD:04 SAN CRISTÓBAL, UPZ:32 SAN BLAS, SECTOR:</v>
          </cell>
          <cell r="R1898">
            <v>2213148</v>
          </cell>
          <cell r="S1898">
            <v>368858</v>
          </cell>
          <cell r="T1898">
            <v>0</v>
          </cell>
          <cell r="U1898">
            <v>1844290</v>
          </cell>
          <cell r="V1898">
            <v>1844290</v>
          </cell>
        </row>
        <row r="1899">
          <cell r="J1899">
            <v>1453</v>
          </cell>
          <cell r="K1899">
            <v>43152</v>
          </cell>
          <cell r="L1899" t="str">
            <v>MARIA DE LOS ANGELES LOPEZ RUIZ</v>
          </cell>
          <cell r="M1899">
            <v>31</v>
          </cell>
          <cell r="N1899" t="str">
            <v>RESOLUCION</v>
          </cell>
          <cell r="O1899">
            <v>1332</v>
          </cell>
          <cell r="P1899">
            <v>43152</v>
          </cell>
          <cell r="Q1899" t="str">
            <v>AYUDA TEMPORAL A LAS FAMILIAS DE VARIAS LOCALIDADES, PARA RELOCALIZACIÓN DE HOGARES LOCALIZADOS EN ZONAS DE ALTO RIESGO NO MITIGABLE ID:2012-ALES-131, LOCALIDAD:19 CIUDAD BOLÍVAR, UPZ:69 ISMAEL PERDOMO, SECTOR:</v>
          </cell>
          <cell r="R1899">
            <v>3102000</v>
          </cell>
          <cell r="S1899">
            <v>517000</v>
          </cell>
          <cell r="T1899">
            <v>0</v>
          </cell>
          <cell r="U1899">
            <v>2585000</v>
          </cell>
          <cell r="V1899">
            <v>2585000</v>
          </cell>
        </row>
        <row r="1900">
          <cell r="J1900">
            <v>1454</v>
          </cell>
          <cell r="K1900">
            <v>43152</v>
          </cell>
          <cell r="L1900" t="str">
            <v>JOHAN MANUEL TORRES GALINDO</v>
          </cell>
          <cell r="M1900">
            <v>31</v>
          </cell>
          <cell r="N1900" t="str">
            <v>RESOLUCION</v>
          </cell>
          <cell r="O1900">
            <v>1355</v>
          </cell>
          <cell r="P1900">
            <v>43152</v>
          </cell>
          <cell r="Q1900" t="str">
            <v>Asignacion del instrumento financiero a las familias ocupantes del predio que hayan superado la fase de verificacion dentro  del marco del Decreto 457 de 2017. LOCALIDAD: KENNEDY; BARRIO: VEREDITAS; ID: 2018-8-383909</v>
          </cell>
          <cell r="R1900">
            <v>54686940</v>
          </cell>
          <cell r="S1900">
            <v>0</v>
          </cell>
          <cell r="T1900">
            <v>0</v>
          </cell>
          <cell r="U1900">
            <v>54686940</v>
          </cell>
          <cell r="V1900">
            <v>54686940</v>
          </cell>
        </row>
        <row r="1901">
          <cell r="J1901">
            <v>1455</v>
          </cell>
          <cell r="K1901">
            <v>43153</v>
          </cell>
          <cell r="L1901" t="str">
            <v>JUAN CARLOS LOPEZ RODRIGUEZ</v>
          </cell>
          <cell r="M1901">
            <v>31</v>
          </cell>
          <cell r="N1901" t="str">
            <v>RESOLUCION</v>
          </cell>
          <cell r="O1901">
            <v>1357</v>
          </cell>
          <cell r="P1901">
            <v>43153</v>
          </cell>
          <cell r="Q1901" t="str">
            <v>Asignacion del instrumento financiero a las familias ocupantes del predio que hayan superado la fase de verificacion dentro  del marco del Decreto 457 de 2017. LOCALIDAD: KENNEDY; BARRIO: VEREDITAS; ID: 2017-8-383811</v>
          </cell>
          <cell r="R1901">
            <v>54686940</v>
          </cell>
          <cell r="S1901">
            <v>0</v>
          </cell>
          <cell r="T1901">
            <v>0</v>
          </cell>
          <cell r="U1901">
            <v>54686940</v>
          </cell>
          <cell r="V1901">
            <v>54686940</v>
          </cell>
        </row>
        <row r="1902">
          <cell r="J1902">
            <v>1458</v>
          </cell>
          <cell r="K1902">
            <v>43154</v>
          </cell>
          <cell r="L1902" t="str">
            <v>JAIME  TORO VALENCIA</v>
          </cell>
          <cell r="M1902">
            <v>31</v>
          </cell>
          <cell r="N1902" t="str">
            <v>RESOLUCION</v>
          </cell>
          <cell r="O1902">
            <v>1378</v>
          </cell>
          <cell r="P1902">
            <v>43154</v>
          </cell>
          <cell r="Q1902" t="str">
            <v>Asignación de Vur por nuevo avaluo comercial a fin de resolver recurso de reposición (segunda vez).Dto 255 de 2013. LOCALIDAD:CIUDAD BOLIVAR; BARRIO: SAN RAFAEL; ID:2013-Q21-00660</v>
          </cell>
          <cell r="R1902">
            <v>4739060</v>
          </cell>
          <cell r="S1902">
            <v>0</v>
          </cell>
          <cell r="T1902">
            <v>0</v>
          </cell>
          <cell r="U1902">
            <v>4739060</v>
          </cell>
          <cell r="V1902">
            <v>4739060</v>
          </cell>
        </row>
        <row r="1903">
          <cell r="J1903">
            <v>1461</v>
          </cell>
          <cell r="K1903">
            <v>43154</v>
          </cell>
          <cell r="L1903" t="str">
            <v>JEIMY ALEJANDRA RUEDA LEON</v>
          </cell>
          <cell r="M1903">
            <v>31</v>
          </cell>
          <cell r="N1903" t="str">
            <v>RESOLUCION</v>
          </cell>
          <cell r="O1903">
            <v>1356</v>
          </cell>
          <cell r="P1903">
            <v>43154</v>
          </cell>
          <cell r="Q1903" t="str">
            <v>Asignacion del instrumento financiero a las familias ocupantes del predio que hayan superado la fase de verificacion dentro  del marco del Decreto 457 de 2017. LOCALIDAD: KENNEDY; BARRIO: VEREDITAS; ID: 2018-8-383929</v>
          </cell>
          <cell r="R1903">
            <v>54686940</v>
          </cell>
          <cell r="S1903">
            <v>0</v>
          </cell>
          <cell r="T1903">
            <v>0</v>
          </cell>
          <cell r="U1903">
            <v>54686940</v>
          </cell>
          <cell r="V1903">
            <v>54686940</v>
          </cell>
        </row>
        <row r="1904">
          <cell r="J1904">
            <v>1462</v>
          </cell>
          <cell r="K1904">
            <v>43154</v>
          </cell>
          <cell r="L1904" t="str">
            <v>LEYDI ALEXANDRA MESA CORREA</v>
          </cell>
          <cell r="M1904">
            <v>31</v>
          </cell>
          <cell r="N1904" t="str">
            <v>RESOLUCION</v>
          </cell>
          <cell r="O1904">
            <v>1299</v>
          </cell>
          <cell r="P1904">
            <v>43154</v>
          </cell>
          <cell r="Q1904" t="str">
            <v>AYUDA TEMPORAL A LAS FAMILIAS DE VARIAS LOCALIDADES, PARA RELOCALIZACIÓN DE HOGARES LOCALIZADOS EN ZONAS DE ALTO RIESGO NO MITIGABLE ID:2011-4-13344, LOCALIDAD:04 SAN CRISTÓBAL, UPZ:50 LA GLORIA</v>
          </cell>
          <cell r="R1904">
            <v>6296810</v>
          </cell>
          <cell r="S1904">
            <v>0</v>
          </cell>
          <cell r="T1904">
            <v>0</v>
          </cell>
          <cell r="U1904">
            <v>6296810</v>
          </cell>
          <cell r="V1904">
            <v>2421850</v>
          </cell>
        </row>
        <row r="1905">
          <cell r="J1905">
            <v>1463</v>
          </cell>
          <cell r="K1905">
            <v>43154</v>
          </cell>
          <cell r="L1905" t="str">
            <v>MERCEDES  CHAPARRO</v>
          </cell>
          <cell r="M1905">
            <v>31</v>
          </cell>
          <cell r="N1905" t="str">
            <v>RESOLUCION</v>
          </cell>
          <cell r="O1905">
            <v>1381</v>
          </cell>
          <cell r="P1905">
            <v>43154</v>
          </cell>
          <cell r="Q1905" t="str">
            <v>AYUDA TEMPORAL A LAS FAMILIAS DE VARIAS LOCALIDADES, PARA RELOCALIZACIÓN DE HOGARES LOCALIZADOS EN ZONAS DE ALTO RIESGO NO MITIGABLE ID:2013-Q10-00520, LOCALIDAD:04 SAN CRISTÓBAL, UPZ:51 LOS LIBERTADORES, SECTOR:QUEBRADA VEREJONES</v>
          </cell>
          <cell r="R1905">
            <v>2301678</v>
          </cell>
          <cell r="S1905">
            <v>383613</v>
          </cell>
          <cell r="T1905">
            <v>0</v>
          </cell>
          <cell r="U1905">
            <v>1918065</v>
          </cell>
          <cell r="V1905">
            <v>1918065</v>
          </cell>
        </row>
        <row r="1906">
          <cell r="J1906">
            <v>1464</v>
          </cell>
          <cell r="K1906">
            <v>43154</v>
          </cell>
          <cell r="L1906" t="str">
            <v>ANA MARIA JIMENEZ MARTINEZ</v>
          </cell>
          <cell r="M1906">
            <v>31</v>
          </cell>
          <cell r="N1906" t="str">
            <v>RESOLUCION</v>
          </cell>
          <cell r="O1906">
            <v>1376</v>
          </cell>
          <cell r="P1906">
            <v>43154</v>
          </cell>
          <cell r="Q1906" t="str">
            <v>AYUDA TEMPORAL A LAS FAMILIAS DE VARIAS LOCALIDADES, PARA RELOCALIZACIÓN DE HOGARES LOCALIZADOS EN ZONAS DE ALTO RIESGO NO MITIGABLE ID:2013-4-14643, LOCALIDAD:04 SAN CRISTÓBAL, UPZ:32 SAN BLAS</v>
          </cell>
          <cell r="R1906">
            <v>3619000</v>
          </cell>
          <cell r="S1906">
            <v>517000</v>
          </cell>
          <cell r="T1906">
            <v>0</v>
          </cell>
          <cell r="U1906">
            <v>3102000</v>
          </cell>
          <cell r="V1906">
            <v>3102000</v>
          </cell>
        </row>
        <row r="1907">
          <cell r="J1907">
            <v>1465</v>
          </cell>
          <cell r="K1907">
            <v>43154</v>
          </cell>
          <cell r="L1907" t="str">
            <v>JORGE ARNULFO PACANCHIQUE LOPEZ</v>
          </cell>
          <cell r="M1907">
            <v>31</v>
          </cell>
          <cell r="N1907" t="str">
            <v>RESOLUCION</v>
          </cell>
          <cell r="O1907">
            <v>1377</v>
          </cell>
          <cell r="P1907">
            <v>43154</v>
          </cell>
          <cell r="Q1907" t="str">
            <v>AYUDA TEMPORAL A LAS FAMILIAS DE VARIAS LOCALIDADES, PARA RELOCALIZACIÓN DE HOGARES LOCALIZADOS EN ZONAS DE ALTO RIESGO NO MITIGABLE ID:2014-OTR-01155, LOCALIDAD:11 SUBA, UPZ:71 TIBABUYES, SECTOR:GAVILANES</v>
          </cell>
          <cell r="R1907">
            <v>3017000</v>
          </cell>
          <cell r="S1907">
            <v>431000</v>
          </cell>
          <cell r="T1907">
            <v>0</v>
          </cell>
          <cell r="U1907">
            <v>2586000</v>
          </cell>
          <cell r="V1907">
            <v>2586000</v>
          </cell>
        </row>
        <row r="1908">
          <cell r="J1908">
            <v>1469</v>
          </cell>
          <cell r="K1908">
            <v>43154</v>
          </cell>
          <cell r="L1908" t="str">
            <v>BLANCA RUTH NARANJO PATARROYO</v>
          </cell>
          <cell r="M1908">
            <v>31</v>
          </cell>
          <cell r="N1908" t="str">
            <v>RESOLUCION</v>
          </cell>
          <cell r="O1908">
            <v>1380</v>
          </cell>
          <cell r="P1908">
            <v>43154</v>
          </cell>
          <cell r="Q1908" t="str">
            <v>AYUDA TEMPORAL A LAS FAMILIAS DE VARIAS LOCALIDADES, PARA RELOCALIZACIÓN DE HOGARES LOCALIZADOS EN ZONAS DE ALTO RIESGO NO MITIGABLE ID:2014-OTR-00887, LOCALIDAD:03 SANTA FE, UPZ:96 LOURDES, SECTOR:CASA 2</v>
          </cell>
          <cell r="R1908">
            <v>2550450</v>
          </cell>
          <cell r="S1908">
            <v>425075</v>
          </cell>
          <cell r="T1908">
            <v>0</v>
          </cell>
          <cell r="U1908">
            <v>2125375</v>
          </cell>
          <cell r="V1908">
            <v>2125375</v>
          </cell>
        </row>
        <row r="1909">
          <cell r="J1909">
            <v>1470</v>
          </cell>
          <cell r="K1909">
            <v>43158</v>
          </cell>
          <cell r="L1909" t="str">
            <v>AMERICO  CABEZON PIRAZA</v>
          </cell>
          <cell r="M1909">
            <v>31</v>
          </cell>
          <cell r="N1909" t="str">
            <v>RESOLUCION</v>
          </cell>
          <cell r="O1909">
            <v>1391</v>
          </cell>
          <cell r="P1909">
            <v>43158</v>
          </cell>
          <cell r="Q1909" t="str">
            <v>AYUDA TEMPORAL A LAS FAMILIAS DE VARIAS LOCALIDADES, PARA RELOCALIZACIÓN DE HOGARES LOCALIZADOS EN ZONAS DE ALTO RIESGO NO MITIGABLE ID:2014-W166-040, LOCALIDAD:19 CIUDAD BOLÍVAR, UPZ:68 EL TESORO, SECTOR:WOUNAAN</v>
          </cell>
          <cell r="R1909">
            <v>3357900</v>
          </cell>
          <cell r="S1909">
            <v>479700</v>
          </cell>
          <cell r="T1909">
            <v>0</v>
          </cell>
          <cell r="U1909">
            <v>2878200</v>
          </cell>
          <cell r="V1909">
            <v>2878200</v>
          </cell>
        </row>
        <row r="1910">
          <cell r="J1910">
            <v>1471</v>
          </cell>
          <cell r="K1910">
            <v>43158</v>
          </cell>
          <cell r="L1910" t="str">
            <v>RODRIGO  CORREDOR</v>
          </cell>
          <cell r="M1910">
            <v>31</v>
          </cell>
          <cell r="N1910" t="str">
            <v>RESOLUCION</v>
          </cell>
          <cell r="O1910">
            <v>1392</v>
          </cell>
          <cell r="P1910">
            <v>43158</v>
          </cell>
          <cell r="Q1910" t="str">
            <v>AYUDA TEMPORAL A LAS FAMILIAS DE VARIAS LOCALIDADES, PARA RELOCALIZACIÓN DE HOGARES LOCALIZADOS EN ZONAS DE ALTO RIESGO NO MITIGABLE ID:2013-Q09-00577, LOCALIDAD:19 CIUDAD BOLÍVAR, UPZ:67 LUCERO, SECTOR:QUEBRADA TROMPETA</v>
          </cell>
          <cell r="R1910">
            <v>3102000</v>
          </cell>
          <cell r="S1910">
            <v>517000</v>
          </cell>
          <cell r="T1910">
            <v>0</v>
          </cell>
          <cell r="U1910">
            <v>2585000</v>
          </cell>
          <cell r="V1910">
            <v>2585000</v>
          </cell>
        </row>
        <row r="1911">
          <cell r="J1911">
            <v>1472</v>
          </cell>
          <cell r="K1911">
            <v>43158</v>
          </cell>
          <cell r="L1911" t="str">
            <v>NELSON  BERMUDEZ RAMIREZ</v>
          </cell>
          <cell r="M1911">
            <v>31</v>
          </cell>
          <cell r="N1911" t="str">
            <v>RESOLUCION</v>
          </cell>
          <cell r="O1911">
            <v>1394</v>
          </cell>
          <cell r="P1911">
            <v>43158</v>
          </cell>
          <cell r="Q1911" t="str">
            <v>AYUDA TEMPORAL A LAS FAMILIAS DE VARIAS LOCALIDADES, PARA RELOCALIZACIÓN DE HOGARES LOCALIZADOS EN ZONAS DE ALTO RIESGO NO MITIGABLE ID:2011-4-12636, LOCALIDAD:04 SAN CRISTÓBAL, UPZ:32 SAN BLAS</v>
          </cell>
          <cell r="R1911">
            <v>2590566</v>
          </cell>
          <cell r="S1911">
            <v>431761</v>
          </cell>
          <cell r="T1911">
            <v>0</v>
          </cell>
          <cell r="U1911">
            <v>2158805</v>
          </cell>
          <cell r="V1911">
            <v>2158805</v>
          </cell>
        </row>
        <row r="1912">
          <cell r="J1912">
            <v>1473</v>
          </cell>
          <cell r="K1912">
            <v>43159</v>
          </cell>
          <cell r="L1912" t="str">
            <v>LUIS CARLOS COY GUIO</v>
          </cell>
          <cell r="M1912">
            <v>31</v>
          </cell>
          <cell r="N1912" t="str">
            <v>RESOLUCION</v>
          </cell>
          <cell r="O1912">
            <v>1395</v>
          </cell>
          <cell r="P1912">
            <v>43159</v>
          </cell>
          <cell r="Q1912" t="str">
            <v>AYUDA TEMPORAL A LAS FAMILIAS DE VARIAS LOCALIDADES, PARA RELOCALIZACIÓN DE HOGARES LOCALIZADOS EN ZONAS DE ALTO RIESGO NO MITIGABLE ID:2011-4-12631, LOCALIDAD:04 SAN CRISTÓBAL, UPZ:32 SAN BLAS</v>
          </cell>
          <cell r="R1912">
            <v>2281062</v>
          </cell>
          <cell r="S1912">
            <v>380177</v>
          </cell>
          <cell r="T1912">
            <v>0</v>
          </cell>
          <cell r="U1912">
            <v>1900885</v>
          </cell>
          <cell r="V1912">
            <v>1900885</v>
          </cell>
        </row>
        <row r="1913">
          <cell r="J1913">
            <v>1474</v>
          </cell>
          <cell r="K1913">
            <v>43159</v>
          </cell>
          <cell r="L1913" t="str">
            <v>LUZ MARINA ADAN</v>
          </cell>
          <cell r="M1913">
            <v>31</v>
          </cell>
          <cell r="N1913" t="str">
            <v>RESOLUCION</v>
          </cell>
          <cell r="O1913">
            <v>1393</v>
          </cell>
          <cell r="P1913">
            <v>43159</v>
          </cell>
          <cell r="Q1913" t="str">
            <v>AYUDA TEMPORAL A LAS FAMILIAS DE VARIAS LOCALIDADES, PARA RELOCALIZACIÓN DE HOGARES LOCALIZADOS EN ZONAS DE ALTO RIESGO NO MITIGABLE ID:2014-OTR-00869, LOCALIDAD:03 SANTA FE, UPZ:96 LOURDES, SECTOR:CASA 1</v>
          </cell>
          <cell r="R1913">
            <v>2550450</v>
          </cell>
          <cell r="S1913">
            <v>425075</v>
          </cell>
          <cell r="T1913">
            <v>0</v>
          </cell>
          <cell r="U1913">
            <v>2125375</v>
          </cell>
          <cell r="V1913">
            <v>2125375</v>
          </cell>
        </row>
        <row r="1914">
          <cell r="J1914">
            <v>1476</v>
          </cell>
          <cell r="K1914">
            <v>43160</v>
          </cell>
          <cell r="L1914" t="str">
            <v>YENNI MAYERLY GARCIA DIAZ</v>
          </cell>
          <cell r="M1914">
            <v>31</v>
          </cell>
          <cell r="N1914" t="str">
            <v>RESOLUCION</v>
          </cell>
          <cell r="O1914">
            <v>1415</v>
          </cell>
          <cell r="P1914">
            <v>43160</v>
          </cell>
          <cell r="Q1914" t="str">
            <v>Asignacion del instrumento financiero a las familias ocupantes del predio que hayan superado la fase de verificacion dentro  del marco del Decreto 457 de 2017. LOCALIDAD: KENNEDY; BARRIO: VEREDITAS; ID: 2017-8-383848</v>
          </cell>
          <cell r="R1914">
            <v>54686940</v>
          </cell>
          <cell r="S1914">
            <v>0</v>
          </cell>
          <cell r="T1914">
            <v>0</v>
          </cell>
          <cell r="U1914">
            <v>54686940</v>
          </cell>
          <cell r="V1914">
            <v>54686940</v>
          </cell>
        </row>
        <row r="1915">
          <cell r="J1915">
            <v>1477</v>
          </cell>
          <cell r="K1915">
            <v>43160</v>
          </cell>
          <cell r="L1915" t="str">
            <v>YENNY CATERINE ALVAREZ AREVALO</v>
          </cell>
          <cell r="M1915">
            <v>31</v>
          </cell>
          <cell r="N1915" t="str">
            <v>RESOLUCION</v>
          </cell>
          <cell r="O1915">
            <v>1416</v>
          </cell>
          <cell r="P1915">
            <v>43160</v>
          </cell>
          <cell r="Q1915" t="str">
            <v>Asignacion del instrumento financiero a las familias ocupantes del predio que hayan superado la fase de verificacion dentro  del marco del Decreto 457 de 2017. LOCALIDAD: KENNEDY; BARRIO: VEREDITAS; ID: 2017-8-383671</v>
          </cell>
          <cell r="R1915">
            <v>54686940</v>
          </cell>
          <cell r="S1915">
            <v>0</v>
          </cell>
          <cell r="T1915">
            <v>0</v>
          </cell>
          <cell r="U1915">
            <v>54686940</v>
          </cell>
          <cell r="V1915">
            <v>54686940</v>
          </cell>
        </row>
        <row r="1916">
          <cell r="J1916">
            <v>1478</v>
          </cell>
          <cell r="K1916">
            <v>43160</v>
          </cell>
          <cell r="L1916" t="str">
            <v>PAULA ANDREA LONDOÑO LEON</v>
          </cell>
          <cell r="M1916">
            <v>31</v>
          </cell>
          <cell r="N1916" t="str">
            <v>RESOLUCION</v>
          </cell>
          <cell r="O1916">
            <v>1413</v>
          </cell>
          <cell r="P1916">
            <v>43160</v>
          </cell>
          <cell r="Q1916" t="str">
            <v>Asignacion del instrumento financiero a las familias ocupantes del predio que hayan superado la fase de verificacion dentro  del marco del Decreto 457 de 2017. LOCALIDAD: KENNEDY; BARRIO: VEREDITAS; ID: 2018-8-383928.</v>
          </cell>
          <cell r="R1916">
            <v>54686940</v>
          </cell>
          <cell r="S1916">
            <v>0</v>
          </cell>
          <cell r="T1916">
            <v>0</v>
          </cell>
          <cell r="U1916">
            <v>54686940</v>
          </cell>
          <cell r="V1916">
            <v>54686940</v>
          </cell>
        </row>
        <row r="1917">
          <cell r="J1917">
            <v>1479</v>
          </cell>
          <cell r="K1917">
            <v>43160</v>
          </cell>
          <cell r="L1917" t="str">
            <v>ANGELICA MARIA MONSALVE MALAGON</v>
          </cell>
          <cell r="M1917">
            <v>31</v>
          </cell>
          <cell r="N1917" t="str">
            <v>RESOLUCION</v>
          </cell>
          <cell r="O1917">
            <v>1417</v>
          </cell>
          <cell r="P1917">
            <v>43160</v>
          </cell>
          <cell r="Q1917" t="str">
            <v>Asignacion del instrumento financiero a las familias ocupantes del predio que hayan superado la fase de verificacion dentro  del marco del Decreto 457 de 2017. LOCALIDAD: KENNEDY; BARRIO: VEREDITAS; ID: 2017-8-383758</v>
          </cell>
          <cell r="R1917">
            <v>54686940</v>
          </cell>
          <cell r="S1917">
            <v>0</v>
          </cell>
          <cell r="T1917">
            <v>0</v>
          </cell>
          <cell r="U1917">
            <v>54686940</v>
          </cell>
          <cell r="V1917">
            <v>54686940</v>
          </cell>
        </row>
        <row r="1918">
          <cell r="J1918">
            <v>1480</v>
          </cell>
          <cell r="K1918">
            <v>43160</v>
          </cell>
          <cell r="L1918" t="str">
            <v>CAROLINA  RAMIREZ PEÑA</v>
          </cell>
          <cell r="M1918">
            <v>31</v>
          </cell>
          <cell r="N1918" t="str">
            <v>RESOLUCION</v>
          </cell>
          <cell r="O1918">
            <v>1414</v>
          </cell>
          <cell r="P1918">
            <v>43160</v>
          </cell>
          <cell r="Q1918" t="str">
            <v>Asignacion del instrumento financiero a las familias ocupantes del predio que hayan superado la fase de verificacion dentro  del marco del Decreto 457 de 2017. LOCALIDAD: KENNEDY; BARRIO: VEREDITAS; ID: 2018-8-383925</v>
          </cell>
          <cell r="R1918">
            <v>54686940</v>
          </cell>
          <cell r="S1918">
            <v>0</v>
          </cell>
          <cell r="T1918">
            <v>0</v>
          </cell>
          <cell r="U1918">
            <v>54686940</v>
          </cell>
          <cell r="V1918">
            <v>54686940</v>
          </cell>
        </row>
        <row r="1919">
          <cell r="J1919">
            <v>1481</v>
          </cell>
          <cell r="K1919">
            <v>43160</v>
          </cell>
          <cell r="L1919" t="str">
            <v>WILLIAM  GALINDO CASTEBLANCO</v>
          </cell>
          <cell r="M1919">
            <v>31</v>
          </cell>
          <cell r="N1919" t="str">
            <v>RESOLUCION</v>
          </cell>
          <cell r="O1919">
            <v>1418</v>
          </cell>
          <cell r="P1919">
            <v>43160</v>
          </cell>
          <cell r="Q1919" t="str">
            <v>Asignacion del instrumento financiero a las familias ocupantes del predio que hayan superado la fase de verificacion dentro  del marco del Decreto 457 de 2017. LOCALIDAD: KENNEDY; BARRIO: VEREDITAS; ID: 2018-8-383927</v>
          </cell>
          <cell r="R1919">
            <v>54686940</v>
          </cell>
          <cell r="S1919">
            <v>0</v>
          </cell>
          <cell r="T1919">
            <v>0</v>
          </cell>
          <cell r="U1919">
            <v>54686940</v>
          </cell>
          <cell r="V1919">
            <v>54686940</v>
          </cell>
        </row>
        <row r="1920">
          <cell r="J1920">
            <v>1482</v>
          </cell>
          <cell r="K1920">
            <v>43160</v>
          </cell>
          <cell r="L1920" t="str">
            <v>ANA MARIA GOMEZ RAMIREZ</v>
          </cell>
          <cell r="M1920">
            <v>31</v>
          </cell>
          <cell r="N1920" t="str">
            <v>RESOLUCION</v>
          </cell>
          <cell r="O1920">
            <v>1462</v>
          </cell>
          <cell r="P1920">
            <v>43160</v>
          </cell>
          <cell r="Q1920" t="str">
            <v>Asignacion del instrumento financiero a las familias ocupantes del predio que hayan superado la fase de verificacion dentro  del marco del Decreto 457 de 2017. LOCALIDAD: KENNEDY; BARRIO: VEREDITAS; ID: 2017-8-383601</v>
          </cell>
          <cell r="R1920">
            <v>54686940</v>
          </cell>
          <cell r="S1920">
            <v>0</v>
          </cell>
          <cell r="T1920">
            <v>0</v>
          </cell>
          <cell r="U1920">
            <v>54686940</v>
          </cell>
          <cell r="V1920">
            <v>54686940</v>
          </cell>
        </row>
        <row r="1921">
          <cell r="J1921">
            <v>1483</v>
          </cell>
          <cell r="K1921">
            <v>43160</v>
          </cell>
          <cell r="L1921" t="str">
            <v>IVAN RIVERA CESPEDES</v>
          </cell>
          <cell r="M1921">
            <v>31</v>
          </cell>
          <cell r="N1921" t="str">
            <v>RESOLUCION</v>
          </cell>
          <cell r="O1921">
            <v>1461</v>
          </cell>
          <cell r="P1921">
            <v>43160</v>
          </cell>
          <cell r="Q1921" t="str">
            <v>Asignacion del instrumento financiero a las familias ocupantes del predio que hayan superado la fase de verificacion dentro  del marco del Decreto 457 de 2017. LOCALIDAD: KENNEDY; BARRIO: VEREDITAS; ID: 2018-8-383919</v>
          </cell>
          <cell r="R1921">
            <v>54686940</v>
          </cell>
          <cell r="S1921">
            <v>0</v>
          </cell>
          <cell r="T1921">
            <v>0</v>
          </cell>
          <cell r="U1921">
            <v>54686940</v>
          </cell>
          <cell r="V1921">
            <v>54686940</v>
          </cell>
        </row>
        <row r="1922">
          <cell r="J1922">
            <v>1485</v>
          </cell>
          <cell r="K1922">
            <v>43160</v>
          </cell>
          <cell r="L1922" t="str">
            <v>PAOLA ANDREA GOMEZ RAMIREZ</v>
          </cell>
          <cell r="M1922">
            <v>31</v>
          </cell>
          <cell r="N1922" t="str">
            <v>RESOLUCION</v>
          </cell>
          <cell r="O1922">
            <v>1460</v>
          </cell>
          <cell r="P1922">
            <v>43160</v>
          </cell>
          <cell r="Q1922" t="str">
            <v>Asignacion del instrumento financiero a las familias ocupantes del predio que hayan superado la fase de verificacion dentro  del marco del Decreto 457 de 2017. LOCALIDAD: KENNEDY; BARRIO: VEREDITAS; ID: 2018-8-383918</v>
          </cell>
          <cell r="R1922">
            <v>54686940</v>
          </cell>
          <cell r="S1922">
            <v>0</v>
          </cell>
          <cell r="T1922">
            <v>0</v>
          </cell>
          <cell r="U1922">
            <v>54686940</v>
          </cell>
          <cell r="V1922">
            <v>54686940</v>
          </cell>
        </row>
        <row r="1923">
          <cell r="J1923">
            <v>1486</v>
          </cell>
          <cell r="K1923">
            <v>43161</v>
          </cell>
          <cell r="L1923" t="str">
            <v>LUZ MARINA MESA MOLINA</v>
          </cell>
          <cell r="M1923">
            <v>31</v>
          </cell>
          <cell r="N1923" t="str">
            <v>RESOLUCION</v>
          </cell>
          <cell r="O1923">
            <v>1436</v>
          </cell>
          <cell r="P1923">
            <v>43161</v>
          </cell>
          <cell r="Q1923" t="str">
            <v>AYUDA TEMPORAL A LAS FAMILIAS DE VARIAS LOCALIDADES, PARA LA RELOCALIZACIÓN DE HOGARES LOCALIZADOS EN ZONAS DE ALTO RIESGO NO MITIGABLE ID:2007-4-10615, LOCALIDAD:04 SAN CRISTÓBAL, UPZ:34 20 DE JULIO</v>
          </cell>
          <cell r="R1923">
            <v>3201695</v>
          </cell>
          <cell r="S1923">
            <v>457385</v>
          </cell>
          <cell r="T1923">
            <v>0</v>
          </cell>
          <cell r="U1923">
            <v>2744310</v>
          </cell>
          <cell r="V1923">
            <v>2744310</v>
          </cell>
        </row>
        <row r="1924">
          <cell r="J1924">
            <v>1487</v>
          </cell>
          <cell r="K1924">
            <v>43161</v>
          </cell>
          <cell r="L1924" t="str">
            <v>AIDA LILA MENDIVELSO ALAPE</v>
          </cell>
          <cell r="M1924">
            <v>31</v>
          </cell>
          <cell r="N1924" t="str">
            <v>RESOLUCION</v>
          </cell>
          <cell r="O1924">
            <v>1437</v>
          </cell>
          <cell r="P1924">
            <v>43161</v>
          </cell>
          <cell r="Q1924" t="str">
            <v>AYUDA TEMPORAL A LAS FAMILIAS DE VARIAS LOCALIDADES, PARA LA RELOCALIZACIÓN DE HOGARES LOCALIZADOS EN ZONAS DE ALTO RIESGO NO MITIGABLE ID:2013-4-14655, LOCALIDAD:04 SAN CRISTÓBAL, UPZ:32 SAN BLAS</v>
          </cell>
          <cell r="R1924">
            <v>4101524</v>
          </cell>
          <cell r="S1924">
            <v>0</v>
          </cell>
          <cell r="T1924">
            <v>0</v>
          </cell>
          <cell r="U1924">
            <v>4101524</v>
          </cell>
          <cell r="V1924">
            <v>3515592</v>
          </cell>
        </row>
        <row r="1925">
          <cell r="J1925">
            <v>1488</v>
          </cell>
          <cell r="K1925">
            <v>43161</v>
          </cell>
          <cell r="L1925" t="str">
            <v>RITA  GONZALEZ</v>
          </cell>
          <cell r="M1925">
            <v>31</v>
          </cell>
          <cell r="N1925" t="str">
            <v>RESOLUCION</v>
          </cell>
          <cell r="O1925">
            <v>1438</v>
          </cell>
          <cell r="P1925">
            <v>43161</v>
          </cell>
          <cell r="Q1925" t="str">
            <v>AYUDA TEMPORAL A LAS FAMILIAS DE VARIAS LOCALIDADES, PARA LA RELOCALIZACIÓN DE HOGARES LOCALIZADOS EN ZONAS DE ALTO RIESGO NO MITIGABLE ID:2012-19-13843, LOCALIDAD:19 CIUDAD BOLÍVAR, UPZ:67 LUCERO</v>
          </cell>
          <cell r="R1925">
            <v>3712284</v>
          </cell>
          <cell r="S1925">
            <v>0</v>
          </cell>
          <cell r="T1925">
            <v>0</v>
          </cell>
          <cell r="U1925">
            <v>3712284</v>
          </cell>
          <cell r="V1925">
            <v>2062380</v>
          </cell>
        </row>
        <row r="1926">
          <cell r="J1926">
            <v>1489</v>
          </cell>
          <cell r="K1926">
            <v>43161</v>
          </cell>
          <cell r="L1926" t="str">
            <v>DIANA MARCELA HOYOS</v>
          </cell>
          <cell r="M1926">
            <v>31</v>
          </cell>
          <cell r="N1926" t="str">
            <v>RESOLUCION</v>
          </cell>
          <cell r="O1926">
            <v>1439</v>
          </cell>
          <cell r="P1926">
            <v>43161</v>
          </cell>
          <cell r="Q1926" t="str">
            <v>AYUDA TEMPORAL A LAS FAMILIAS DE VARIAS LOCALIDADES, PARA LA RELOCALIZACIÓN DE HOGARES LOCALIZADOS EN ZONAS DE ALTO RIESGO NO MITIGABLE ID:2015-Q03-01243, LOCALIDAD:19 CIUDAD BOLÍVAR, UPZ:66 SAN FRANCISCO, SECTOR:LIMAS</v>
          </cell>
          <cell r="R1926">
            <v>4296831</v>
          </cell>
          <cell r="S1926">
            <v>0</v>
          </cell>
          <cell r="T1926">
            <v>0</v>
          </cell>
          <cell r="U1926">
            <v>4296831</v>
          </cell>
          <cell r="V1926">
            <v>1562484</v>
          </cell>
        </row>
        <row r="1927">
          <cell r="J1927">
            <v>1490</v>
          </cell>
          <cell r="K1927">
            <v>43161</v>
          </cell>
          <cell r="L1927" t="str">
            <v>JUAN CARLOS DUEÑAS HERNANDEZ</v>
          </cell>
          <cell r="M1927">
            <v>31</v>
          </cell>
          <cell r="N1927" t="str">
            <v>RESOLUCION</v>
          </cell>
          <cell r="O1927">
            <v>1440</v>
          </cell>
          <cell r="P1927">
            <v>43161</v>
          </cell>
          <cell r="Q1927" t="str">
            <v>AYUDA TEMPORAL A LAS FAMILIAS DE VARIAS LOCALIDADES, PARA LA RELOCALIZACIÓN DE HOGARES LOCALIZADOS EN ZONAS DE ALTO RIESGO NO MITIGABLE ID:2012-19-13977, LOCALIDAD:19 CIUDAD BOLÍVAR, UPZ:68 EL TESORO</v>
          </cell>
          <cell r="R1927">
            <v>3098410</v>
          </cell>
          <cell r="S1927">
            <v>442630</v>
          </cell>
          <cell r="T1927">
            <v>0</v>
          </cell>
          <cell r="U1927">
            <v>2655780</v>
          </cell>
          <cell r="V1927">
            <v>2655780</v>
          </cell>
        </row>
        <row r="1928">
          <cell r="J1928">
            <v>1491</v>
          </cell>
          <cell r="K1928">
            <v>43161</v>
          </cell>
          <cell r="L1928" t="str">
            <v>PATRICIA  MALAGON RINCON</v>
          </cell>
          <cell r="M1928">
            <v>31</v>
          </cell>
          <cell r="N1928" t="str">
            <v>RESOLUCION</v>
          </cell>
          <cell r="O1928">
            <v>1441</v>
          </cell>
          <cell r="P1928">
            <v>43161</v>
          </cell>
          <cell r="Q1928" t="str">
            <v>AYUDA TEMPORAL A LAS FAMILIAS DE VARIAS LOCALIDADES, PARA LA RELOCALIZACIÓN DE HOGARES LOCALIZADOS EN ZONAS DE ALTO RIESGO NO MITIGABLE ID:2016-08-14840, LOCALIDAD:08 KENNEDY, UPZ:82 PATIO BONITO, SECTOR:PALMITAS</v>
          </cell>
          <cell r="R1928">
            <v>3098410</v>
          </cell>
          <cell r="S1928">
            <v>442630</v>
          </cell>
          <cell r="T1928">
            <v>0</v>
          </cell>
          <cell r="U1928">
            <v>2655780</v>
          </cell>
          <cell r="V1928">
            <v>2655780</v>
          </cell>
        </row>
        <row r="1929">
          <cell r="J1929">
            <v>1492</v>
          </cell>
          <cell r="K1929">
            <v>43161</v>
          </cell>
          <cell r="L1929" t="str">
            <v>NELLY FRANCISCA VALENCIA MEJIA</v>
          </cell>
          <cell r="M1929">
            <v>31</v>
          </cell>
          <cell r="N1929" t="str">
            <v>RESOLUCION</v>
          </cell>
          <cell r="O1929">
            <v>1442</v>
          </cell>
          <cell r="P1929">
            <v>43161</v>
          </cell>
          <cell r="Q1929" t="str">
            <v>AYUDA TEMPORAL A LAS FAMILIAS DE VARIAS LOCALIDADES, PARA LA RELOCALIZACIÓN DE HOGARES LOCALIZADOS EN ZONAS DE ALTO RIESGO NO MITIGABLE ID:2015-W166-212, LOCALIDAD:04 SAN CRISTÓBAL, UPZ:33 SOSIEGO, SECTOR:EPERARA</v>
          </cell>
          <cell r="R1929">
            <v>5532880</v>
          </cell>
          <cell r="S1929">
            <v>0</v>
          </cell>
          <cell r="T1929">
            <v>0</v>
          </cell>
          <cell r="U1929">
            <v>5532880</v>
          </cell>
          <cell r="V1929">
            <v>2213152</v>
          </cell>
        </row>
        <row r="1930">
          <cell r="J1930">
            <v>1493</v>
          </cell>
          <cell r="K1930">
            <v>43161</v>
          </cell>
          <cell r="L1930" t="str">
            <v>YONELY  MERCAZA BURGARA</v>
          </cell>
          <cell r="M1930">
            <v>31</v>
          </cell>
          <cell r="N1930" t="str">
            <v>RESOLUCION</v>
          </cell>
          <cell r="O1930">
            <v>1443</v>
          </cell>
          <cell r="P1930">
            <v>43161</v>
          </cell>
          <cell r="Q1930" t="str">
            <v>AYUDA TEMPORAL A LAS FAMILIAS DE VARIAS LOCALIDADES, PARA LA RELOCALIZACIÓN DE HOGARES LOCALIZADOS EN ZONAS DE ALTO RIESGO NO MITIGABLE ID:2015-W166-419, LOCALIDAD:19 CIUDAD BOLÍVAR, UPZ:67 LUCERO, SECTOR:WOUNAAN</v>
          </cell>
          <cell r="R1930">
            <v>5947019</v>
          </cell>
          <cell r="S1930">
            <v>0</v>
          </cell>
          <cell r="T1930">
            <v>0</v>
          </cell>
          <cell r="U1930">
            <v>5947019</v>
          </cell>
          <cell r="V1930">
            <v>2287315</v>
          </cell>
        </row>
        <row r="1931">
          <cell r="J1931">
            <v>1494</v>
          </cell>
          <cell r="K1931">
            <v>43161</v>
          </cell>
          <cell r="L1931" t="str">
            <v>MARIA FAY CASTAÑEDA MONTEALEGRE</v>
          </cell>
          <cell r="M1931">
            <v>31</v>
          </cell>
          <cell r="N1931" t="str">
            <v>RESOLUCION</v>
          </cell>
          <cell r="O1931">
            <v>1435</v>
          </cell>
          <cell r="P1931">
            <v>43161</v>
          </cell>
          <cell r="Q1931" t="str">
            <v>AYUDA TEMPORAL A LAS FAMILIAS DE VARIAS LOCALIDADES, PARA LA RELOCALIZACIÓN DE HOGARES LOCALIZADOS EN ZONAS DE ALTO RIESGO NO MITIGABLE ID:2015-Q23-01502, LOCALIDAD:19 CIUDAD BOLÍVAR, UPZ:67 LUCERO, SECTOR:PIEDRA DEL MUERTO / PIEDRA DEL ANGEL</v>
          </cell>
          <cell r="R1931">
            <v>4640581</v>
          </cell>
          <cell r="S1931">
            <v>0</v>
          </cell>
          <cell r="T1931">
            <v>0</v>
          </cell>
          <cell r="U1931">
            <v>4640581</v>
          </cell>
          <cell r="V1931">
            <v>2109355</v>
          </cell>
        </row>
        <row r="1932">
          <cell r="J1932">
            <v>1495</v>
          </cell>
          <cell r="K1932">
            <v>43161</v>
          </cell>
          <cell r="L1932" t="str">
            <v>KAREN JULIETH MORA REY</v>
          </cell>
          <cell r="M1932">
            <v>31</v>
          </cell>
          <cell r="N1932" t="str">
            <v>RESOLUCION</v>
          </cell>
          <cell r="O1932">
            <v>1427</v>
          </cell>
          <cell r="P1932">
            <v>43161</v>
          </cell>
          <cell r="Q1932" t="str">
            <v>AYUDA TEMPORAL A LAS FAMILIAS DE VARIAS LOCALIDADES, PARA LA RELOCALIZACIÓN DE HOGARES LOCALIZADOS EN ZONAS DE ALTO RIESGO NO MITIGABLE ID:2015-W166-412, LOCALIDAD:03 SANTA FE, UPZ:95 LAS CRUCES, SECTOR:UITOTO</v>
          </cell>
          <cell r="R1932">
            <v>4890237</v>
          </cell>
          <cell r="S1932">
            <v>0</v>
          </cell>
          <cell r="T1932">
            <v>0</v>
          </cell>
          <cell r="U1932">
            <v>4890237</v>
          </cell>
          <cell r="V1932">
            <v>1778268</v>
          </cell>
        </row>
        <row r="1933">
          <cell r="J1933">
            <v>1496</v>
          </cell>
          <cell r="K1933">
            <v>43161</v>
          </cell>
          <cell r="L1933" t="str">
            <v>EUTIMIO  CHAPARRO HUERFANO</v>
          </cell>
          <cell r="M1933">
            <v>31</v>
          </cell>
          <cell r="N1933" t="str">
            <v>RESOLUCION</v>
          </cell>
          <cell r="O1933">
            <v>1463</v>
          </cell>
          <cell r="P1933">
            <v>43161</v>
          </cell>
          <cell r="Q1933" t="str">
            <v>ASIGNACIÓN DE VUR CONFORME AL AVALÚO COMERCIAL (ASIGNACIÓN PRIMERA VEZ).DTO. 255 DE 2013. LOCALIDAD: USAQUEN; BARRIO: ARAUQUITA; ID: 2009-1-11282</v>
          </cell>
          <cell r="R1933">
            <v>420100300</v>
          </cell>
          <cell r="S1933">
            <v>0</v>
          </cell>
          <cell r="T1933">
            <v>0</v>
          </cell>
          <cell r="U1933">
            <v>420100300</v>
          </cell>
          <cell r="V1933">
            <v>420100300</v>
          </cell>
        </row>
        <row r="1934">
          <cell r="J1934">
            <v>1497</v>
          </cell>
          <cell r="K1934">
            <v>43161</v>
          </cell>
          <cell r="L1934" t="str">
            <v>LUZ MARY GUZMAN DIAZ</v>
          </cell>
          <cell r="M1934">
            <v>31</v>
          </cell>
          <cell r="N1934" t="str">
            <v>RESOLUCION</v>
          </cell>
          <cell r="O1934">
            <v>1428</v>
          </cell>
          <cell r="P1934">
            <v>43161</v>
          </cell>
          <cell r="Q1934" t="str">
            <v>AYUDA TEMPORAL A LAS FAMILIAS DE VARIAS LOCALIDADES, PARA LA RELOCALIZACIÓN DE HOGARES LOCALIZADOS EN ZONAS DE ALTO RIESGO NO MITIGABLE ID:2015-OTR-01536, LOCALIDAD:18 RAFAEL URIBE URIBE, UPZ:55 DIANA TURBAY, SECTOR:CERROS DE ORIENTE</v>
          </cell>
          <cell r="R1934">
            <v>2255225</v>
          </cell>
          <cell r="S1934">
            <v>451045</v>
          </cell>
          <cell r="T1934">
            <v>0</v>
          </cell>
          <cell r="U1934">
            <v>1804180</v>
          </cell>
          <cell r="V1934">
            <v>1804180</v>
          </cell>
        </row>
        <row r="1935">
          <cell r="J1935">
            <v>1498</v>
          </cell>
          <cell r="K1935">
            <v>43161</v>
          </cell>
          <cell r="L1935" t="str">
            <v>BLANCA AURORA LOZANO ROZO</v>
          </cell>
          <cell r="M1935">
            <v>31</v>
          </cell>
          <cell r="N1935" t="str">
            <v>RESOLUCION</v>
          </cell>
          <cell r="O1935">
            <v>1429</v>
          </cell>
          <cell r="P1935">
            <v>43161</v>
          </cell>
          <cell r="Q1935" t="str">
            <v>AYUDA TEMPORAL A LAS FAMILIAS DE VARIAS LOCALIDADES, PARA LA RELOCALIZACIÓN DE HOGARES LOCALIZADOS EN ZONAS DE ALTO RIESGO NO MITIGABLE ID:2015-3-14761, LOCALIDAD:03 SANTA FE, UPZ:96 LOURDES</v>
          </cell>
          <cell r="R1935">
            <v>4759785</v>
          </cell>
          <cell r="S1935">
            <v>0</v>
          </cell>
          <cell r="T1935">
            <v>0</v>
          </cell>
          <cell r="U1935">
            <v>4759785</v>
          </cell>
          <cell r="V1935">
            <v>2644325</v>
          </cell>
        </row>
        <row r="1936">
          <cell r="J1936">
            <v>1499</v>
          </cell>
          <cell r="K1936">
            <v>43161</v>
          </cell>
          <cell r="L1936" t="str">
            <v>MARIA INES SALAMANCA ROJAS</v>
          </cell>
          <cell r="M1936">
            <v>31</v>
          </cell>
          <cell r="N1936" t="str">
            <v>RESOLUCION</v>
          </cell>
          <cell r="O1936">
            <v>1430</v>
          </cell>
          <cell r="P1936">
            <v>43161</v>
          </cell>
          <cell r="Q1936" t="str">
            <v>AYUDA TEMPORAL A LAS FAMILIAS DE VARIAS LOCALIDADES, PARA LA RELOCALIZACIÓN DE HOGARES LOCALIZADOS EN ZONAS DE ALTO RIESGO NO MITIGABLE ID:2015-Q09-01473, LOCALIDAD:19 CIUDAD BOLÍVAR, UPZ:67 LUCERO, SECTOR:QUEBRADA TROMPETA</v>
          </cell>
          <cell r="R1936">
            <v>4749371</v>
          </cell>
          <cell r="S1936">
            <v>0</v>
          </cell>
          <cell r="T1936">
            <v>0</v>
          </cell>
          <cell r="U1936">
            <v>4749371</v>
          </cell>
          <cell r="V1936">
            <v>2158805</v>
          </cell>
        </row>
        <row r="1937">
          <cell r="J1937">
            <v>1500</v>
          </cell>
          <cell r="K1937">
            <v>43161</v>
          </cell>
          <cell r="L1937" t="str">
            <v>YENNY ROCIO MOTTA BERNAL</v>
          </cell>
          <cell r="M1937">
            <v>31</v>
          </cell>
          <cell r="N1937" t="str">
            <v>RESOLUCION</v>
          </cell>
          <cell r="O1937">
            <v>1419</v>
          </cell>
          <cell r="P1937">
            <v>43161</v>
          </cell>
          <cell r="Q1937" t="str">
            <v>AYUDA TEMPORAL A LAS FAMILIAS DE VARIAS LOCALIDADES, PARA LA RELOCALIZACIÓN DE HOGARES LOCALIZADOS EN ZONAS DE ALTO RIESGO NO MITIGABLE ID:2012-4-14497, LOCALIDAD:04 SAN CRISTÓBAL, UPZ:32 SAN BLAS</v>
          </cell>
          <cell r="R1937">
            <v>5078073</v>
          </cell>
          <cell r="S1937">
            <v>0</v>
          </cell>
          <cell r="T1937">
            <v>0</v>
          </cell>
          <cell r="U1937">
            <v>5078073</v>
          </cell>
          <cell r="V1937">
            <v>2734347</v>
          </cell>
        </row>
        <row r="1938">
          <cell r="J1938">
            <v>1501</v>
          </cell>
          <cell r="K1938">
            <v>43161</v>
          </cell>
          <cell r="L1938" t="str">
            <v>ROSA MARIA ROMERO SARMIENTO</v>
          </cell>
          <cell r="M1938">
            <v>31</v>
          </cell>
          <cell r="N1938" t="str">
            <v>RESOLUCION</v>
          </cell>
          <cell r="O1938">
            <v>1444</v>
          </cell>
          <cell r="P1938">
            <v>43161</v>
          </cell>
          <cell r="Q1938" t="str">
            <v>AYUDA TEMPORAL A LAS FAMILIAS DE VARIAS LOCALIDADES, PARA LA RELOCALIZACIÓN DE HOGARES LOCALIZADOS EN ZONAS DE ALTO RIESGO NO MITIGABLE ID:2015-Q24-01534, LOCALIDAD:03 SANTA FE, UPZ:96 LOURDES, SECTOR:SAN BRUNO</v>
          </cell>
          <cell r="R1938">
            <v>4453080</v>
          </cell>
          <cell r="S1938">
            <v>0</v>
          </cell>
          <cell r="T1938">
            <v>0</v>
          </cell>
          <cell r="U1938">
            <v>4453080</v>
          </cell>
          <cell r="V1938">
            <v>2226540</v>
          </cell>
        </row>
        <row r="1939">
          <cell r="J1939">
            <v>1502</v>
          </cell>
          <cell r="K1939">
            <v>43161</v>
          </cell>
          <cell r="L1939" t="str">
            <v>YUDY JENNIFER PABON VEGA</v>
          </cell>
          <cell r="M1939">
            <v>31</v>
          </cell>
          <cell r="N1939" t="str">
            <v>RESOLUCION</v>
          </cell>
          <cell r="O1939">
            <v>1431</v>
          </cell>
          <cell r="P1939">
            <v>43161</v>
          </cell>
          <cell r="Q1939" t="str">
            <v>AYUDA TEMPORAL A LAS FAMILIAS DE VARIAS LOCALIDADES, PARA LA RELOCALIZACIÓN DE HOGARES LOCALIZADOS EN ZONAS DE ALTO RIESGO NO MITIGABLE ID:2011-3-13137, LOCALIDAD:03 SANTA FE, UPZ:96 LOURDES</v>
          </cell>
          <cell r="R1939">
            <v>6499935</v>
          </cell>
          <cell r="S1939">
            <v>0</v>
          </cell>
          <cell r="T1939">
            <v>0</v>
          </cell>
          <cell r="U1939">
            <v>6499935</v>
          </cell>
          <cell r="V1939">
            <v>2499975</v>
          </cell>
        </row>
        <row r="1940">
          <cell r="J1940">
            <v>1503</v>
          </cell>
          <cell r="K1940">
            <v>43161</v>
          </cell>
          <cell r="L1940" t="str">
            <v>GERMAN  RUBIO MORENO</v>
          </cell>
          <cell r="M1940">
            <v>31</v>
          </cell>
          <cell r="N1940" t="str">
            <v>RESOLUCION</v>
          </cell>
          <cell r="O1940">
            <v>1420</v>
          </cell>
          <cell r="P1940">
            <v>43161</v>
          </cell>
          <cell r="Q1940" t="str">
            <v>AYUDA TEMPORAL A LAS FAMILIAS DE VARIAS LOCALIDADES, PARA LA RELOCALIZACIÓN DE HOGARES LOCALIZADOS EN ZONAS DE ALTO RIESGO NO MITIGABLE ID:2011-19-13761, LOCALIDAD:19 CIUDAD BOLÍVAR, UPZ:67 LUCERO</v>
          </cell>
          <cell r="R1940">
            <v>4296831</v>
          </cell>
          <cell r="S1940">
            <v>0</v>
          </cell>
          <cell r="T1940">
            <v>0</v>
          </cell>
          <cell r="U1940">
            <v>4296831</v>
          </cell>
          <cell r="V1940">
            <v>1953105</v>
          </cell>
        </row>
        <row r="1941">
          <cell r="J1941">
            <v>1504</v>
          </cell>
          <cell r="K1941">
            <v>43161</v>
          </cell>
          <cell r="L1941" t="str">
            <v>JOSE  GUISA NARANJO</v>
          </cell>
          <cell r="M1941">
            <v>31</v>
          </cell>
          <cell r="N1941" t="str">
            <v>RESOLUCION</v>
          </cell>
          <cell r="O1941">
            <v>1445</v>
          </cell>
          <cell r="P1941">
            <v>43161</v>
          </cell>
          <cell r="Q1941" t="str">
            <v>AYUDA TEMPORAL A LAS FAMILIAS DE VARIAS LOCALIDADES, PARA LA RELOCALIZACIÓN DE HOGARES LOCALIZADOS EN ZONAS DE ALTO RIESGO NO MITIGABLE ID:2012-18-14374, LOCALIDAD:18 RAFAEL URIBE URIBE, UPZ:55 DIANA TURBAY</v>
          </cell>
          <cell r="R1941">
            <v>2531226</v>
          </cell>
          <cell r="S1941">
            <v>0</v>
          </cell>
          <cell r="T1941">
            <v>0</v>
          </cell>
          <cell r="U1941">
            <v>2531226</v>
          </cell>
          <cell r="V1941">
            <v>2109355</v>
          </cell>
        </row>
        <row r="1942">
          <cell r="J1942">
            <v>1505</v>
          </cell>
          <cell r="K1942">
            <v>43161</v>
          </cell>
          <cell r="L1942" t="str">
            <v>SIERVO ANTONIO ALBARRACIN ALBARRACIN</v>
          </cell>
          <cell r="M1942">
            <v>31</v>
          </cell>
          <cell r="N1942" t="str">
            <v>RESOLUCION</v>
          </cell>
          <cell r="O1942">
            <v>1447</v>
          </cell>
          <cell r="P1942">
            <v>43161</v>
          </cell>
          <cell r="Q1942" t="str">
            <v>AYUDA TEMPORAL A LAS FAMILIAS DE VARIAS LOCALIDADES, PARA LA RELOCALIZACIÓN DE HOGARES LOCALIZADOS EN ZONAS DE ALTO RIESGO NO MITIGABLE ID:2014-P474-00746, LOCALIDAD:04 SAN CRISTÓBAL, UPZ:33 SOSIEGO, SECTOR:PROCESO LA MARIA</v>
          </cell>
          <cell r="R1942">
            <v>3983670</v>
          </cell>
          <cell r="S1942">
            <v>0</v>
          </cell>
          <cell r="T1942">
            <v>0</v>
          </cell>
          <cell r="U1942">
            <v>3983670</v>
          </cell>
          <cell r="V1942">
            <v>1593468</v>
          </cell>
        </row>
        <row r="1943">
          <cell r="J1943">
            <v>1506</v>
          </cell>
          <cell r="K1943">
            <v>43161</v>
          </cell>
          <cell r="L1943" t="str">
            <v>LUZ HERMINDA MURILLO REIVA</v>
          </cell>
          <cell r="M1943">
            <v>31</v>
          </cell>
          <cell r="N1943" t="str">
            <v>RESOLUCION</v>
          </cell>
          <cell r="O1943">
            <v>1432</v>
          </cell>
          <cell r="P1943">
            <v>43161</v>
          </cell>
          <cell r="Q1943" t="str">
            <v>AYUDA TEMPORAL A LAS FAMILIAS DE VARIAS LOCALIDADES, PARA LA RELOCALIZACIÓN DE HOGARES LOCALIZADOS EN ZONAS DE ALTO RIESGO NO MITIGABLE ID:2016-08-14857, LOCALIDAD:08 KENNEDY, UPZ:82 PATIO BONITO, SECTOR:PALMITAS</v>
          </cell>
          <cell r="R1943">
            <v>2522994</v>
          </cell>
          <cell r="S1943">
            <v>0</v>
          </cell>
          <cell r="T1943">
            <v>0</v>
          </cell>
          <cell r="U1943">
            <v>2522994</v>
          </cell>
          <cell r="V1943">
            <v>2102495</v>
          </cell>
        </row>
        <row r="1944">
          <cell r="J1944">
            <v>1507</v>
          </cell>
          <cell r="K1944">
            <v>43161</v>
          </cell>
          <cell r="L1944" t="str">
            <v>JEIMMY KATHERIN REYES DIAZ</v>
          </cell>
          <cell r="M1944">
            <v>31</v>
          </cell>
          <cell r="N1944" t="str">
            <v>RESOLUCION</v>
          </cell>
          <cell r="O1944">
            <v>1421</v>
          </cell>
          <cell r="P1944">
            <v>43161</v>
          </cell>
          <cell r="Q1944" t="str">
            <v>AYUDA TEMPORAL A LAS FAMILIAS DE VARIAS LOCALIDADES, PARA LA RELOCALIZACIÓN DE HOGARES LOCALIZADOS EN ZONAS DE ALTO RIESGO NO MITIGABLE ID:2015-Q21-01403, LOCALIDAD:19 CIUDAD BOLÍVAR, UPZ:67 LUCERO, SECTOR:BRAZO DERECHO DE LIMAS</v>
          </cell>
          <cell r="R1944">
            <v>5863585</v>
          </cell>
          <cell r="S1944">
            <v>0</v>
          </cell>
          <cell r="T1944">
            <v>0</v>
          </cell>
          <cell r="U1944">
            <v>5863585</v>
          </cell>
          <cell r="V1944">
            <v>3157315</v>
          </cell>
        </row>
        <row r="1945">
          <cell r="J1945">
            <v>1508</v>
          </cell>
          <cell r="K1945">
            <v>43161</v>
          </cell>
          <cell r="L1945" t="str">
            <v>LIZETH  FRANCO OLAYA</v>
          </cell>
          <cell r="M1945">
            <v>31</v>
          </cell>
          <cell r="N1945" t="str">
            <v>RESOLUCION</v>
          </cell>
          <cell r="O1945">
            <v>1448</v>
          </cell>
          <cell r="P1945">
            <v>43161</v>
          </cell>
          <cell r="Q1945" t="str">
            <v>AYUDA TEMPORAL A LAS FAMILIAS DE VARIAS LOCALIDADES, PARA LA RELOCALIZACIÓN DE HOGARES LOCALIZADOS EN ZONAS DE ALTO RIESGO NO MITIGABLE ID:2011-19-12905, LOCALIDAD:19 CIUDAD BOLÍVAR, UPZ:68 EL TESORO</v>
          </cell>
          <cell r="R1945">
            <v>2582006</v>
          </cell>
          <cell r="S1945">
            <v>368858</v>
          </cell>
          <cell r="T1945">
            <v>0</v>
          </cell>
          <cell r="U1945">
            <v>2213148</v>
          </cell>
          <cell r="V1945">
            <v>2213148</v>
          </cell>
        </row>
        <row r="1946">
          <cell r="J1946">
            <v>1509</v>
          </cell>
          <cell r="K1946">
            <v>43161</v>
          </cell>
          <cell r="L1946" t="str">
            <v>ANA TULIA MARTINEZ OVALLE</v>
          </cell>
          <cell r="M1946">
            <v>31</v>
          </cell>
          <cell r="N1946" t="str">
            <v>RESOLUCION</v>
          </cell>
          <cell r="O1946">
            <v>1422</v>
          </cell>
          <cell r="P1946">
            <v>43161</v>
          </cell>
          <cell r="Q1946" t="str">
            <v>AYUDA TEMPORAL A LAS FAMILIAS DE VARIAS LOCALIDADES, PARA LA RELOCALIZACIÓN DE HOGARES LOCALIZADOS EN ZONAS DE ALTO RIESGO NO MITIGABLE ID:2006-4-8834, LOCALIDAD:04 SAN CRISTÓBAL, UPZ:50 LA GLORIA</v>
          </cell>
          <cell r="R1946">
            <v>5062452</v>
          </cell>
          <cell r="S1946">
            <v>0</v>
          </cell>
          <cell r="T1946">
            <v>0</v>
          </cell>
          <cell r="U1946">
            <v>5062452</v>
          </cell>
          <cell r="V1946">
            <v>2109355</v>
          </cell>
        </row>
        <row r="1947">
          <cell r="J1947">
            <v>1510</v>
          </cell>
          <cell r="K1947">
            <v>43161</v>
          </cell>
          <cell r="L1947" t="str">
            <v>YERALDIN  DAZA MALAGON</v>
          </cell>
          <cell r="M1947">
            <v>31</v>
          </cell>
          <cell r="N1947" t="str">
            <v>RESOLUCION</v>
          </cell>
          <cell r="O1947">
            <v>1449</v>
          </cell>
          <cell r="P1947">
            <v>43161</v>
          </cell>
          <cell r="Q1947" t="str">
            <v>AYUDA TEMPORAL A LAS FAMILIAS DE VARIAS LOCALIDADES, PARA LA RELOCALIZACIÓN DE HOGARES LOCALIZADOS EN ZONAS DE ALTO RIESGO NO MITIGABLE ID:2016-08-14911, LOCALIDAD:08 KENNEDY, UPZ:82 PATIO BONITO, SECTOR:PALMITAS</v>
          </cell>
          <cell r="R1947">
            <v>4625489</v>
          </cell>
          <cell r="S1947">
            <v>0</v>
          </cell>
          <cell r="T1947">
            <v>0</v>
          </cell>
          <cell r="U1947">
            <v>4625489</v>
          </cell>
          <cell r="V1947">
            <v>2102495</v>
          </cell>
        </row>
        <row r="1948">
          <cell r="J1948">
            <v>1511</v>
          </cell>
          <cell r="K1948">
            <v>43161</v>
          </cell>
          <cell r="L1948" t="str">
            <v>ANDREA ESTEFANIA DIAZ MENDOZA</v>
          </cell>
          <cell r="M1948">
            <v>31</v>
          </cell>
          <cell r="N1948" t="str">
            <v>RESOLUCION</v>
          </cell>
          <cell r="O1948">
            <v>1433</v>
          </cell>
          <cell r="P1948">
            <v>43161</v>
          </cell>
          <cell r="Q1948" t="str">
            <v>AYUDA TEMPORAL A LAS FAMILIAS DE VARIAS LOCALIDADES, PARA LA RELOCALIZACIÓN DE HOGARES LOCALIZADOS EN ZONAS DE ALTO RIESGO NO MITIGABLE ID:2015-3-14760, LOCALIDAD:03 SANTA FE, UPZ:96 LOURDES</v>
          </cell>
          <cell r="R1948">
            <v>6875245</v>
          </cell>
          <cell r="S1948">
            <v>0</v>
          </cell>
          <cell r="T1948">
            <v>0</v>
          </cell>
          <cell r="U1948">
            <v>6875245</v>
          </cell>
          <cell r="V1948">
            <v>3702055</v>
          </cell>
        </row>
        <row r="1949">
          <cell r="J1949">
            <v>1512</v>
          </cell>
          <cell r="K1949">
            <v>43161</v>
          </cell>
          <cell r="L1949" t="str">
            <v>FREDY DE JESUS SOTO URIBE</v>
          </cell>
          <cell r="M1949">
            <v>31</v>
          </cell>
          <cell r="N1949" t="str">
            <v>RESOLUCION</v>
          </cell>
          <cell r="O1949">
            <v>1450</v>
          </cell>
          <cell r="P1949">
            <v>43161</v>
          </cell>
          <cell r="Q1949" t="str">
            <v>AYUDA TEMPORAL A LAS FAMILIAS DE VARIAS LOCALIDADES, PARA LA RELOCALIZACIÓN DE HOGARES LOCALIZADOS EN ZONAS DE ALTO RIESGO NO MITIGABLE ID:2014-Q03-01244, LOCALIDAD:19 CIUDAD BOLÍVAR, UPZ:66 SAN FRANCISCO, SECTOR:LIMAS</v>
          </cell>
          <cell r="R1949">
            <v>4961495</v>
          </cell>
          <cell r="S1949">
            <v>0</v>
          </cell>
          <cell r="T1949">
            <v>0</v>
          </cell>
          <cell r="U1949">
            <v>4961495</v>
          </cell>
          <cell r="V1949">
            <v>2255225</v>
          </cell>
        </row>
        <row r="1950">
          <cell r="J1950">
            <v>1513</v>
          </cell>
          <cell r="K1950">
            <v>43161</v>
          </cell>
          <cell r="L1950" t="str">
            <v>JACQUELINE ENCARNACIÓN NAVARRO CONDE</v>
          </cell>
          <cell r="M1950">
            <v>31</v>
          </cell>
          <cell r="N1950" t="str">
            <v>RESOLUCION</v>
          </cell>
          <cell r="O1950">
            <v>1423</v>
          </cell>
          <cell r="P1950">
            <v>43161</v>
          </cell>
          <cell r="Q1950" t="str">
            <v>AYUDA TEMPORAL A LAS FAMILIAS DE VARIAS LOCALIDADES, PARA LA RELOCALIZACIÓN DE HOGARES LOCALIZADOS EN ZONAS DE ALTO RIESGO NO MITIGABLE ID:2004-5-5669, LOCALIDAD:05 USME, UPZ:59 ALFONSO LÓPEZ</v>
          </cell>
          <cell r="R1950">
            <v>4296831</v>
          </cell>
          <cell r="S1950">
            <v>0</v>
          </cell>
          <cell r="T1950">
            <v>0</v>
          </cell>
          <cell r="U1950">
            <v>4296831</v>
          </cell>
          <cell r="V1950">
            <v>1953105</v>
          </cell>
        </row>
        <row r="1951">
          <cell r="J1951">
            <v>1514</v>
          </cell>
          <cell r="K1951">
            <v>43161</v>
          </cell>
          <cell r="L1951" t="str">
            <v>FLOR MARIA GARCIA CUAN</v>
          </cell>
          <cell r="M1951">
            <v>31</v>
          </cell>
          <cell r="N1951" t="str">
            <v>RESOLUCION</v>
          </cell>
          <cell r="O1951">
            <v>1451</v>
          </cell>
          <cell r="P1951">
            <v>43161</v>
          </cell>
          <cell r="Q1951" t="str">
            <v>AYUDA TEMPORAL A LAS FAMILIAS DE VARIAS LOCALIDADES, PARA LA RELOCALIZACIÓN DE HOGARES LOCALIZADOS EN ZONAS DE ALTO RIESGO NO MITIGABLE ID:2012-18-14270, LOCALIDAD:18 RAFAEL URIBE URIBE, UPZ:55 DIANA TURBAY</v>
          </cell>
          <cell r="R1951">
            <v>2550150</v>
          </cell>
          <cell r="S1951">
            <v>510030</v>
          </cell>
          <cell r="T1951">
            <v>0</v>
          </cell>
          <cell r="U1951">
            <v>2040120</v>
          </cell>
          <cell r="V1951">
            <v>2040120</v>
          </cell>
        </row>
        <row r="1952">
          <cell r="J1952">
            <v>1515</v>
          </cell>
          <cell r="K1952">
            <v>43161</v>
          </cell>
          <cell r="L1952" t="str">
            <v>MARIA ESPERANZA GOMEZ</v>
          </cell>
          <cell r="M1952">
            <v>31</v>
          </cell>
          <cell r="N1952" t="str">
            <v>RESOLUCION</v>
          </cell>
          <cell r="O1952">
            <v>1434</v>
          </cell>
          <cell r="P1952">
            <v>43161</v>
          </cell>
          <cell r="Q1952" t="str">
            <v>AYUDA TEMPORAL A LAS FAMILIAS DE VARIAS LOCALIDADES, PARA LA RELOCALIZACIÓN DE HOGARES LOCALIZADOS EN ZONAS DE ALTO RIESGO NO MITIGABLE ID:2015-D227-00017, LOCALIDAD:04 SAN CRISTÓBAL, UPZ:51 LOS LIBERTADORES, SECTOR:SANTA TERESITA</v>
          </cell>
          <cell r="R1952">
            <v>5947019</v>
          </cell>
          <cell r="S1952">
            <v>0</v>
          </cell>
          <cell r="T1952">
            <v>0</v>
          </cell>
          <cell r="U1952">
            <v>5947019</v>
          </cell>
          <cell r="V1952">
            <v>3202241</v>
          </cell>
        </row>
        <row r="1953">
          <cell r="J1953">
            <v>1516</v>
          </cell>
          <cell r="K1953">
            <v>43161</v>
          </cell>
          <cell r="L1953" t="str">
            <v>CELIA LORENA AMARIS RIOS</v>
          </cell>
          <cell r="M1953">
            <v>31</v>
          </cell>
          <cell r="N1953" t="str">
            <v>RESOLUCION</v>
          </cell>
          <cell r="O1953">
            <v>1424</v>
          </cell>
          <cell r="P1953">
            <v>43161</v>
          </cell>
          <cell r="Q1953" t="str">
            <v>AYUDA TEMPORAL A LAS FAMILIAS DE VARIAS LOCALIDADES, PARA LA RELOCALIZACIÓN DE HOGARES LOCALIZADOS EN ZONAS DE ALTO RIESGO NO MITIGABLE ID:2013-4-14659, LOCALIDAD:04 SAN CRISTÓBAL, UPZ:32 SAN BLAS</v>
          </cell>
          <cell r="R1953">
            <v>5946005</v>
          </cell>
          <cell r="S1953">
            <v>0</v>
          </cell>
          <cell r="T1953">
            <v>0</v>
          </cell>
          <cell r="U1953">
            <v>5946005</v>
          </cell>
          <cell r="V1953">
            <v>2286925</v>
          </cell>
        </row>
        <row r="1954">
          <cell r="J1954">
            <v>1517</v>
          </cell>
          <cell r="K1954">
            <v>43161</v>
          </cell>
          <cell r="L1954" t="str">
            <v>ALONSO  RAMIREZ SAENZ</v>
          </cell>
          <cell r="M1954">
            <v>31</v>
          </cell>
          <cell r="N1954" t="str">
            <v>RESOLUCION</v>
          </cell>
          <cell r="O1954">
            <v>1452</v>
          </cell>
          <cell r="P1954">
            <v>43161</v>
          </cell>
          <cell r="Q1954" t="str">
            <v>AYUDA TEMPORAL A LAS FAMILIAS DE VARIAS LOCALIDADES, PARA LA RELOCALIZACIÓN DE HOGARES LOCALIZADOS EN ZONAS DE ALTO RIESGO NO MITIGABLE ID:2013000322, LOCALIDAD:19 CIUDAD BOLÍVAR, UPZ:67 LUCERO, SECTOR:PEÑA COLORADA</v>
          </cell>
          <cell r="R1954">
            <v>4961495</v>
          </cell>
          <cell r="S1954">
            <v>0</v>
          </cell>
          <cell r="T1954">
            <v>0</v>
          </cell>
          <cell r="U1954">
            <v>4961495</v>
          </cell>
          <cell r="V1954">
            <v>2255225</v>
          </cell>
        </row>
        <row r="1955">
          <cell r="J1955">
            <v>1518</v>
          </cell>
          <cell r="K1955">
            <v>43161</v>
          </cell>
          <cell r="L1955" t="str">
            <v>ELVIRA  FAJARDO</v>
          </cell>
          <cell r="M1955">
            <v>31</v>
          </cell>
          <cell r="N1955" t="str">
            <v>RESOLUCION</v>
          </cell>
          <cell r="O1955">
            <v>1425</v>
          </cell>
          <cell r="P1955">
            <v>43161</v>
          </cell>
          <cell r="Q1955" t="str">
            <v>AYUDA TEMPORAL A LAS FAMILIAS DE VARIAS LOCALIDADES, PARA LA RELOCALIZACIÓN DE HOGARES LOCALIZADOS EN ZONAS DE ALTO RIESGO NO MITIGABLE ID:2013000529, LOCALIDAD:19 CIUDAD BOLÍVAR, UPZ:67 LUCERO, SECTOR:BRAZO DERECHO DE LIMAS</v>
          </cell>
          <cell r="R1955">
            <v>2695285</v>
          </cell>
          <cell r="S1955">
            <v>539057</v>
          </cell>
          <cell r="T1955">
            <v>0</v>
          </cell>
          <cell r="U1955">
            <v>2156228</v>
          </cell>
          <cell r="V1955">
            <v>2156228</v>
          </cell>
        </row>
        <row r="1956">
          <cell r="J1956">
            <v>1519</v>
          </cell>
          <cell r="K1956">
            <v>43161</v>
          </cell>
          <cell r="L1956" t="str">
            <v>FRANCISCO JAVIER MONTENEGRO GONZALEZ</v>
          </cell>
          <cell r="M1956">
            <v>31</v>
          </cell>
          <cell r="N1956" t="str">
            <v>RESOLUCION</v>
          </cell>
          <cell r="O1956">
            <v>1426</v>
          </cell>
          <cell r="P1956">
            <v>43161</v>
          </cell>
          <cell r="Q1956" t="str">
            <v>AYUDA TEMPORAL A LAS FAMILIAS DE VARIAS LOCALIDADES, PARA LA RELOCALIZACIÓN DE HOGARES LOCALIZADOS EN ZONAS DE ALTO RIESGO NO MITIGABLE ID:2014-Q20-01252, LOCALIDAD:04 SAN CRISTÓBAL, UPZ:50 LA GLORIA, SECTOR:LA CHIGUAZA</v>
          </cell>
          <cell r="R1956">
            <v>1992165</v>
          </cell>
          <cell r="S1956">
            <v>0</v>
          </cell>
          <cell r="T1956">
            <v>0</v>
          </cell>
          <cell r="U1956">
            <v>1992165</v>
          </cell>
          <cell r="V1956">
            <v>398433</v>
          </cell>
        </row>
        <row r="1957">
          <cell r="J1957">
            <v>1520</v>
          </cell>
          <cell r="K1957">
            <v>43161</v>
          </cell>
          <cell r="L1957" t="str">
            <v>ALBENIS  CARRILLO</v>
          </cell>
          <cell r="M1957">
            <v>31</v>
          </cell>
          <cell r="N1957" t="str">
            <v>RESOLUCION</v>
          </cell>
          <cell r="O1957">
            <v>1468</v>
          </cell>
          <cell r="P1957">
            <v>43161</v>
          </cell>
          <cell r="Q1957" t="str">
            <v>AYUDA TEMPORAL A LAS FAMILIAS DE VARIAS LOCALIDADES, PARA LA RELOCALIZACIÓN DE HOGARES LOCALIZADOS EN ZONAS DE ALTO RIESGO NO MITIGABLE ID:2011-4-12661, LOCALIDAD:04 SAN CRISTÓBAL, UPZ:32 SAN BLAS</v>
          </cell>
          <cell r="R1957">
            <v>1562484</v>
          </cell>
          <cell r="S1957">
            <v>0</v>
          </cell>
          <cell r="T1957">
            <v>0</v>
          </cell>
          <cell r="U1957">
            <v>1562484</v>
          </cell>
          <cell r="V1957">
            <v>1171863</v>
          </cell>
        </row>
        <row r="1958">
          <cell r="J1958">
            <v>1521</v>
          </cell>
          <cell r="K1958">
            <v>43161</v>
          </cell>
          <cell r="L1958" t="str">
            <v>DIANA PATRICIA VENEGAS VARGAS</v>
          </cell>
          <cell r="M1958">
            <v>31</v>
          </cell>
          <cell r="N1958" t="str">
            <v>RESOLUCION</v>
          </cell>
          <cell r="O1958">
            <v>1467</v>
          </cell>
          <cell r="P1958">
            <v>43161</v>
          </cell>
          <cell r="Q1958" t="str">
            <v>AYUDA TEMPORAL A LAS FAMILIAS DE VARIAS LOCALIDADES, PARA LA RELOCALIZACIÓN DE HOGARES LOCALIZADOS EN ZONAS DE ALTO RIESGO NO MITIGABLE ID:2014-19-14712, LOCALIDAD:19 CIUDAD BOLIVAR, UPZ:68 EL TESORO</v>
          </cell>
          <cell r="R1958">
            <v>4472160</v>
          </cell>
          <cell r="S1958">
            <v>0</v>
          </cell>
          <cell r="T1958">
            <v>0</v>
          </cell>
          <cell r="U1958">
            <v>4472160</v>
          </cell>
          <cell r="V1958">
            <v>2032800</v>
          </cell>
        </row>
        <row r="1959">
          <cell r="J1959">
            <v>1522</v>
          </cell>
          <cell r="K1959">
            <v>43161</v>
          </cell>
          <cell r="L1959" t="str">
            <v>JOSE ALIRIO MARTINEZ OBANDO</v>
          </cell>
          <cell r="M1959">
            <v>31</v>
          </cell>
          <cell r="N1959" t="str">
            <v>RESOLUCION</v>
          </cell>
          <cell r="O1959">
            <v>1466</v>
          </cell>
          <cell r="P1959">
            <v>43161</v>
          </cell>
          <cell r="Q1959" t="str">
            <v>AYUDA TEMPORAL A LAS FAMILIAS DE VARIAS LOCALIDADES, PARA LA RELOCALIZACIÓN DE HOGARES LOCALIZADOS EN ZONAS DE ALTO RIESGO NO MITIGABLE ID:2015-Q03-01304, LOCALIDAD:19 CIUDAD BOLIVAR, UPZ:67 LUCERO, SECTOR: LIMAS</v>
          </cell>
          <cell r="R1959">
            <v>6296810</v>
          </cell>
          <cell r="S1959">
            <v>0</v>
          </cell>
          <cell r="T1959">
            <v>0</v>
          </cell>
          <cell r="U1959">
            <v>6296810</v>
          </cell>
          <cell r="V1959">
            <v>2421850</v>
          </cell>
        </row>
        <row r="1960">
          <cell r="J1960">
            <v>1523</v>
          </cell>
          <cell r="K1960">
            <v>43164</v>
          </cell>
          <cell r="L1960" t="str">
            <v>GLORIA  LASSO CARDOSO</v>
          </cell>
          <cell r="M1960">
            <v>31</v>
          </cell>
          <cell r="N1960" t="str">
            <v>RESOLUCION</v>
          </cell>
          <cell r="O1960">
            <v>1464</v>
          </cell>
          <cell r="P1960">
            <v>43164</v>
          </cell>
          <cell r="Q1960" t="str">
            <v>AYUDA TEMPORAL A LAS FAMILIAS DE VARIAS LOCALIDADES, PARA LA RELOCALIZACIÓN DE HOGARES LOCALIZADOS EN ZONAS DE ALTO RIESGO NO MITIGABLE ID:2009-5-11196, LOCALIDAD:05 USME, UPZ:60 PARQUE ENTRENUBES</v>
          </cell>
          <cell r="R1960">
            <v>4021290</v>
          </cell>
          <cell r="S1960">
            <v>574470</v>
          </cell>
          <cell r="T1960">
            <v>0</v>
          </cell>
          <cell r="U1960">
            <v>3446820</v>
          </cell>
          <cell r="V1960">
            <v>3446820</v>
          </cell>
        </row>
        <row r="1961">
          <cell r="J1961">
            <v>1524</v>
          </cell>
          <cell r="K1961">
            <v>43164</v>
          </cell>
          <cell r="L1961" t="str">
            <v>MARIA TERESA CASTILLO GONZALEZ</v>
          </cell>
          <cell r="M1961">
            <v>31</v>
          </cell>
          <cell r="N1961" t="str">
            <v>RESOLUCION</v>
          </cell>
          <cell r="O1961">
            <v>1465</v>
          </cell>
          <cell r="P1961">
            <v>43164</v>
          </cell>
          <cell r="Q1961" t="str">
            <v>AYUDA TEMPORAL A LAS FAMILIAS DE VARIAS LOCALIDADES, PARA LA RELOCALIZACIÓN DE HOGARES LOCALIZADOS EN ZONAS DE ALTO RIESGO NO MITIGABLE ID:2009-19-11127, LOCALIDAD:19 CIUDAD BOLÍVAR, UPZ:67 LUCERO</v>
          </cell>
          <cell r="R1961">
            <v>3515589</v>
          </cell>
          <cell r="S1961">
            <v>0</v>
          </cell>
          <cell r="T1961">
            <v>0</v>
          </cell>
          <cell r="U1961">
            <v>3515589</v>
          </cell>
          <cell r="V1961">
            <v>1953105</v>
          </cell>
        </row>
        <row r="1962">
          <cell r="J1962">
            <v>1526</v>
          </cell>
          <cell r="K1962">
            <v>43164</v>
          </cell>
          <cell r="L1962" t="str">
            <v>ANA YIBE BELTRAN HERNANDEZ</v>
          </cell>
          <cell r="M1962">
            <v>31</v>
          </cell>
          <cell r="N1962" t="str">
            <v>RESOLUCION</v>
          </cell>
          <cell r="O1962">
            <v>1479</v>
          </cell>
          <cell r="P1962">
            <v>43164</v>
          </cell>
          <cell r="Q1962" t="str">
            <v>AYUDA TEMPORAL A LAS FAMILIAS DE VARIAS LOCALIDADES, PARA LA RELOCALIZACIÓN DE HOGARES LOCALIZADOS EN ZONAS DE ALTO RIESGO NO MITIGABLE ID:2014-Q04-00834, LOCALIDAD:19 CIUDAD BOLÍVAR, UPZ:67 LUCERO, SECTOR: PEÑA COLORADA</v>
          </cell>
          <cell r="R1962">
            <v>1953105</v>
          </cell>
          <cell r="S1962">
            <v>390621</v>
          </cell>
          <cell r="T1962">
            <v>0</v>
          </cell>
          <cell r="U1962">
            <v>1562484</v>
          </cell>
          <cell r="V1962">
            <v>1562484</v>
          </cell>
        </row>
        <row r="1963">
          <cell r="J1963">
            <v>1527</v>
          </cell>
          <cell r="K1963">
            <v>43164</v>
          </cell>
          <cell r="L1963" t="str">
            <v>JEISSON JAIR GARZON VARGAS</v>
          </cell>
          <cell r="M1963">
            <v>31</v>
          </cell>
          <cell r="N1963" t="str">
            <v>RESOLUCION</v>
          </cell>
          <cell r="O1963">
            <v>1480</v>
          </cell>
          <cell r="P1963">
            <v>43164</v>
          </cell>
          <cell r="Q1963" t="str">
            <v>AYUDA TEMPORAL A LAS FAMILIAS DE VARIAS LOCALIDADES, PARA LA RELOCALIZACIÓN DE HOGARES LOCALIZADOS EN ZONAS DE ALTO RIESGO NO MITIGABLE ID:2016-04-00019, LOCALIDAD:04 SAN CRISTOBAL, UPZ:32 SAN BLAS, SECTOR: TRIANGULO ALTO</v>
          </cell>
          <cell r="R1963">
            <v>3983670</v>
          </cell>
          <cell r="S1963">
            <v>0</v>
          </cell>
          <cell r="T1963">
            <v>0</v>
          </cell>
          <cell r="U1963">
            <v>3983670</v>
          </cell>
          <cell r="V1963">
            <v>1327890</v>
          </cell>
        </row>
        <row r="1964">
          <cell r="J1964">
            <v>1528</v>
          </cell>
          <cell r="K1964">
            <v>43164</v>
          </cell>
          <cell r="L1964" t="str">
            <v>HECTOR JULIO TOVAR AREVALO</v>
          </cell>
          <cell r="M1964">
            <v>31</v>
          </cell>
          <cell r="N1964" t="str">
            <v>RESOLUCION</v>
          </cell>
          <cell r="O1964">
            <v>1478</v>
          </cell>
          <cell r="P1964">
            <v>43164</v>
          </cell>
          <cell r="Q1964" t="str">
            <v>AYUDA TEMPORAL A LAS FAMILIAS DE VARIAS LOCALIDADES, PARA LA RELOCALIZACIÓN DE HOGARES LOCALIZADOS EN ZONAS DE ALTO RIESGO NO MITIGABLE ID:2015-Q03-01449, LOCALIDAD:19 CIUDAD BOLÍVAR, UPZ:66 SAN FRANCISCO, SECTOR:LIMAS</v>
          </cell>
          <cell r="R1964">
            <v>2706270</v>
          </cell>
          <cell r="S1964">
            <v>0</v>
          </cell>
          <cell r="T1964">
            <v>0</v>
          </cell>
          <cell r="U1964">
            <v>2706270</v>
          </cell>
          <cell r="V1964">
            <v>2255225</v>
          </cell>
        </row>
        <row r="1965">
          <cell r="J1965">
            <v>1529</v>
          </cell>
          <cell r="K1965">
            <v>43165</v>
          </cell>
          <cell r="L1965" t="str">
            <v>ERASMO  PORRAS LOPEZ</v>
          </cell>
          <cell r="M1965">
            <v>31</v>
          </cell>
          <cell r="N1965" t="str">
            <v>RESOLUCION</v>
          </cell>
          <cell r="O1965">
            <v>1476</v>
          </cell>
          <cell r="P1965">
            <v>43165</v>
          </cell>
          <cell r="Q1965" t="str">
            <v>AYUDA TEMPORAL A LAS FAMILIAS DE VARIAS LOCALIDADES, PARA LA RELOCALIZACIÓN DE HOGARES LOCALIZADOS EN ZONAS DE ALTO RIESGO NO MITIGABLE ID:2011-20-13381, LOCALIDAD:20 SUMAPAZ, UPZ:5 UPR RIO SUMAPAZ</v>
          </cell>
          <cell r="R1965">
            <v>7109297</v>
          </cell>
          <cell r="S1965">
            <v>0</v>
          </cell>
          <cell r="T1965">
            <v>0</v>
          </cell>
          <cell r="U1965">
            <v>7109297</v>
          </cell>
          <cell r="V1965">
            <v>2734345</v>
          </cell>
        </row>
        <row r="1966">
          <cell r="J1966">
            <v>1530</v>
          </cell>
          <cell r="K1966">
            <v>43165</v>
          </cell>
          <cell r="L1966" t="str">
            <v>LUISA FERNANDA MARULANDA</v>
          </cell>
          <cell r="M1966">
            <v>31</v>
          </cell>
          <cell r="N1966" t="str">
            <v>RESOLUCION</v>
          </cell>
          <cell r="O1966">
            <v>1477</v>
          </cell>
          <cell r="P1966">
            <v>43165</v>
          </cell>
          <cell r="Q1966" t="str">
            <v>AYUDA TEMPORAL A LAS FAMILIAS DE VARIAS LOCALIDADES, PARA LA RELOCALIZACIÓN DE HOGARES LOCALIZADOS EN ZONAS DE ALTO RIESGO NO MITIGABLE ID:2016-08-14789, LOCALIDAD:08 KENNEDY, UPZ:82 PATIO BONITO, SECTOR:PALMITAS</v>
          </cell>
          <cell r="R1966">
            <v>3784491</v>
          </cell>
          <cell r="S1966">
            <v>0</v>
          </cell>
          <cell r="T1966">
            <v>0</v>
          </cell>
          <cell r="U1966">
            <v>3784491</v>
          </cell>
          <cell r="V1966">
            <v>2943493</v>
          </cell>
        </row>
        <row r="1967">
          <cell r="J1967">
            <v>1538</v>
          </cell>
          <cell r="K1967">
            <v>43165</v>
          </cell>
          <cell r="L1967" t="str">
            <v>NOEL  SUSA MAYORGA</v>
          </cell>
          <cell r="M1967">
            <v>31</v>
          </cell>
          <cell r="N1967" t="str">
            <v>RESOLUCION</v>
          </cell>
          <cell r="O1967">
            <v>1446</v>
          </cell>
          <cell r="P1967">
            <v>43165</v>
          </cell>
          <cell r="Q1967" t="str">
            <v>AYUDA TEMPORAL A LAS FAMILIAS DE VARIAS LOCALIDADES, PARA LA RELOCALIZACIÓN DE HOGARES LOCALIZADOS EN ZONAS DE ALTO RIESGO NO MITIGABLE ID:2012-20-14546, LOCALIDAD:20 SUMAPAZ, UPZ:5 UPR RIO SUMAPAZ</v>
          </cell>
          <cell r="R1967">
            <v>5468690</v>
          </cell>
          <cell r="S1967">
            <v>0</v>
          </cell>
          <cell r="T1967">
            <v>0</v>
          </cell>
          <cell r="U1967">
            <v>5468690</v>
          </cell>
          <cell r="V1967">
            <v>2734345</v>
          </cell>
        </row>
        <row r="1968">
          <cell r="J1968">
            <v>1539</v>
          </cell>
          <cell r="K1968">
            <v>43165</v>
          </cell>
          <cell r="L1968" t="str">
            <v>ANDREA  PUENTES NIÑO</v>
          </cell>
          <cell r="M1968">
            <v>31</v>
          </cell>
          <cell r="N1968" t="str">
            <v>RESOLUCION</v>
          </cell>
          <cell r="O1968">
            <v>1484</v>
          </cell>
          <cell r="P1968">
            <v>43165</v>
          </cell>
          <cell r="Q1968" t="str">
            <v>AYUDA TEMPORAL A LAS FAMILIAS DE VARIAS LOCALIDADES, PARA LA RELOCALIZACIÓN DE HOGARES LOCALIZADOS EN ZONAS DE ALTO RIESGO NO MITIGABLE ID:2013000495, LOCALIDAD:19 CIUDAD BOLÍVAR, UPZ:67 LUCERO, SECTOR:PEÑA COLORADA</v>
          </cell>
          <cell r="R1968">
            <v>2102495</v>
          </cell>
          <cell r="S1968">
            <v>0</v>
          </cell>
          <cell r="T1968">
            <v>0</v>
          </cell>
          <cell r="U1968">
            <v>2102495</v>
          </cell>
          <cell r="V1968">
            <v>420499</v>
          </cell>
        </row>
        <row r="1969">
          <cell r="J1969">
            <v>1543</v>
          </cell>
          <cell r="K1969">
            <v>43165</v>
          </cell>
          <cell r="L1969" t="str">
            <v>MARIA NUBIA CALERO DE OSORIO</v>
          </cell>
          <cell r="M1969">
            <v>31</v>
          </cell>
          <cell r="N1969" t="str">
            <v>RESOLUCION</v>
          </cell>
          <cell r="O1969">
            <v>1481</v>
          </cell>
          <cell r="P1969">
            <v>43165</v>
          </cell>
          <cell r="Q1969" t="str">
            <v>AYUDA TEMPORAL A LAS FAMILIAS DE VARIAS LOCALIDADES, PARA RELOCALIZACIÓN DE HOGARES LOCALIZADOS EN ZONAS DE ALTO RIESGO NO MITIGABLE ID:2011-19-12582, LOCALIDAD:19 CIUDAD BOLÍVAR, UPZ:67 LUCERO, SECTOR:LIMAS</v>
          </cell>
          <cell r="R1969">
            <v>3383254</v>
          </cell>
          <cell r="S1969">
            <v>3383254</v>
          </cell>
          <cell r="T1969">
            <v>0</v>
          </cell>
          <cell r="U1969">
            <v>0</v>
          </cell>
          <cell r="V1969">
            <v>0</v>
          </cell>
        </row>
        <row r="1970">
          <cell r="J1970">
            <v>1544</v>
          </cell>
          <cell r="K1970">
            <v>43166</v>
          </cell>
          <cell r="L1970" t="str">
            <v>MARIA ELIZABETH GONZALEZ SIMBACICA</v>
          </cell>
          <cell r="M1970">
            <v>31</v>
          </cell>
          <cell r="N1970" t="str">
            <v>RESOLUCION</v>
          </cell>
          <cell r="O1970">
            <v>1482</v>
          </cell>
          <cell r="P1970">
            <v>43166</v>
          </cell>
          <cell r="Q1970" t="str">
            <v>AYUDA TEMPORAL A LAS FAMILIAS DE VARIAS LOCALIDADES, PARA LA RELOCALIZACIÓN DE HOGARES LOCALIZADOS EN ZONAS DE ALTO RIESGO NO MITIGABLE ID:2013-Q09-00130, LOCALIDAD:19 CIUDAD BOLÍVAR, UPZ:67 LUCERO, SECTOR:QUEBRADA TROMPETA</v>
          </cell>
          <cell r="R1970">
            <v>4296831</v>
          </cell>
          <cell r="S1970">
            <v>0</v>
          </cell>
          <cell r="T1970">
            <v>0</v>
          </cell>
          <cell r="U1970">
            <v>4296831</v>
          </cell>
          <cell r="V1970">
            <v>1953105</v>
          </cell>
        </row>
        <row r="1971">
          <cell r="J1971">
            <v>1545</v>
          </cell>
          <cell r="K1971">
            <v>43166</v>
          </cell>
          <cell r="L1971" t="str">
            <v>ROSA ELENA HIGUERA GUACANEME</v>
          </cell>
          <cell r="M1971">
            <v>31</v>
          </cell>
          <cell r="N1971" t="str">
            <v>RESOLUCION</v>
          </cell>
          <cell r="O1971">
            <v>1483</v>
          </cell>
          <cell r="P1971">
            <v>43166</v>
          </cell>
          <cell r="Q1971" t="str">
            <v>AYUDA TEMPORAL A LAS FAMILIAS DE VARIAS LOCALIDADES, PARA LA RELOCALIZACIÓN DE HOGARES LOCALIZADOS EN ZONAS DE ALTO RIESGO NO MITIGABLE ID:2016-08-14823, LOCALIDAD:08 KENNEDY, UPZ:82 PATIO BONITO, SECTOR:PALMITAS</v>
          </cell>
          <cell r="R1971">
            <v>7170319</v>
          </cell>
          <cell r="S1971">
            <v>0</v>
          </cell>
          <cell r="T1971">
            <v>0</v>
          </cell>
          <cell r="U1971">
            <v>7170319</v>
          </cell>
          <cell r="V1971">
            <v>3860941</v>
          </cell>
        </row>
        <row r="1972">
          <cell r="J1972">
            <v>1548</v>
          </cell>
          <cell r="K1972">
            <v>43172</v>
          </cell>
          <cell r="L1972" t="str">
            <v>JORGE ADELMO LEAL</v>
          </cell>
          <cell r="M1972">
            <v>31</v>
          </cell>
          <cell r="N1972" t="str">
            <v>RESOLUCION</v>
          </cell>
          <cell r="O1972">
            <v>1503</v>
          </cell>
          <cell r="P1972">
            <v>43172</v>
          </cell>
          <cell r="Q1972" t="str">
            <v>AYUDA TEMPORAL A LAS FAMILIAS DE VARIAS LOCALIDADES, PARA LA RELOCALIZACIÓN DE HOGARES LOCALIZADOS EN ZONAS DE ALTO RIESGO NO MITIGABLE ID:1999-4-3094, LOCALIDAD:04 SAN CRISTÓBAL, UPZ:32 SAN BLAS</v>
          </cell>
          <cell r="R1972">
            <v>4317610</v>
          </cell>
          <cell r="S1972">
            <v>0</v>
          </cell>
          <cell r="T1972">
            <v>0</v>
          </cell>
          <cell r="U1972">
            <v>4317610</v>
          </cell>
          <cell r="V1972">
            <v>2158805</v>
          </cell>
        </row>
        <row r="1973">
          <cell r="J1973">
            <v>1549</v>
          </cell>
          <cell r="K1973">
            <v>43172</v>
          </cell>
          <cell r="L1973" t="str">
            <v>JADIR LEONARDO RODRIGUEZ VELASQUEZ</v>
          </cell>
          <cell r="M1973">
            <v>31</v>
          </cell>
          <cell r="N1973" t="str">
            <v>RESOLUCION</v>
          </cell>
          <cell r="O1973">
            <v>1498</v>
          </cell>
          <cell r="P1973">
            <v>43144</v>
          </cell>
          <cell r="Q1973" t="str">
            <v>AYUDA TEMPORAL A LAS FAMILIAS DE VARIAS LOCALIDADES, PARA LA RELOCALIZACIÓN DE HOGARES LOCALIZADOS EN ZONAS DE ALTO RIESGO NO MITIGABLE ID:2015-OTR-01377, LOCALIDAD:11 SUBA, UPZ:71 TIBABUYES, SECTOR:GAVILANES</v>
          </cell>
          <cell r="R1973">
            <v>3516527</v>
          </cell>
          <cell r="S1973">
            <v>0</v>
          </cell>
          <cell r="T1973">
            <v>0</v>
          </cell>
          <cell r="U1973">
            <v>3516527</v>
          </cell>
          <cell r="V1973">
            <v>3014166</v>
          </cell>
        </row>
        <row r="1974">
          <cell r="J1974">
            <v>1550</v>
          </cell>
          <cell r="K1974">
            <v>43172</v>
          </cell>
          <cell r="L1974" t="str">
            <v>VIVIANA AIDE HERRERA SALGADO</v>
          </cell>
          <cell r="M1974">
            <v>31</v>
          </cell>
          <cell r="N1974" t="str">
            <v>RESOLUCION</v>
          </cell>
          <cell r="O1974">
            <v>1499</v>
          </cell>
          <cell r="P1974">
            <v>43172</v>
          </cell>
          <cell r="Q1974" t="str">
            <v>AYUDA TEMPORAL A LAS FAMILIAS DE VARIAS LOCALIDADES, PARA LA RELOCALIZACIÓN DE HOGARES LOCALIZADOS EN ZONAS DE ALTO RIESGO NO MITIGABLE ID:2007-4-9326, LOCALIDAD:04 SAN CRISTÓBAL, UPZ:32 SAN BLAS</v>
          </cell>
          <cell r="R1974">
            <v>5531994</v>
          </cell>
          <cell r="S1974">
            <v>0</v>
          </cell>
          <cell r="T1974">
            <v>0</v>
          </cell>
          <cell r="U1974">
            <v>5531994</v>
          </cell>
          <cell r="V1974">
            <v>2127690</v>
          </cell>
        </row>
        <row r="1975">
          <cell r="J1975">
            <v>1551</v>
          </cell>
          <cell r="K1975">
            <v>43172</v>
          </cell>
          <cell r="L1975" t="str">
            <v>SANDRA NATALIA ORTEGA SORIANO</v>
          </cell>
          <cell r="M1975">
            <v>31</v>
          </cell>
          <cell r="N1975" t="str">
            <v>RESOLUCION</v>
          </cell>
          <cell r="O1975">
            <v>1500</v>
          </cell>
          <cell r="P1975">
            <v>43172</v>
          </cell>
          <cell r="Q1975" t="str">
            <v>AYUDA TEMPORAL A LAS FAMILIAS DE VARIAS LOCALIDADES, PARA RELOCALIZACIÓN DE HOGARES LOCALIZADOS EN ZONAS DE ALTO RIESGO NO MITIGABLE ID:2013000120, LOCALIDAD:19 CIUDAD BOLÍVAR, UPZ:67 LUCERO, SECTOR:QUEBRADA CAÑO BAÚL</v>
          </cell>
          <cell r="R1975">
            <v>4310000</v>
          </cell>
          <cell r="S1975">
            <v>0</v>
          </cell>
          <cell r="T1975">
            <v>0</v>
          </cell>
          <cell r="U1975">
            <v>4310000</v>
          </cell>
          <cell r="V1975">
            <v>3017000</v>
          </cell>
        </row>
        <row r="1976">
          <cell r="J1976">
            <v>1552</v>
          </cell>
          <cell r="K1976">
            <v>43172</v>
          </cell>
          <cell r="L1976" t="str">
            <v>BAYRON STIVEN URIBE CASTELLANOS</v>
          </cell>
          <cell r="M1976">
            <v>31</v>
          </cell>
          <cell r="N1976" t="str">
            <v>RESOLUCION</v>
          </cell>
          <cell r="O1976">
            <v>1497</v>
          </cell>
          <cell r="P1976">
            <v>43172</v>
          </cell>
          <cell r="Q1976" t="str">
            <v>AYUDA TEMPORAL A LAS FAMILIAS DE VARIAS LOCALIDADES, PARA LA RELOCALIZACIÓN DE HOGARES LOCALIZADOS EN ZONAS DE ALTO RIESGO NO MITIGABLE ID:2015-Q03-01300, LOCALIDAD:19 CIUDAD BOLÍVAR, UPZ:67 LUCERO, SECTOR:LIMAS</v>
          </cell>
          <cell r="R1976">
            <v>4961495</v>
          </cell>
          <cell r="S1976">
            <v>0</v>
          </cell>
          <cell r="T1976">
            <v>0</v>
          </cell>
          <cell r="U1976">
            <v>4961495</v>
          </cell>
          <cell r="V1976">
            <v>2255225</v>
          </cell>
        </row>
        <row r="1977">
          <cell r="J1977">
            <v>1553</v>
          </cell>
          <cell r="K1977">
            <v>43172</v>
          </cell>
          <cell r="L1977" t="str">
            <v>JAIRO HUMBERTO GARCIA BAREÑO</v>
          </cell>
          <cell r="M1977">
            <v>31</v>
          </cell>
          <cell r="N1977" t="str">
            <v>RESOLUCION</v>
          </cell>
          <cell r="O1977">
            <v>1496</v>
          </cell>
          <cell r="P1977">
            <v>43172</v>
          </cell>
          <cell r="Q1977" t="str">
            <v>AYUDA TEMPORAL A LAS FAMILIAS DE VARIAS LOCALIDADES, PARA LA RELOCALIZACIÓN DE HOGARES LOCALIZADOS EN ZONAS DE ALTO RIESGO NO MITIGABLE ID:2012-19-13915, LOCALIDAD:19 CIUDAD BOLÍVAR, UPZ:67 LUCERO</v>
          </cell>
          <cell r="R1977">
            <v>2976827</v>
          </cell>
          <cell r="S1977">
            <v>425261</v>
          </cell>
          <cell r="T1977">
            <v>0</v>
          </cell>
          <cell r="U1977">
            <v>2551566</v>
          </cell>
          <cell r="V1977">
            <v>2551566</v>
          </cell>
        </row>
        <row r="1978">
          <cell r="J1978">
            <v>1554</v>
          </cell>
          <cell r="K1978">
            <v>43172</v>
          </cell>
          <cell r="L1978" t="str">
            <v>DANIEL CALIXTO ORDOÑEZ BOLIVAR</v>
          </cell>
          <cell r="M1978">
            <v>31</v>
          </cell>
          <cell r="N1978" t="str">
            <v>RESOLUCION</v>
          </cell>
          <cell r="O1978">
            <v>1495</v>
          </cell>
          <cell r="P1978">
            <v>43172</v>
          </cell>
          <cell r="Q1978" t="str">
            <v>AYUDA TEMPORAL A LAS FAMILIAS DE VARIAS LOCALIDADES, PARA LA RELOCALIZACIÓN DE HOGARES LOCALIZADOS EN ZONAS DE ALTO RIESGO NO MITIGABLE ID:2014-OTR-00976, LOCALIDAD:19 CIUDAD BOLÍVAR, UPZ:67 LUCERO, SECTOR:TABOR ALTALOMA</v>
          </cell>
          <cell r="R1978">
            <v>5104011</v>
          </cell>
          <cell r="S1978">
            <v>0</v>
          </cell>
          <cell r="T1978">
            <v>0</v>
          </cell>
          <cell r="U1978">
            <v>5104011</v>
          </cell>
          <cell r="V1978">
            <v>2320005</v>
          </cell>
        </row>
        <row r="1979">
          <cell r="J1979">
            <v>1557</v>
          </cell>
          <cell r="K1979">
            <v>43173</v>
          </cell>
          <cell r="L1979" t="str">
            <v>MARTA CECILIA GARCIA</v>
          </cell>
          <cell r="M1979">
            <v>31</v>
          </cell>
          <cell r="N1979" t="str">
            <v>RESOLUCION</v>
          </cell>
          <cell r="O1979">
            <v>1523</v>
          </cell>
          <cell r="P1979">
            <v>43173</v>
          </cell>
          <cell r="Q1979" t="str">
            <v>AYUDA TEMPORAL A LAS FAMILIAS DE VARIAS LOCALIDADES, PARA LA RELOCALIZACIÓN DE HOGARES LOCALIZADOS EN ZONAS DE ALTO RIESGO NO MITIGABLE ID:2011-4-12716, LOCALIDAD:04 SAN CRISTÓBAL, UPZ:32 SAN BLAS</v>
          </cell>
          <cell r="R1979">
            <v>5780541</v>
          </cell>
          <cell r="S1979">
            <v>0</v>
          </cell>
          <cell r="T1979">
            <v>0</v>
          </cell>
          <cell r="U1979">
            <v>5780541</v>
          </cell>
          <cell r="V1979">
            <v>2223285</v>
          </cell>
        </row>
        <row r="1980">
          <cell r="J1980">
            <v>1558</v>
          </cell>
          <cell r="K1980">
            <v>43173</v>
          </cell>
          <cell r="L1980" t="str">
            <v>CARMEN ELISA RODRIGUEZ SANABRIA</v>
          </cell>
          <cell r="M1980">
            <v>31</v>
          </cell>
          <cell r="N1980" t="str">
            <v>RESOLUCION</v>
          </cell>
          <cell r="O1980">
            <v>1524</v>
          </cell>
          <cell r="P1980">
            <v>43173</v>
          </cell>
          <cell r="Q1980" t="str">
            <v>AYUDA TEMPORAL A LAS FAMILIAS DE VARIAS LOCALIDADES, PARA LA RELOCALIZACIÓN DE HOGARES LOCALIZADOS EN ZONAS DE ALTO RIESGO NO MITIGABLE ID:2015-D227-00013, LOCALIDAD:04 SAN CRISTÓBAL, UPZ:51 LOS LIBERTADORES, SECTOR:SANTA TERESITA</v>
          </cell>
          <cell r="R1980">
            <v>4942301</v>
          </cell>
          <cell r="S1980">
            <v>0</v>
          </cell>
          <cell r="T1980">
            <v>0</v>
          </cell>
          <cell r="U1980">
            <v>4942301</v>
          </cell>
          <cell r="V1980">
            <v>2661239</v>
          </cell>
        </row>
        <row r="1981">
          <cell r="J1981">
            <v>1559</v>
          </cell>
          <cell r="K1981">
            <v>43173</v>
          </cell>
          <cell r="L1981" t="str">
            <v>MARIA CELINA ÑEÑETOFE MATIAS</v>
          </cell>
          <cell r="M1981">
            <v>31</v>
          </cell>
          <cell r="N1981" t="str">
            <v>RESOLUCION</v>
          </cell>
          <cell r="O1981">
            <v>1525</v>
          </cell>
          <cell r="P1981">
            <v>43173</v>
          </cell>
          <cell r="Q1981" t="str">
            <v>AYUDA TEMPORAL A LAS FAMILIAS DE VARIAS LOCALIDADES, PARA LA RELOCALIZACIÓN DE HOGARES LOCALIZADOS EN ZONAS DE ALTO RIESGO NO MITIGABLE ID:2015-W166-524, LOCALIDAD:04 SAN CRISTÓBAL, UPZ:32 SAN BLAS, SECTOR:UITOTO</v>
          </cell>
          <cell r="R1981">
            <v>5219370</v>
          </cell>
          <cell r="S1981">
            <v>0</v>
          </cell>
          <cell r="T1981">
            <v>0</v>
          </cell>
          <cell r="U1981">
            <v>5219370</v>
          </cell>
          <cell r="V1981">
            <v>2319720</v>
          </cell>
        </row>
        <row r="1982">
          <cell r="J1982">
            <v>1560</v>
          </cell>
          <cell r="K1982">
            <v>43173</v>
          </cell>
          <cell r="L1982" t="str">
            <v>JUAN  ROMERO HERRERA</v>
          </cell>
          <cell r="M1982">
            <v>31</v>
          </cell>
          <cell r="N1982" t="str">
            <v>RESOLUCION</v>
          </cell>
          <cell r="O1982">
            <v>1517</v>
          </cell>
          <cell r="P1982">
            <v>43173</v>
          </cell>
          <cell r="Q1982" t="str">
            <v>AYUDA TEMPORAL A LAS FAMILIAS DE VARIAS LOCALIDADES, PARA LA RELOCALIZACIÓN DE HOGARES LOCALIZADOS EN ZONAS DE ALTO RIESGO NO MITIGABLE ID:2006-19-8562, LOCALIDAD:19 CIUDAD BOLÍVAR, UPZ:68 EL TESORO, SECTOR:QUEBRADA EL INFIERNO</v>
          </cell>
          <cell r="R1982">
            <v>7109297</v>
          </cell>
          <cell r="S1982">
            <v>0</v>
          </cell>
          <cell r="T1982">
            <v>0</v>
          </cell>
          <cell r="U1982">
            <v>7109297</v>
          </cell>
          <cell r="V1982">
            <v>2187476</v>
          </cell>
        </row>
        <row r="1983">
          <cell r="J1983">
            <v>1561</v>
          </cell>
          <cell r="K1983">
            <v>43173</v>
          </cell>
          <cell r="L1983" t="str">
            <v>ALIRIO  HOYOS</v>
          </cell>
          <cell r="M1983">
            <v>31</v>
          </cell>
          <cell r="N1983" t="str">
            <v>RESOLUCION</v>
          </cell>
          <cell r="O1983">
            <v>1514</v>
          </cell>
          <cell r="P1983">
            <v>43173</v>
          </cell>
          <cell r="Q1983" t="str">
            <v>AYUDA TEMPORAL A LAS FAMILIAS DE VARIAS LOCALIDADES, PARA RELOCALIZACIÓN DE HOGARES LOCALIZADOS EN ZONAS DE ALTO RIESGO NO MITIGABLE ID:2015-Q03-01359, LOCALIDAD:19 CIUDAD BOLÍVAR, UPZ:66 SAN FRANCISCO, SECTOR:LIMAS</v>
          </cell>
          <cell r="R1983">
            <v>2706270</v>
          </cell>
          <cell r="S1983">
            <v>0</v>
          </cell>
          <cell r="T1983">
            <v>0</v>
          </cell>
          <cell r="U1983">
            <v>2706270</v>
          </cell>
          <cell r="V1983">
            <v>2255225</v>
          </cell>
        </row>
        <row r="1984">
          <cell r="J1984">
            <v>1562</v>
          </cell>
          <cell r="K1984">
            <v>43173</v>
          </cell>
          <cell r="L1984" t="str">
            <v>LEONOR XIMENA DURA ISMARE</v>
          </cell>
          <cell r="M1984">
            <v>31</v>
          </cell>
          <cell r="N1984" t="str">
            <v>RESOLUCION</v>
          </cell>
          <cell r="O1984">
            <v>1518</v>
          </cell>
          <cell r="P1984">
            <v>43173</v>
          </cell>
          <cell r="Q1984" t="str">
            <v>AYUDA TEMPORAL A LAS FAMILIAS DE VARIAS LOCALIDADES, PARA LA RELOCALIZACIÓN DE HOGARES LOCALIZADOS EN ZONAS DE ALTO RIESGO NO MITIGABLE ID:2014-W166-076, LOCALIDAD:19 CIUDAD BOLÍVAR, UPZ:68 EL TESORO, SECTOR:WOUNAAN</v>
          </cell>
          <cell r="R1984">
            <v>5946005</v>
          </cell>
          <cell r="S1984">
            <v>0</v>
          </cell>
          <cell r="T1984">
            <v>0</v>
          </cell>
          <cell r="U1984">
            <v>5946005</v>
          </cell>
          <cell r="V1984">
            <v>1829540</v>
          </cell>
        </row>
        <row r="1985">
          <cell r="J1985">
            <v>1563</v>
          </cell>
          <cell r="K1985">
            <v>43173</v>
          </cell>
          <cell r="L1985" t="str">
            <v>ANA ELVIA RODRIGUEZ MENDEZ</v>
          </cell>
          <cell r="M1985">
            <v>31</v>
          </cell>
          <cell r="N1985" t="str">
            <v>RESOLUCION</v>
          </cell>
          <cell r="O1985">
            <v>1515</v>
          </cell>
          <cell r="P1985">
            <v>43173</v>
          </cell>
          <cell r="Q1985" t="str">
            <v>AYUDA TEMPORAL A LAS FAMILIAS DE VARIAS LOCALIDADES, PARA RELOCALIZACIÓN DE HOGARES LOCALIZADOS EN ZONAS DE ALTO RIESGO NO MITIGABLE ID:2014-OTR-00901, LOCALIDAD:03 SANTA FE, UPZ:96 LOURDES, SECTOR:CASA 3</v>
          </cell>
          <cell r="R1985">
            <v>2550450</v>
          </cell>
          <cell r="S1985">
            <v>425075</v>
          </cell>
          <cell r="T1985">
            <v>0</v>
          </cell>
          <cell r="U1985">
            <v>2125375</v>
          </cell>
          <cell r="V1985">
            <v>2125375</v>
          </cell>
        </row>
        <row r="1986">
          <cell r="J1986">
            <v>1564</v>
          </cell>
          <cell r="K1986">
            <v>43173</v>
          </cell>
          <cell r="L1986" t="str">
            <v>BERNALICIA  ISMARE OPUA</v>
          </cell>
          <cell r="M1986">
            <v>31</v>
          </cell>
          <cell r="N1986" t="str">
            <v>RESOLUCION</v>
          </cell>
          <cell r="O1986">
            <v>1519</v>
          </cell>
          <cell r="P1986">
            <v>43173</v>
          </cell>
          <cell r="Q1986" t="str">
            <v>AYUDA TEMPORAL A LAS FAMILIAS DE VARIAS LOCALIDADES, PARA LA RELOCALIZACIÓN DE HOGARES LOCALIZADOS EN ZONAS DE ALTO RIESGO NO MITIGABLE ID:2014-W166-037, LOCALIDAD:19 CIUDAD BOLÍVAR, UPZ:67 LUCERO, SECTOR:WOUNAAN</v>
          </cell>
          <cell r="R1986">
            <v>5946005</v>
          </cell>
          <cell r="S1986">
            <v>0</v>
          </cell>
          <cell r="T1986">
            <v>0</v>
          </cell>
          <cell r="U1986">
            <v>5946005</v>
          </cell>
          <cell r="V1986">
            <v>1829540</v>
          </cell>
        </row>
        <row r="1987">
          <cell r="J1987">
            <v>1565</v>
          </cell>
          <cell r="K1987">
            <v>43173</v>
          </cell>
          <cell r="L1987" t="str">
            <v>YANID ASTRID DIAZ MONTAÑEZ</v>
          </cell>
          <cell r="M1987">
            <v>31</v>
          </cell>
          <cell r="N1987" t="str">
            <v>RESOLUCION</v>
          </cell>
          <cell r="O1987">
            <v>1516</v>
          </cell>
          <cell r="P1987">
            <v>43173</v>
          </cell>
          <cell r="Q1987" t="str">
            <v>AYUDA TEMPORAL A LAS FAMILIAS DE VARIAS LOCALIDADES, PARA RELOCALIZACIÓN DE HOGARES LOCALIZADOS EN ZONAS DE ALTO RIESGO NO MITIGABLE ID:2011-4-12709, LOCALIDAD:04 SAN CRISTÓBAL, UPZ:32 SAN BLAS</v>
          </cell>
          <cell r="R1987">
            <v>2213148</v>
          </cell>
          <cell r="S1987">
            <v>368858</v>
          </cell>
          <cell r="T1987">
            <v>0</v>
          </cell>
          <cell r="U1987">
            <v>1844290</v>
          </cell>
          <cell r="V1987">
            <v>1844290</v>
          </cell>
        </row>
        <row r="1988">
          <cell r="J1988">
            <v>1566</v>
          </cell>
          <cell r="K1988">
            <v>43173</v>
          </cell>
          <cell r="L1988" t="str">
            <v>LILIANA  GRUESO DURA</v>
          </cell>
          <cell r="M1988">
            <v>31</v>
          </cell>
          <cell r="N1988" t="str">
            <v>RESOLUCION</v>
          </cell>
          <cell r="O1988">
            <v>1520</v>
          </cell>
          <cell r="P1988">
            <v>43173</v>
          </cell>
          <cell r="Q1988" t="str">
            <v>AYUDA TEMPORAL A LAS FAMILIAS DE VARIAS LOCALIDADES, PARA LA RELOCALIZACIÓN DE HOGARES LOCALIZADOS EN ZONAS DE ALTO RIESGO NO MITIGABLE ID:2015-W166-209, LOCALIDAD:04 SAN CRISTÓBAL, UPZ:33 SOSIEGO, SECTOR:EPERARA</v>
          </cell>
          <cell r="R1988">
            <v>5946005</v>
          </cell>
          <cell r="S1988">
            <v>0</v>
          </cell>
          <cell r="T1988">
            <v>0</v>
          </cell>
          <cell r="U1988">
            <v>5946005</v>
          </cell>
          <cell r="V1988">
            <v>1829540</v>
          </cell>
        </row>
        <row r="1989">
          <cell r="J1989">
            <v>1567</v>
          </cell>
          <cell r="K1989">
            <v>43173</v>
          </cell>
          <cell r="L1989" t="str">
            <v>WILMER  QUIRO MEMBACHE</v>
          </cell>
          <cell r="M1989">
            <v>31</v>
          </cell>
          <cell r="N1989" t="str">
            <v>RESOLUCION</v>
          </cell>
          <cell r="O1989">
            <v>1521</v>
          </cell>
          <cell r="P1989">
            <v>43173</v>
          </cell>
          <cell r="Q1989" t="str">
            <v>AYUDA TEMPORAL A LAS FAMILIAS DE VARIAS LOCALIDADES, PARA LA RELOCALIZACIÓN DE HOGARES LOCALIZADOS EN ZONAS DE ALTO RIESGO NO MITIGABLE ID:2014-W166-096, LOCALIDAD:19 CIUDAD BOLÍVAR, UPZ:68 EL TESORO, SECTOR:WOUNAAN</v>
          </cell>
          <cell r="R1989">
            <v>5754190</v>
          </cell>
          <cell r="S1989">
            <v>0</v>
          </cell>
          <cell r="T1989">
            <v>0</v>
          </cell>
          <cell r="U1989">
            <v>5754190</v>
          </cell>
          <cell r="V1989">
            <v>1770520</v>
          </cell>
        </row>
        <row r="1990">
          <cell r="J1990">
            <v>1568</v>
          </cell>
          <cell r="K1990">
            <v>43173</v>
          </cell>
          <cell r="L1990" t="str">
            <v>MARIA CELINA DURA PERTIAGA</v>
          </cell>
          <cell r="M1990">
            <v>31</v>
          </cell>
          <cell r="N1990" t="str">
            <v>RESOLUCION</v>
          </cell>
          <cell r="O1990">
            <v>1522</v>
          </cell>
          <cell r="P1990">
            <v>43173</v>
          </cell>
          <cell r="Q1990" t="str">
            <v>AYUDA TEMPORAL A LAS FAMILIAS DE VARIAS LOCALIDADES, PARA LA RELOCALIZACIÓN DE HOGARES LOCALIZADOS EN ZONAS DE ALTO RIESGO NO MITIGABLE ID:2015-W166-216, LOCALIDAD:04 SAN CRISTÓBAL, UPZ:33 SOSIEGO, SECTOR:EPERARA</v>
          </cell>
          <cell r="R1990">
            <v>7672262</v>
          </cell>
          <cell r="S1990">
            <v>0</v>
          </cell>
          <cell r="T1990">
            <v>0</v>
          </cell>
          <cell r="U1990">
            <v>7672262</v>
          </cell>
          <cell r="V1990">
            <v>2360696</v>
          </cell>
        </row>
        <row r="1991">
          <cell r="J1991">
            <v>1570</v>
          </cell>
          <cell r="K1991">
            <v>43173</v>
          </cell>
          <cell r="L1991" t="str">
            <v>ISABEL  MEMBACHE PIZARIO</v>
          </cell>
          <cell r="M1991">
            <v>31</v>
          </cell>
          <cell r="N1991" t="str">
            <v>RESOLUCION</v>
          </cell>
          <cell r="O1991">
            <v>1539</v>
          </cell>
          <cell r="P1991">
            <v>43173</v>
          </cell>
          <cell r="Q1991" t="str">
            <v>AYUDA TEMPORAL A LAS FAMILIAS DE VARIAS LOCALIDADES, PARA LA RELOCALIZACIÓN DE HOGARES LOCALIZADOS EN ZONAS DE ALTO RIESGO NO MITIGABLE ID:2015-W166-420, LOCALIDAD:19 CIUDAD BOLÍVAR, UPZ:67 LUCERO, SECTOR:WOUNAAN</v>
          </cell>
          <cell r="R1991">
            <v>5335434</v>
          </cell>
          <cell r="S1991">
            <v>0</v>
          </cell>
          <cell r="T1991">
            <v>0</v>
          </cell>
          <cell r="U1991">
            <v>5335434</v>
          </cell>
          <cell r="V1991">
            <v>2371304</v>
          </cell>
        </row>
        <row r="1992">
          <cell r="J1992">
            <v>1571</v>
          </cell>
          <cell r="K1992">
            <v>43173</v>
          </cell>
          <cell r="L1992" t="str">
            <v>GLADYS  CHIRIMIA CHICHILIANO</v>
          </cell>
          <cell r="M1992">
            <v>31</v>
          </cell>
          <cell r="N1992" t="str">
            <v>RESOLUCION</v>
          </cell>
          <cell r="O1992">
            <v>1538</v>
          </cell>
          <cell r="P1992">
            <v>43173</v>
          </cell>
          <cell r="Q1992" t="str">
            <v>AYUDA TEMPORAL A LAS FAMILIAS DE VARIAS LOCALIDADES, PARA LA RELOCALIZACIÓN DE HOGARES LOCALIZADOS EN ZONAS DE ALTO RIESGO NO MITIGABLE ID:2014-W166-084, LOCALIDAD:19 CIUDAD BOLÍVAR, UPZ:68 EL TESORO, SECTOR:WOUNAAN</v>
          </cell>
          <cell r="R1992">
            <v>4989600</v>
          </cell>
          <cell r="S1992">
            <v>0</v>
          </cell>
          <cell r="T1992">
            <v>0</v>
          </cell>
          <cell r="U1992">
            <v>4989600</v>
          </cell>
          <cell r="V1992">
            <v>2217600</v>
          </cell>
        </row>
        <row r="1993">
          <cell r="J1993">
            <v>1577</v>
          </cell>
          <cell r="K1993">
            <v>43174</v>
          </cell>
          <cell r="L1993" t="str">
            <v>OMAR MANUEL AGAMEZ RIVAS</v>
          </cell>
          <cell r="M1993">
            <v>31</v>
          </cell>
          <cell r="N1993" t="str">
            <v>RESOLUCION</v>
          </cell>
          <cell r="O1993">
            <v>1511</v>
          </cell>
          <cell r="P1993">
            <v>43174</v>
          </cell>
          <cell r="Q1993" t="str">
            <v>Asignacion del instrumento financiero a las familias ocupantes del predio que hayan superado la fase de verificacion dentro  del marco del Decreto 457 de 2017. LOCALIDAD: KENNEDY; BARRIO: VEREDITAS; ID: 2017-8-383732</v>
          </cell>
          <cell r="R1993">
            <v>54686940</v>
          </cell>
          <cell r="S1993">
            <v>0</v>
          </cell>
          <cell r="T1993">
            <v>0</v>
          </cell>
          <cell r="U1993">
            <v>54686940</v>
          </cell>
          <cell r="V1993">
            <v>0</v>
          </cell>
        </row>
        <row r="1994">
          <cell r="J1994">
            <v>1578</v>
          </cell>
          <cell r="K1994">
            <v>43174</v>
          </cell>
          <cell r="L1994" t="str">
            <v>MARIA PATRICIA FLOREZ HERNANDEZ</v>
          </cell>
          <cell r="M1994">
            <v>31</v>
          </cell>
          <cell r="N1994" t="str">
            <v>RESOLUCION</v>
          </cell>
          <cell r="O1994">
            <v>1512</v>
          </cell>
          <cell r="P1994">
            <v>43174</v>
          </cell>
          <cell r="Q1994" t="str">
            <v>Asignacion del instrumento financiero a las familias ocupantes del predio que hayan superado la fase de verificacion dentro  del marco del Decreto 457 de 2017. LOCALIDAD: KENNEDY; BARRIO: VEREDITAS; ID: 2017-8-383765</v>
          </cell>
          <cell r="R1994">
            <v>54686940</v>
          </cell>
          <cell r="S1994">
            <v>0</v>
          </cell>
          <cell r="T1994">
            <v>0</v>
          </cell>
          <cell r="U1994">
            <v>54686940</v>
          </cell>
          <cell r="V1994">
            <v>54686940</v>
          </cell>
        </row>
        <row r="1995">
          <cell r="J1995">
            <v>1579</v>
          </cell>
          <cell r="K1995">
            <v>43174</v>
          </cell>
          <cell r="L1995" t="str">
            <v>FREDY ALEXANDER NAVARRO SARMIENTO</v>
          </cell>
          <cell r="M1995">
            <v>31</v>
          </cell>
          <cell r="N1995" t="str">
            <v>RESOLUCION</v>
          </cell>
          <cell r="O1995">
            <v>1513</v>
          </cell>
          <cell r="P1995">
            <v>43174</v>
          </cell>
          <cell r="Q1995" t="str">
            <v>Asignacion del instrumento financiero a las familias ocupantes del predio que hayan superado la fase de verificacion dentro  del marco del Decreto 457 de 2017. LOCALIDAD: KENNEDY; BARRIO: VEREDITAS; ID: 2018-8-15224</v>
          </cell>
          <cell r="R1995">
            <v>54686940</v>
          </cell>
          <cell r="S1995">
            <v>0</v>
          </cell>
          <cell r="T1995">
            <v>0</v>
          </cell>
          <cell r="U1995">
            <v>54686940</v>
          </cell>
          <cell r="V1995">
            <v>54686940</v>
          </cell>
        </row>
        <row r="1996">
          <cell r="J1996">
            <v>1580</v>
          </cell>
          <cell r="K1996">
            <v>43174</v>
          </cell>
          <cell r="L1996" t="str">
            <v>GRACIELA  LEGUIZAMON CALDERON</v>
          </cell>
          <cell r="M1996">
            <v>31</v>
          </cell>
          <cell r="N1996" t="str">
            <v>RESOLUCION</v>
          </cell>
          <cell r="O1996">
            <v>1540</v>
          </cell>
          <cell r="P1996">
            <v>43174</v>
          </cell>
          <cell r="Q1996" t="str">
            <v>VUR de la actual vigencia. Dto 255 de 2013. LOCALIDAD:CHAPINERO; BARRIO:SAN LUIS ALTOS DEL CABO; ID:2009-2-11209</v>
          </cell>
          <cell r="R1996">
            <v>39062100</v>
          </cell>
          <cell r="S1996">
            <v>39062100</v>
          </cell>
          <cell r="T1996">
            <v>0</v>
          </cell>
          <cell r="U1996">
            <v>0</v>
          </cell>
          <cell r="V1996">
            <v>0</v>
          </cell>
        </row>
        <row r="1997">
          <cell r="J1997">
            <v>1581</v>
          </cell>
          <cell r="K1997">
            <v>43174</v>
          </cell>
          <cell r="L1997" t="str">
            <v>GRACIELA  LEGUIZAMON CALDERON</v>
          </cell>
          <cell r="M1997">
            <v>31</v>
          </cell>
          <cell r="N1997" t="str">
            <v>RESOLUCION</v>
          </cell>
          <cell r="O1997">
            <v>1540</v>
          </cell>
          <cell r="P1997">
            <v>43174</v>
          </cell>
          <cell r="Q1997" t="str">
            <v>VUR DE LA ACTUAL VIGENCIA. DTO 255 DE 2013. LOCALIDAD:CHAPINERO; BARRIO:SAN LUIS ALTOS DEL CABO; ID:2009-2-11209(DE ACUERDO CON EL ARTICULO SEGUNDO DE LA PARTE RESOLUTIVA DE LA RESOLUCION 1540 DEL 14 DE MARZO DE 2018, SE ORDENA EL GIRO DEL VUR ASIGNADO A LOS SEÑORES GRACIELA LEGUIZAMON CALDERON C.C. N°41.466.825 Y JUAN DE JESUS LEGUIZAMON CALDERON C.C N°79.153.781 REPRESENTADO LEGALMENTE POR LA SEÑORA LUZ YANITZ LEGUIZAMON C C N°52.259.803)</v>
          </cell>
          <cell r="R1997">
            <v>39062100</v>
          </cell>
          <cell r="S1997">
            <v>0</v>
          </cell>
          <cell r="T1997">
            <v>0</v>
          </cell>
          <cell r="U1997">
            <v>39062100</v>
          </cell>
          <cell r="V1997">
            <v>0</v>
          </cell>
        </row>
        <row r="1998">
          <cell r="J1998">
            <v>1582</v>
          </cell>
          <cell r="K1998">
            <v>43174</v>
          </cell>
          <cell r="L1998" t="str">
            <v>NIKOL KAROLAY RUIZ SANCHEZ</v>
          </cell>
          <cell r="M1998">
            <v>31</v>
          </cell>
          <cell r="N1998" t="str">
            <v>RESOLUCION</v>
          </cell>
          <cell r="O1998">
            <v>1509</v>
          </cell>
          <cell r="P1998">
            <v>43174</v>
          </cell>
          <cell r="Q1998" t="str">
            <v>Asignacion del instrumento financiero a las familias ocupantes del predio que hayan superado la fase de verificacion dentro  del marco del Decreto 457 de 2017. LOCALIDAD: KENNEDY; BARRIO: VEREDITAS; ID: 2018-8-383924</v>
          </cell>
          <cell r="R1998">
            <v>54686940</v>
          </cell>
          <cell r="S1998">
            <v>0</v>
          </cell>
          <cell r="T1998">
            <v>0</v>
          </cell>
          <cell r="U1998">
            <v>54686940</v>
          </cell>
          <cell r="V1998">
            <v>54686940</v>
          </cell>
        </row>
        <row r="1999">
          <cell r="J1999">
            <v>1583</v>
          </cell>
          <cell r="K1999">
            <v>43174</v>
          </cell>
          <cell r="L1999" t="str">
            <v>SARA  VASQUEZ CARDONA</v>
          </cell>
          <cell r="M1999">
            <v>31</v>
          </cell>
          <cell r="N1999" t="str">
            <v>RESOLUCION</v>
          </cell>
          <cell r="O1999">
            <v>1510</v>
          </cell>
          <cell r="P1999">
            <v>43174</v>
          </cell>
          <cell r="Q1999" t="str">
            <v>Asignacion del instrumento financiero a las familias ocupantes del predio que hayan superado la fase de verificacion dentro  del marco del Decreto 457 de 2017. LOCALIDAD: KENNEDY; BARRIO: VEREDITAS; ID: 2018-8-383926</v>
          </cell>
          <cell r="R1999">
            <v>54686940</v>
          </cell>
          <cell r="S1999">
            <v>0</v>
          </cell>
          <cell r="T1999">
            <v>0</v>
          </cell>
          <cell r="U1999">
            <v>54686940</v>
          </cell>
          <cell r="V1999">
            <v>54686940</v>
          </cell>
        </row>
        <row r="2000">
          <cell r="J2000">
            <v>1584</v>
          </cell>
          <cell r="K2000">
            <v>43174</v>
          </cell>
          <cell r="L2000" t="str">
            <v>DEYFA PATRICIA CUERO CHIRIPUA</v>
          </cell>
          <cell r="M2000">
            <v>31</v>
          </cell>
          <cell r="N2000" t="str">
            <v>RESOLUCION</v>
          </cell>
          <cell r="O2000">
            <v>1537</v>
          </cell>
          <cell r="P2000">
            <v>43174</v>
          </cell>
          <cell r="Q2000" t="str">
            <v>AYUDA TEMPORAL A LAS FAMILIAS DE VARIAS LOCALIDADES, PARA LA RELOCALIZACIÓN DE HOGARES LOCALIZADOS EN ZONAS DE ALTO RIESGO NO MITIGABLE ID:2015-W166-433, LOCALIDAD:19 CIUDAD BOLÍVAR, UPZ:67 LUCERO, SECTOR:WOUNAAN</v>
          </cell>
          <cell r="R2000">
            <v>4117212</v>
          </cell>
          <cell r="S2000">
            <v>0</v>
          </cell>
          <cell r="T2000">
            <v>0</v>
          </cell>
          <cell r="U2000">
            <v>4117212</v>
          </cell>
          <cell r="V2000">
            <v>3202276</v>
          </cell>
        </row>
        <row r="2001">
          <cell r="J2001">
            <v>1610</v>
          </cell>
          <cell r="K2001">
            <v>43180</v>
          </cell>
          <cell r="L2001" t="str">
            <v>WILMERS DAVID RICO SILVA</v>
          </cell>
          <cell r="M2001">
            <v>31</v>
          </cell>
          <cell r="N2001" t="str">
            <v>RESOLUCION</v>
          </cell>
          <cell r="O2001">
            <v>1608</v>
          </cell>
          <cell r="P2001">
            <v>43180</v>
          </cell>
          <cell r="Q2001" t="str">
            <v>Asignacion del instrumento financiero a las familias ocupantes del predio que hayan superado la fase de verificacion dentro  del marco del Decreto 457 de 2017. LOCALIDAD: KENNEDY; BARRIO: VEREDITAS; ID: 2018-8-15299</v>
          </cell>
          <cell r="R2001">
            <v>54686940</v>
          </cell>
          <cell r="S2001">
            <v>0</v>
          </cell>
          <cell r="T2001">
            <v>0</v>
          </cell>
          <cell r="U2001">
            <v>54686940</v>
          </cell>
          <cell r="V2001">
            <v>54686940</v>
          </cell>
        </row>
        <row r="2002">
          <cell r="J2002">
            <v>1611</v>
          </cell>
          <cell r="K2002">
            <v>43180</v>
          </cell>
          <cell r="L2002" t="str">
            <v>CARLOS ARTURO RICO GUTIERREZ</v>
          </cell>
          <cell r="M2002">
            <v>31</v>
          </cell>
          <cell r="N2002" t="str">
            <v>RESOLUCION</v>
          </cell>
          <cell r="O2002">
            <v>1609</v>
          </cell>
          <cell r="P2002">
            <v>43180</v>
          </cell>
          <cell r="Q2002" t="str">
            <v>Asignacion del instrumento financiero a las familias ocupantes del predio que hayan superado la fase de verificacion dentro  del marco del Decreto 457 de 2017. LOCALIDAD: KENNEDY; BARRIO: VEREDITAS; ID: 2017-8-383787.</v>
          </cell>
          <cell r="R2002">
            <v>54686940</v>
          </cell>
          <cell r="S2002">
            <v>0</v>
          </cell>
          <cell r="T2002">
            <v>0</v>
          </cell>
          <cell r="U2002">
            <v>54686940</v>
          </cell>
          <cell r="V2002">
            <v>54686940</v>
          </cell>
        </row>
        <row r="2003">
          <cell r="J2003">
            <v>1621</v>
          </cell>
          <cell r="K2003">
            <v>43182</v>
          </cell>
          <cell r="L2003" t="str">
            <v>PABLO ALFONSO LEON ORTIZ</v>
          </cell>
          <cell r="M2003">
            <v>31</v>
          </cell>
          <cell r="N2003" t="str">
            <v>RESOLUCION</v>
          </cell>
          <cell r="O2003">
            <v>1541</v>
          </cell>
          <cell r="P2003">
            <v>43182</v>
          </cell>
          <cell r="Q2003" t="str">
            <v>reajuste de Vur por avalúo comercial (Segunda vez).Dto 255 de 2013. LOCALIDAD:CIUDAD BOLIVAR; BARRIO: POTOSI; ID:2013000474</v>
          </cell>
          <cell r="R2003">
            <v>30749982</v>
          </cell>
          <cell r="S2003">
            <v>0</v>
          </cell>
          <cell r="T2003">
            <v>0</v>
          </cell>
          <cell r="U2003">
            <v>30749982</v>
          </cell>
          <cell r="V2003">
            <v>30749982</v>
          </cell>
        </row>
        <row r="2004">
          <cell r="J2004">
            <v>1622</v>
          </cell>
          <cell r="K2004">
            <v>43182</v>
          </cell>
          <cell r="L2004" t="str">
            <v>RENZO MANUEL BUITRAGO NAVAS</v>
          </cell>
          <cell r="M2004">
            <v>31</v>
          </cell>
          <cell r="N2004" t="str">
            <v>RESOLUCION</v>
          </cell>
          <cell r="O2004">
            <v>1630</v>
          </cell>
          <cell r="P2004">
            <v>43182</v>
          </cell>
          <cell r="Q2004" t="str">
            <v>Asignacion del instrumento financiero a las familias ocupantes del predio que hayan superado la fase de verificacion dentro  del marco del Decreto 457 de 2017. LOCALIDAD: KENNEDY; BARRIO: VEREDITAS; ID: 2018-8-384287</v>
          </cell>
          <cell r="R2004">
            <v>54686940</v>
          </cell>
          <cell r="S2004">
            <v>0</v>
          </cell>
          <cell r="T2004">
            <v>0</v>
          </cell>
          <cell r="U2004">
            <v>54686940</v>
          </cell>
          <cell r="V2004">
            <v>54686940</v>
          </cell>
        </row>
        <row r="2005">
          <cell r="J2005">
            <v>1623</v>
          </cell>
          <cell r="K2005">
            <v>43182</v>
          </cell>
          <cell r="L2005" t="str">
            <v>JOSE FLAVIO MEJIA QUIRO</v>
          </cell>
          <cell r="M2005">
            <v>31</v>
          </cell>
          <cell r="N2005" t="str">
            <v>RESOLUCION</v>
          </cell>
          <cell r="O2005">
            <v>1569</v>
          </cell>
          <cell r="P2005">
            <v>43182</v>
          </cell>
          <cell r="Q2005" t="str">
            <v>AYUDA TEMPORAL A LAS FAMILIAS DE VARIAS LOCALIDADES, PARA LA RELOCALIZACIÓN DE HOGARES LOCALIZADOS EN ZONAS DE ALTO RIESGO NO MITIGABLE ID:2015-W166-220, LOCALIDAD:04 SAN CRISTÓBAL, UPZ:33 SOSIEGO, SECTOR:EPERARA</v>
          </cell>
          <cell r="R2005">
            <v>5311560</v>
          </cell>
          <cell r="S2005">
            <v>0</v>
          </cell>
          <cell r="T2005">
            <v>0</v>
          </cell>
          <cell r="U2005">
            <v>5311560</v>
          </cell>
          <cell r="V2005">
            <v>2124624</v>
          </cell>
        </row>
        <row r="2006">
          <cell r="J2006">
            <v>1624</v>
          </cell>
          <cell r="K2006">
            <v>43182</v>
          </cell>
          <cell r="L2006" t="str">
            <v>AMILKAR  PIRAZA MEPAQUITO</v>
          </cell>
          <cell r="M2006">
            <v>31</v>
          </cell>
          <cell r="N2006" t="str">
            <v>RESOLUCION</v>
          </cell>
          <cell r="O2006">
            <v>1570</v>
          </cell>
          <cell r="P2006">
            <v>43182</v>
          </cell>
          <cell r="Q2006" t="str">
            <v>AYUDA TEMPORAL A LAS FAMILIAS DE VARIAS LOCALIDADES, PARA LA RELOCALIZACIÓN DE HOGARES LOCALIZADOS EN ZONAS DE ALTO RIESGO NO MITIGABLE ID:2014-W166-050, LOCALIDAD:19 CIUDAD BOLÍVAR, UPZ:68 EL TESORO, SECTOR:WOUNAAN</v>
          </cell>
          <cell r="R2006">
            <v>6491914</v>
          </cell>
          <cell r="S2006">
            <v>0</v>
          </cell>
          <cell r="T2006">
            <v>0</v>
          </cell>
          <cell r="U2006">
            <v>6491914</v>
          </cell>
          <cell r="V2006">
            <v>2360696</v>
          </cell>
        </row>
        <row r="2007">
          <cell r="J2007">
            <v>1625</v>
          </cell>
          <cell r="K2007">
            <v>43182</v>
          </cell>
          <cell r="L2007" t="str">
            <v>MARIA LIGIA PIRAZA ISMARE</v>
          </cell>
          <cell r="M2007">
            <v>31</v>
          </cell>
          <cell r="N2007" t="str">
            <v>RESOLUCION</v>
          </cell>
          <cell r="O2007">
            <v>1571</v>
          </cell>
          <cell r="P2007">
            <v>43182</v>
          </cell>
          <cell r="Q2007" t="str">
            <v>AYUDA TEMPORAL A LAS FAMILIAS DE VARIAS LOCALIDADES, PARA LA RELOCALIZACIÓN DE HOGARES LOCALIZADOS EN ZONAS DE ALTO RIESGO NO MITIGABLE ID:2014-W166-078, LOCALIDAD:19 CIUDAD BOLÍVAR, UPZ:68 EL TESORO, SECTOR:WOUNAAN</v>
          </cell>
          <cell r="R2007">
            <v>5031235</v>
          </cell>
          <cell r="S2007">
            <v>0</v>
          </cell>
          <cell r="T2007">
            <v>0</v>
          </cell>
          <cell r="U2007">
            <v>5031235</v>
          </cell>
          <cell r="V2007">
            <v>1829540</v>
          </cell>
        </row>
        <row r="2008">
          <cell r="J2008">
            <v>1626</v>
          </cell>
          <cell r="K2008">
            <v>43182</v>
          </cell>
          <cell r="L2008" t="str">
            <v>YESSICA  CARDENAS CUERO</v>
          </cell>
          <cell r="M2008">
            <v>31</v>
          </cell>
          <cell r="N2008" t="str">
            <v>RESOLUCION</v>
          </cell>
          <cell r="O2008">
            <v>1572</v>
          </cell>
          <cell r="P2008">
            <v>43182</v>
          </cell>
          <cell r="Q2008" t="str">
            <v>AYUDA TEMPORAL A LAS FAMILIAS DE VARIAS LOCALIDADES, PARA LA RELOCALIZACIÓN DE HOGARES LOCALIZADOS EN ZONAS DE ALTO RIESGO NO MITIGABLE ID:2015-W166-428, LOCALIDAD:19 CIUDAD BOLÍVAR, UPZ:68 EL TESORO, SECTOR:WOUNAAN</v>
          </cell>
          <cell r="R2008">
            <v>6491914</v>
          </cell>
          <cell r="S2008">
            <v>0</v>
          </cell>
          <cell r="T2008">
            <v>0</v>
          </cell>
          <cell r="U2008">
            <v>6491914</v>
          </cell>
          <cell r="V2008">
            <v>2360696</v>
          </cell>
        </row>
        <row r="2009">
          <cell r="J2009">
            <v>1627</v>
          </cell>
          <cell r="K2009">
            <v>43182</v>
          </cell>
          <cell r="L2009" t="str">
            <v>LUCERITA  ISMARE CONQUISTA</v>
          </cell>
          <cell r="M2009">
            <v>31</v>
          </cell>
          <cell r="N2009" t="str">
            <v>RESOLUCION</v>
          </cell>
          <cell r="O2009">
            <v>1573</v>
          </cell>
          <cell r="P2009">
            <v>43182</v>
          </cell>
          <cell r="Q2009" t="str">
            <v>AYUDA TEMPORAL A LAS FAMILIAS DE VARIAS LOCALIDADES, PARA LA RELOCALIZACIÓN DE HOGARES LOCALIZADOS EN ZONAS DE ALTO RIESGO NO MITIGABLE ID:2015-W166-413, LOCALIDAD:19 CIUDAD BOLÍVAR, UPZ:67 LUCERO, SECTOR:WOUNAAN</v>
          </cell>
          <cell r="R2009">
            <v>6491914</v>
          </cell>
          <cell r="S2009">
            <v>0</v>
          </cell>
          <cell r="T2009">
            <v>0</v>
          </cell>
          <cell r="U2009">
            <v>6491914</v>
          </cell>
          <cell r="V2009">
            <v>2360696</v>
          </cell>
        </row>
        <row r="2010">
          <cell r="J2010">
            <v>1628</v>
          </cell>
          <cell r="K2010">
            <v>43182</v>
          </cell>
          <cell r="L2010" t="str">
            <v>JOAQUIN  MORENO ORTIZ</v>
          </cell>
          <cell r="M2010">
            <v>31</v>
          </cell>
          <cell r="N2010" t="str">
            <v>RESOLUCION</v>
          </cell>
          <cell r="O2010">
            <v>1612</v>
          </cell>
          <cell r="P2010">
            <v>43182</v>
          </cell>
          <cell r="Q2010" t="str">
            <v>AYUDA TEMPORAL A LAS FAMILIAS DE VARIAS LOCALIDADES, PARA LA RELOCALIZACIÓN DE HOGARES LOCALIZADOS EN ZONAS DE ALTO RIESGO NO MITIGABLE ID:2011-19-13542, LOCALIDAD:19 CIUDAD BOLÍVAR, UPZ:68 EL TESORO</v>
          </cell>
          <cell r="R2010">
            <v>6296810</v>
          </cell>
          <cell r="S2010">
            <v>0</v>
          </cell>
          <cell r="T2010">
            <v>0</v>
          </cell>
          <cell r="U2010">
            <v>6296810</v>
          </cell>
          <cell r="V2010">
            <v>1937480</v>
          </cell>
        </row>
        <row r="2011">
          <cell r="J2011">
            <v>1629</v>
          </cell>
          <cell r="K2011">
            <v>43182</v>
          </cell>
          <cell r="L2011" t="str">
            <v>ALBEIRO  VALENCIA CUERO</v>
          </cell>
          <cell r="M2011">
            <v>31</v>
          </cell>
          <cell r="N2011" t="str">
            <v>RESOLUCION</v>
          </cell>
          <cell r="O2011">
            <v>1613</v>
          </cell>
          <cell r="P2011">
            <v>43182</v>
          </cell>
          <cell r="Q2011" t="str">
            <v>AYUDA TEMPORAL A LAS FAMILIAS DE VARIAS LOCALIDADES, PARA LA RELOCALIZACIÓN DE HOGARES LOCALIZADOS EN ZONAS DE ALTO RIESGO NO MITIGABLE ID:2015-W166-516, LOCALIDAD:19 CIUDAD BOLÍVAR, UPZ:67 LUCERO, SECTOR:WOUNAANE</v>
          </cell>
          <cell r="R2011">
            <v>4123650</v>
          </cell>
          <cell r="S2011">
            <v>0</v>
          </cell>
          <cell r="T2011">
            <v>0</v>
          </cell>
          <cell r="U2011">
            <v>4123650</v>
          </cell>
          <cell r="V2011">
            <v>1649460</v>
          </cell>
        </row>
        <row r="2012">
          <cell r="J2012">
            <v>1630</v>
          </cell>
          <cell r="K2012">
            <v>43182</v>
          </cell>
          <cell r="L2012" t="str">
            <v>ANIBAL  BURGARA OPUA</v>
          </cell>
          <cell r="M2012">
            <v>31</v>
          </cell>
          <cell r="N2012" t="str">
            <v>RESOLUCION</v>
          </cell>
          <cell r="O2012">
            <v>1614</v>
          </cell>
          <cell r="P2012">
            <v>43182</v>
          </cell>
          <cell r="Q2012" t="str">
            <v>AYUDA TEMPORAL A LAS FAMILIAS DE VARIAS LOCALIDADES, PARA LA RELOCALIZACIÓN DE HOGARES LOCALIZADOS EN ZONAS DE ALTO RIESGO NO MITIGABLE ID:2014-W166-051, LOCALIDAD:19 CIUDAD BOLÍVAR, UPZ:68 EL TESORO, SECTOR:WOUNAAN</v>
          </cell>
          <cell r="R2012">
            <v>4979592</v>
          </cell>
          <cell r="S2012">
            <v>0</v>
          </cell>
          <cell r="T2012">
            <v>0</v>
          </cell>
          <cell r="U2012">
            <v>4979592</v>
          </cell>
          <cell r="V2012">
            <v>2213152</v>
          </cell>
        </row>
        <row r="2013">
          <cell r="J2013">
            <v>1631</v>
          </cell>
          <cell r="K2013">
            <v>43182</v>
          </cell>
          <cell r="L2013" t="str">
            <v>EZEQUIEL  MERCAZA PIRAZA</v>
          </cell>
          <cell r="M2013">
            <v>31</v>
          </cell>
          <cell r="N2013" t="str">
            <v>RESOLUCION</v>
          </cell>
          <cell r="O2013">
            <v>1615</v>
          </cell>
          <cell r="P2013">
            <v>43182</v>
          </cell>
          <cell r="Q2013" t="str">
            <v>AYUDA TEMPORAL A LAS FAMILIAS DE VARIAS LOCALIDADES, PARA LA RELOCALIZACIÓN DE HOGARES LOCALIZADOS EN ZONAS DE ALTO RIESGO NO MITIGABLE ID:2014-W166-018, LOCALIDAD:19 CIUDAD BOLÍVAR, UPZ:68 EL TESORO, SECTOR:WOUNAAN</v>
          </cell>
          <cell r="R2013">
            <v>7672262</v>
          </cell>
          <cell r="S2013">
            <v>0</v>
          </cell>
          <cell r="T2013">
            <v>0</v>
          </cell>
          <cell r="U2013">
            <v>7672262</v>
          </cell>
          <cell r="V2013">
            <v>2360696</v>
          </cell>
        </row>
        <row r="2014">
          <cell r="J2014">
            <v>1632</v>
          </cell>
          <cell r="K2014">
            <v>43182</v>
          </cell>
          <cell r="L2014" t="str">
            <v>CIRO  MENDOZA ORTIZ</v>
          </cell>
          <cell r="M2014">
            <v>31</v>
          </cell>
          <cell r="N2014" t="str">
            <v>RESOLUCION</v>
          </cell>
          <cell r="O2014">
            <v>1616</v>
          </cell>
          <cell r="P2014">
            <v>43182</v>
          </cell>
          <cell r="Q2014" t="str">
            <v>AYUDA TEMPORAL A LAS FAMILIAS DE VARIAS LOCALIDADES, PARA LA RELOCALIZACIÓN DE HOGARES LOCALIZADOS EN ZONAS DE ALTO RIESGO NO MITIGABLE ID:2015-W166-504, LOCALIDAD:03 SANTA FE, UPZ:96 LOURDES, SECTOR:UITOTO</v>
          </cell>
          <cell r="R2014">
            <v>7536932</v>
          </cell>
          <cell r="S2014">
            <v>0</v>
          </cell>
          <cell r="T2014">
            <v>0</v>
          </cell>
          <cell r="U2014">
            <v>7536932</v>
          </cell>
          <cell r="V2014">
            <v>1739292</v>
          </cell>
        </row>
        <row r="2015">
          <cell r="J2015">
            <v>1633</v>
          </cell>
          <cell r="K2015">
            <v>43182</v>
          </cell>
          <cell r="L2015" t="str">
            <v>ALEXANDER  REINA ALMARIO</v>
          </cell>
          <cell r="M2015">
            <v>31</v>
          </cell>
          <cell r="N2015" t="str">
            <v>RESOLUCION</v>
          </cell>
          <cell r="O2015">
            <v>1617</v>
          </cell>
          <cell r="P2015">
            <v>43182</v>
          </cell>
          <cell r="Q2015" t="str">
            <v>AYUDA TEMPORAL A LAS FAMILIAS DE VARIAS LOCALIDADES, PARA LA RELOCALIZACIÓN DE HOGARES LOCALIZADOS EN ZONAS DE ALTO RIESGO NO MITIGABLE ID:2014-Q07-00925, LOCALIDAD:19 CIUDAD BOLÍVAR, UPZ:67 LUCERO, SECTOR:QUEBRADA TROMPETA</v>
          </cell>
          <cell r="R2015">
            <v>6032013</v>
          </cell>
          <cell r="S2015">
            <v>0</v>
          </cell>
          <cell r="T2015">
            <v>0</v>
          </cell>
          <cell r="U2015">
            <v>6032013</v>
          </cell>
          <cell r="V2015">
            <v>1856004</v>
          </cell>
        </row>
        <row r="2016">
          <cell r="J2016">
            <v>1634</v>
          </cell>
          <cell r="K2016">
            <v>43182</v>
          </cell>
          <cell r="L2016" t="str">
            <v>BELENICE  SOBRECAMA CARPIO</v>
          </cell>
          <cell r="M2016">
            <v>31</v>
          </cell>
          <cell r="N2016" t="str">
            <v>RESOLUCION</v>
          </cell>
          <cell r="O2016">
            <v>1618</v>
          </cell>
          <cell r="P2016">
            <v>43182</v>
          </cell>
          <cell r="Q2016" t="str">
            <v>AYUDA TEMPORAL A LAS FAMILIAS DE VARIAS LOCALIDADES, PARA LA RELOCALIZACIÓN DE HOGARES LOCALIZADOS EN ZONAS DE ALTO RIESGO NO MITIGABLE ID:2015-W166-521, LOCALIDAD:19 CIUDAD BOLÍVAR, UPZ:67 LUCERO, SECTOR:WOUNAAN</v>
          </cell>
          <cell r="R2016">
            <v>5528393</v>
          </cell>
          <cell r="S2016">
            <v>0</v>
          </cell>
          <cell r="T2016">
            <v>0</v>
          </cell>
          <cell r="U2016">
            <v>5528393</v>
          </cell>
          <cell r="V2016">
            <v>1701044</v>
          </cell>
        </row>
        <row r="2017">
          <cell r="J2017">
            <v>1635</v>
          </cell>
          <cell r="K2017">
            <v>43182</v>
          </cell>
          <cell r="L2017" t="str">
            <v>HENRY  ORTIZ ISMARE</v>
          </cell>
          <cell r="M2017">
            <v>31</v>
          </cell>
          <cell r="N2017" t="str">
            <v>RESOLUCION</v>
          </cell>
          <cell r="O2017">
            <v>1619</v>
          </cell>
          <cell r="P2017">
            <v>43182</v>
          </cell>
          <cell r="Q2017" t="str">
            <v>AYUDA TEMPORAL A LAS FAMILIAS DE VARIAS LOCALIDADES, PARA LA RELOCALIZACIÓN DE HOGARES LOCALIZADOS EN ZONAS DE ALTO RIESGO NO MITIGABLE ID:2014-W166-010, LOCALIDAD:19 CIUDAD BOLÍVAR, UPZ:68 EL TESORO, SECTOR:WOUNAAN</v>
          </cell>
          <cell r="R2017">
            <v>6905028</v>
          </cell>
          <cell r="S2017">
            <v>0</v>
          </cell>
          <cell r="T2017">
            <v>0</v>
          </cell>
          <cell r="U2017">
            <v>6905028</v>
          </cell>
          <cell r="V2017">
            <v>2124624</v>
          </cell>
        </row>
        <row r="2018">
          <cell r="J2018">
            <v>1636</v>
          </cell>
          <cell r="K2018">
            <v>43182</v>
          </cell>
          <cell r="L2018" t="str">
            <v>MARIA INES ZAPATA GUTIERREZ</v>
          </cell>
          <cell r="M2018">
            <v>31</v>
          </cell>
          <cell r="N2018" t="str">
            <v>RESOLUCION</v>
          </cell>
          <cell r="O2018">
            <v>1620</v>
          </cell>
          <cell r="P2018">
            <v>43182</v>
          </cell>
          <cell r="Q2018" t="str">
            <v>AYUDA TEMPORAL A LAS FAMILIAS DE VARIAS LOCALIDADES, PARA LA RELOCALIZACIÓN DE HOGARES LOCALIZADOS EN ZONAS DE ALTO RIESGO NO MITIGABLE ID:2011-18-12391, LOCALIDAD:18 RAFAEL URIBE URIBE, UPZ:55 DIANA TURBAY, SECTOR:OLA INVERNAL 2010 FOPAE</v>
          </cell>
          <cell r="R2018">
            <v>7000929</v>
          </cell>
          <cell r="S2018">
            <v>0</v>
          </cell>
          <cell r="T2018">
            <v>0</v>
          </cell>
          <cell r="U2018">
            <v>7000929</v>
          </cell>
          <cell r="V2018">
            <v>1615599</v>
          </cell>
        </row>
        <row r="2019">
          <cell r="J2019">
            <v>1637</v>
          </cell>
          <cell r="K2019">
            <v>43182</v>
          </cell>
          <cell r="L2019" t="str">
            <v>REGINALDO  PIZARIO CHAMAPURO</v>
          </cell>
          <cell r="M2019">
            <v>31</v>
          </cell>
          <cell r="N2019" t="str">
            <v>RESOLUCION</v>
          </cell>
          <cell r="O2019">
            <v>1621</v>
          </cell>
          <cell r="P2019">
            <v>43182</v>
          </cell>
          <cell r="Q2019" t="str">
            <v>AYUDA TEMPORAL A LAS FAMILIAS DE VARIAS LOCALIDADES, PARA LA RELOCALIZACIÓN DE HOGARES LOCALIZADOS EN ZONAS DE ALTO RIESGO NO MITIGABLE ID:2014-W166-003, LOCALIDAD:19 CIUDAD BOLÍVAR, UPZ:68 EL TESORO, SECTOR:WOUNAAN</v>
          </cell>
          <cell r="R2019">
            <v>5311566</v>
          </cell>
          <cell r="S2019">
            <v>0</v>
          </cell>
          <cell r="T2019">
            <v>0</v>
          </cell>
          <cell r="U2019">
            <v>5311566</v>
          </cell>
          <cell r="V2019">
            <v>2360696</v>
          </cell>
        </row>
        <row r="2020">
          <cell r="J2020">
            <v>1638</v>
          </cell>
          <cell r="K2020">
            <v>43182</v>
          </cell>
          <cell r="L2020" t="str">
            <v>ROSENDO  OPUA GUACORIZO</v>
          </cell>
          <cell r="M2020">
            <v>31</v>
          </cell>
          <cell r="N2020" t="str">
            <v>RESOLUCION</v>
          </cell>
          <cell r="O2020">
            <v>1622</v>
          </cell>
          <cell r="P2020">
            <v>43182</v>
          </cell>
          <cell r="Q2020" t="str">
            <v>AYUDA TEMPORAL A LAS FAMILIAS DE VARIAS LOCALIDADES, PARA LA RELOCALIZACIÓN DE HOGARES LOCALIZADOS EN ZONAS DE ALTO RIESGO NO MITIGABLE ID:2014-W166-089, LOCALIDAD:19 CIUDAD BOLÍVAR, UPZ:68 EL TESORO, SECTOR:WOUNAAN</v>
          </cell>
          <cell r="R2020">
            <v>3585303</v>
          </cell>
          <cell r="S2020">
            <v>0</v>
          </cell>
          <cell r="T2020">
            <v>0</v>
          </cell>
          <cell r="U2020">
            <v>3585303</v>
          </cell>
          <cell r="V2020">
            <v>1593468</v>
          </cell>
        </row>
        <row r="2021">
          <cell r="J2021">
            <v>1640</v>
          </cell>
          <cell r="K2021">
            <v>43182</v>
          </cell>
          <cell r="L2021" t="str">
            <v>HERNANDO  GOMEZ AMAYA</v>
          </cell>
          <cell r="M2021">
            <v>31</v>
          </cell>
          <cell r="N2021" t="str">
            <v>RESOLUCION</v>
          </cell>
          <cell r="O2021">
            <v>1631</v>
          </cell>
          <cell r="P2021">
            <v>43182</v>
          </cell>
          <cell r="Q2021" t="str">
            <v>ASIGNACION DEL INSTRUMENTO FINANCIERO A LAS FAMILIAS OCUPANTES DEL PREDIO QUE HAYAN SUPERADO LA FASE DE VERIFICACION DENTRO  DEL MARCO DEL DECRETO 457 DE 2017. LOCALIDAD: KENNEDY; BARRIO: VEREDITAS; ID: 2018-8-384266</v>
          </cell>
          <cell r="R2021">
            <v>54686940</v>
          </cell>
          <cell r="S2021">
            <v>0</v>
          </cell>
          <cell r="T2021">
            <v>0</v>
          </cell>
          <cell r="U2021">
            <v>54686940</v>
          </cell>
          <cell r="V2021">
            <v>54686940</v>
          </cell>
        </row>
        <row r="2022">
          <cell r="J2022">
            <v>1641</v>
          </cell>
          <cell r="K2022">
            <v>43182</v>
          </cell>
          <cell r="L2022" t="str">
            <v>LOURDES CELINA NAVAS</v>
          </cell>
          <cell r="M2022">
            <v>31</v>
          </cell>
          <cell r="N2022" t="str">
            <v>RESOLUCION</v>
          </cell>
          <cell r="O2022">
            <v>1629</v>
          </cell>
          <cell r="P2022">
            <v>43182</v>
          </cell>
          <cell r="Q2022" t="str">
            <v>Asignacion del instrumento financiero a las familias ocupantes del predio que hayan superado la fase de verificacion dentro  del marco del Decreto 457 de 2017. LOCALIDAD: KENNEDY; BARRIO: VEREDITAS; ID: 2017-8-383771</v>
          </cell>
          <cell r="R2022">
            <v>54686940</v>
          </cell>
          <cell r="S2022">
            <v>0</v>
          </cell>
          <cell r="T2022">
            <v>0</v>
          </cell>
          <cell r="U2022">
            <v>54686940</v>
          </cell>
          <cell r="V2022">
            <v>54686940</v>
          </cell>
        </row>
        <row r="2023">
          <cell r="J2023">
            <v>1642</v>
          </cell>
          <cell r="K2023">
            <v>43182</v>
          </cell>
          <cell r="L2023" t="str">
            <v>GERARDO  CHIRIPUA DURA</v>
          </cell>
          <cell r="M2023">
            <v>31</v>
          </cell>
          <cell r="N2023" t="str">
            <v>RESOLUCION</v>
          </cell>
          <cell r="O2023">
            <v>1554</v>
          </cell>
          <cell r="P2023">
            <v>43182</v>
          </cell>
          <cell r="Q2023" t="str">
            <v>AYUDA TEMPORAL A LAS FAMILIAS DE VARIAS LOCALIDADES, PARA LA RELOCALIZACIÓN DE HOGARES LOCALIZADOS EN ZONAS DE ALTO RIESGO NO MITIGABLE ID:2015-W166-520, LOCALIDAD:19 CIUDAD BOLÍVAR, UPZ:67 LUCERO, SECTOR:WOUNAAN</v>
          </cell>
          <cell r="R2023">
            <v>3983670</v>
          </cell>
          <cell r="S2023">
            <v>0</v>
          </cell>
          <cell r="T2023">
            <v>0</v>
          </cell>
          <cell r="U2023">
            <v>3983670</v>
          </cell>
          <cell r="V2023">
            <v>1770520</v>
          </cell>
        </row>
        <row r="2024">
          <cell r="J2024">
            <v>1643</v>
          </cell>
          <cell r="K2024">
            <v>43182</v>
          </cell>
          <cell r="L2024" t="str">
            <v>MARIA LUCIA RODRIGEZ CACERES</v>
          </cell>
          <cell r="M2024">
            <v>31</v>
          </cell>
          <cell r="N2024" t="str">
            <v>RESOLUCION</v>
          </cell>
          <cell r="O2024">
            <v>1555</v>
          </cell>
          <cell r="P2024">
            <v>43182</v>
          </cell>
          <cell r="Q2024" t="str">
            <v>AYUDA TEMPORAL A LAS FAMILIAS DE VARIAS LOCALIDADES, PARA LA RELOCALIZACIÓN DE HOGARES LOCALIZADOS EN ZONAS DE ALTO RIESGO NO MITIGABLE ID:2016-08-14876, LOCALIDAD:08 KENNEDY, UPZ:82 PATIO BONITO, SECTOR:PALMITAS</v>
          </cell>
          <cell r="R2024">
            <v>6713226</v>
          </cell>
          <cell r="S2024">
            <v>0</v>
          </cell>
          <cell r="T2024">
            <v>0</v>
          </cell>
          <cell r="U2024">
            <v>6713226</v>
          </cell>
          <cell r="V2024">
            <v>2065608</v>
          </cell>
        </row>
        <row r="2025">
          <cell r="J2025">
            <v>1644</v>
          </cell>
          <cell r="K2025">
            <v>43182</v>
          </cell>
          <cell r="L2025" t="str">
            <v>NIDYA SOFIA CACERES PEÑALOZA</v>
          </cell>
          <cell r="M2025">
            <v>31</v>
          </cell>
          <cell r="N2025" t="str">
            <v>RESOLUCION</v>
          </cell>
          <cell r="O2025">
            <v>1556</v>
          </cell>
          <cell r="P2025">
            <v>43182</v>
          </cell>
          <cell r="Q2025" t="str">
            <v>AYUDA TEMPORAL A LAS FAMILIAS DE VARIAS LOCALIDADES, PARA LA RELOCALIZACIÓN DE HOGARES LOCALIZADOS EN ZONAS DE ALTO RIESGO NO MITIGABLE ID:2016-08-14878, LOCALIDAD:08 KENNEDY, UPZ:82 PATIO BONITO, SECTOR:PALMITAS</v>
          </cell>
          <cell r="R2025">
            <v>6425510</v>
          </cell>
          <cell r="S2025">
            <v>0</v>
          </cell>
          <cell r="T2025">
            <v>0</v>
          </cell>
          <cell r="U2025">
            <v>6425510</v>
          </cell>
          <cell r="V2025">
            <v>1977080</v>
          </cell>
        </row>
        <row r="2026">
          <cell r="J2026">
            <v>1645</v>
          </cell>
          <cell r="K2026">
            <v>43182</v>
          </cell>
          <cell r="L2026" t="str">
            <v>JHON EDUAR MOÑA MOYA</v>
          </cell>
          <cell r="M2026">
            <v>31</v>
          </cell>
          <cell r="N2026" t="str">
            <v>RESOLUCION</v>
          </cell>
          <cell r="O2026">
            <v>1557</v>
          </cell>
          <cell r="P2026">
            <v>43182</v>
          </cell>
          <cell r="Q2026" t="str">
            <v>AYUDA TEMPORAL A LAS FAMILIAS DE VARIAS LOCALIDADES, PARA LA RELOCALIZACIÓN DE HOGARES LOCALIZADOS EN ZONAS DE ALTO RIESGO NO MITIGABLE ID:2015-W166-535, LOCALIDAD:04 SAN CRISTÓBAL, UPZ:34 20 DE JULIO, SECTOR:EPERARA</v>
          </cell>
          <cell r="R2026">
            <v>6472401</v>
          </cell>
          <cell r="S2026">
            <v>0</v>
          </cell>
          <cell r="T2026">
            <v>0</v>
          </cell>
          <cell r="U2026">
            <v>6472401</v>
          </cell>
          <cell r="V2026">
            <v>1991508</v>
          </cell>
        </row>
        <row r="2027">
          <cell r="J2027">
            <v>1646</v>
          </cell>
          <cell r="K2027">
            <v>43182</v>
          </cell>
          <cell r="L2027" t="str">
            <v>HERMINIO  PIRAZA MERCAZA</v>
          </cell>
          <cell r="M2027">
            <v>31</v>
          </cell>
          <cell r="N2027" t="str">
            <v>RESOLUCION</v>
          </cell>
          <cell r="O2027">
            <v>1558</v>
          </cell>
          <cell r="P2027">
            <v>43182</v>
          </cell>
          <cell r="Q2027" t="str">
            <v>AYUDA TEMPORAL A LAS FAMILIAS DE VARIAS LOCALIDADES, PARA LA RELOCALIZACIÓN DE HOGARES LOCALIZADOS EN ZONAS DE ALTO RIESGO NO MITIGABLE ID:2015-W166-430, LOCALIDAD:19 CIUDAD BOLÍVAR, UPZ:68 EL TESORO, SECTOR:WOUNAAN</v>
          </cell>
          <cell r="R2027">
            <v>7480447</v>
          </cell>
          <cell r="S2027">
            <v>0</v>
          </cell>
          <cell r="T2027">
            <v>0</v>
          </cell>
          <cell r="U2027">
            <v>7480447</v>
          </cell>
          <cell r="V2027">
            <v>2301676</v>
          </cell>
        </row>
        <row r="2028">
          <cell r="J2028">
            <v>1647</v>
          </cell>
          <cell r="K2028">
            <v>43182</v>
          </cell>
          <cell r="L2028" t="str">
            <v>OFELIA  OBISPO MEMBACHE</v>
          </cell>
          <cell r="M2028">
            <v>31</v>
          </cell>
          <cell r="N2028" t="str">
            <v>RESOLUCION</v>
          </cell>
          <cell r="O2028">
            <v>1559</v>
          </cell>
          <cell r="P2028">
            <v>43182</v>
          </cell>
          <cell r="Q2028" t="str">
            <v>AYUDA TEMPORAL A LAS FAMILIAS DE VARIAS LOCALIDADES, PARA LA RELOCALIZACIÓN DE HOGARES LOCALIZADOS EN ZONAS DE ALTO RIESGO NO MITIGABLE ID:2015-W166-514, LOCALIDAD:19 CIUDAD BOLÍVAR, UPZ:67 LUCERO, SECTOR:WOUNAAN</v>
          </cell>
          <cell r="R2028">
            <v>7672262</v>
          </cell>
          <cell r="S2028">
            <v>0</v>
          </cell>
          <cell r="T2028">
            <v>0</v>
          </cell>
          <cell r="U2028">
            <v>7672262</v>
          </cell>
          <cell r="V2028">
            <v>2360696</v>
          </cell>
        </row>
        <row r="2029">
          <cell r="J2029">
            <v>1648</v>
          </cell>
          <cell r="K2029">
            <v>43182</v>
          </cell>
          <cell r="L2029" t="str">
            <v>PIOQUINTO  DURA OBISPO</v>
          </cell>
          <cell r="M2029">
            <v>31</v>
          </cell>
          <cell r="N2029" t="str">
            <v>RESOLUCION</v>
          </cell>
          <cell r="O2029">
            <v>1560</v>
          </cell>
          <cell r="P2029">
            <v>43182</v>
          </cell>
          <cell r="Q2029" t="str">
            <v>AYUDA TEMPORAL A LAS FAMILIAS DE VARIAS LOCALIDADES, PARA LA RELOCALIZACIÓN DE HOGARES LOCALIZADOS EN ZONAS DE ALTO RIESGO NO MITIGABLE ID:2014-W166-028, LOCALIDAD:19 CIUDAD BOLÍVAR, UPZ:67 LUCERO, SECTOR:WOUNAAN</v>
          </cell>
          <cell r="R2029">
            <v>7672262</v>
          </cell>
          <cell r="S2029">
            <v>0</v>
          </cell>
          <cell r="T2029">
            <v>0</v>
          </cell>
          <cell r="U2029">
            <v>7672262</v>
          </cell>
          <cell r="V2029">
            <v>2360696</v>
          </cell>
        </row>
        <row r="2030">
          <cell r="J2030">
            <v>1649</v>
          </cell>
          <cell r="K2030">
            <v>43182</v>
          </cell>
          <cell r="L2030" t="str">
            <v>DIRIO  CHAUCARAMA ISMARE</v>
          </cell>
          <cell r="M2030">
            <v>31</v>
          </cell>
          <cell r="N2030" t="str">
            <v>RESOLUCION</v>
          </cell>
          <cell r="O2030">
            <v>1562</v>
          </cell>
          <cell r="P2030">
            <v>43182</v>
          </cell>
          <cell r="Q2030" t="str">
            <v>AYUDA TEMPORAL A LAS FAMILIAS DE VARIAS LOCALIDADES, PARA LA RELOCALIZACIÓN DE HOGARES LOCALIZADOS EN ZONAS DE ALTO RIESGO NO MITIGABLE ID:2014-W166-053, LOCALIDAD:19 CIUDAD BOLÍVAR, UPZ:68 EL TESORO, SECTOR:WOUNAAN</v>
          </cell>
          <cell r="R2030">
            <v>7007741</v>
          </cell>
          <cell r="S2030">
            <v>0</v>
          </cell>
          <cell r="T2030">
            <v>0</v>
          </cell>
          <cell r="U2030">
            <v>7007741</v>
          </cell>
          <cell r="V2030">
            <v>2156228</v>
          </cell>
        </row>
        <row r="2031">
          <cell r="J2031">
            <v>1650</v>
          </cell>
          <cell r="K2031">
            <v>43182</v>
          </cell>
          <cell r="L2031" t="str">
            <v>CLAMEDE  MEMBACHE GARCIA</v>
          </cell>
          <cell r="M2031">
            <v>31</v>
          </cell>
          <cell r="N2031" t="str">
            <v>RESOLUCION</v>
          </cell>
          <cell r="O2031">
            <v>1563</v>
          </cell>
          <cell r="P2031">
            <v>43182</v>
          </cell>
          <cell r="Q2031" t="str">
            <v>AYUDA TEMPORAL A LAS FAMILIAS DE VARIAS LOCALIDADES, PARA LA RELOCALIZACIÓN DE HOGARES LOCALIZADOS EN ZONAS DE ALTO RIESGO NO MITIGABLE ID:2014-W166-045, LOCALIDAD:19 CIUDAD BOLÍVAR, UPZ:67 LUCERO, SECTOR:WOUNAAN</v>
          </cell>
          <cell r="R2031">
            <v>6098400</v>
          </cell>
          <cell r="S2031">
            <v>0</v>
          </cell>
          <cell r="T2031">
            <v>0</v>
          </cell>
          <cell r="U2031">
            <v>6098400</v>
          </cell>
          <cell r="V2031">
            <v>2217600</v>
          </cell>
        </row>
        <row r="2032">
          <cell r="J2032">
            <v>1651</v>
          </cell>
          <cell r="K2032">
            <v>43182</v>
          </cell>
          <cell r="L2032" t="str">
            <v>JACOB  QUIRO CARDENAS</v>
          </cell>
          <cell r="M2032">
            <v>31</v>
          </cell>
          <cell r="N2032" t="str">
            <v>RESOLUCION</v>
          </cell>
          <cell r="O2032">
            <v>1564</v>
          </cell>
          <cell r="P2032">
            <v>43182</v>
          </cell>
          <cell r="Q2032" t="str">
            <v>AYUDA TEMPORAL A LAS FAMILIAS DE VARIAS LOCALIDADES, PARA LA RELOCALIZACIÓN DE HOGARES LOCALIZADOS EN ZONAS DE ALTO RIESGO NO MITIGABLE ID:2014-W166-064, LOCALIDAD:19 CIUDAD BOLÍVAR, UPZ:68 EL TESORO, SECTOR:WOUNAAN</v>
          </cell>
          <cell r="R2032">
            <v>4797000</v>
          </cell>
          <cell r="S2032">
            <v>0</v>
          </cell>
          <cell r="T2032">
            <v>0</v>
          </cell>
          <cell r="U2032">
            <v>4797000</v>
          </cell>
          <cell r="V2032">
            <v>1918800</v>
          </cell>
        </row>
        <row r="2033">
          <cell r="J2033">
            <v>1652</v>
          </cell>
          <cell r="K2033">
            <v>43182</v>
          </cell>
          <cell r="L2033" t="str">
            <v>JOSE ALFREDO CHIRIMIA HUESO</v>
          </cell>
          <cell r="M2033">
            <v>31</v>
          </cell>
          <cell r="N2033" t="str">
            <v>RESOLUCION</v>
          </cell>
          <cell r="O2033">
            <v>1565</v>
          </cell>
          <cell r="P2033">
            <v>43182</v>
          </cell>
          <cell r="Q2033" t="str">
            <v>AYUDA TEMPORAL A LAS FAMILIAS DE VARIAS LOCALIDADES, PARA LA RELOCALIZACIÓN DE HOGARES LOCALIZADOS EN ZONAS DE ALTO RIESGO NO MITIGABLE ID:2015-W166-400, LOCALIDAD:03 SANTA FE, UPZ:95 LAS CRUCES, SECTOR:EPERARA</v>
          </cell>
          <cell r="R2033">
            <v>5311560</v>
          </cell>
          <cell r="S2033">
            <v>0</v>
          </cell>
          <cell r="T2033">
            <v>0</v>
          </cell>
          <cell r="U2033">
            <v>5311560</v>
          </cell>
          <cell r="V2033">
            <v>2124624</v>
          </cell>
        </row>
        <row r="2034">
          <cell r="J2034">
            <v>1653</v>
          </cell>
          <cell r="K2034">
            <v>43182</v>
          </cell>
          <cell r="L2034" t="str">
            <v>CELMA  DURA ISMARE</v>
          </cell>
          <cell r="M2034">
            <v>31</v>
          </cell>
          <cell r="N2034" t="str">
            <v>RESOLUCION</v>
          </cell>
          <cell r="O2034">
            <v>1566</v>
          </cell>
          <cell r="P2034">
            <v>43182</v>
          </cell>
          <cell r="Q2034" t="str">
            <v>AYUDA TEMPORAL A LAS FAMILIAS DE VARIAS LOCALIDADES, PARA LA RELOCALIZACIÓN DE HOGARES LOCALIZADOS EN ZONAS DE ALTO RIESGO NO MITIGABLE ID:2015-W166-439, LOCALIDAD:19 CIUDAD BOLÍVAR, UPZ:68 EL TESORO, SECTOR:WOUNAAN</v>
          </cell>
          <cell r="R2034">
            <v>6086168</v>
          </cell>
          <cell r="S2034">
            <v>0</v>
          </cell>
          <cell r="T2034">
            <v>0</v>
          </cell>
          <cell r="U2034">
            <v>6086168</v>
          </cell>
          <cell r="V2034">
            <v>2213152</v>
          </cell>
        </row>
        <row r="2035">
          <cell r="J2035">
            <v>1654</v>
          </cell>
          <cell r="K2035">
            <v>43182</v>
          </cell>
          <cell r="L2035" t="str">
            <v>JESUS MARIO MERCAZA CHAMAPURO</v>
          </cell>
          <cell r="M2035">
            <v>31</v>
          </cell>
          <cell r="N2035" t="str">
            <v>RESOLUCION</v>
          </cell>
          <cell r="O2035">
            <v>1567</v>
          </cell>
          <cell r="P2035">
            <v>43182</v>
          </cell>
          <cell r="Q2035" t="str">
            <v>AYUDA TEMPORAL A LAS FAMILIAS DE VARIAS LOCALIDADES, PARA LA RELOCALIZACIÓN DE HOGARES LOCALIZADOS EN ZONAS DE ALTO RIESGO NO MITIGABLE ID:2015-W166-422, LOCALIDAD:19 CIUDAD BOLÍVAR, UPZ:67 LUCERO, SECTOR:WOUNAAN</v>
          </cell>
          <cell r="R2035">
            <v>5953904</v>
          </cell>
          <cell r="S2035">
            <v>0</v>
          </cell>
          <cell r="T2035">
            <v>0</v>
          </cell>
          <cell r="U2035">
            <v>5953904</v>
          </cell>
          <cell r="V2035">
            <v>2165056</v>
          </cell>
        </row>
        <row r="2036">
          <cell r="J2036">
            <v>1655</v>
          </cell>
          <cell r="K2036">
            <v>43182</v>
          </cell>
          <cell r="L2036" t="str">
            <v>HERNANDO  PIRAZA ISMARE</v>
          </cell>
          <cell r="M2036">
            <v>31</v>
          </cell>
          <cell r="N2036" t="str">
            <v>RESOLUCION</v>
          </cell>
          <cell r="O2036">
            <v>1568</v>
          </cell>
          <cell r="P2036">
            <v>43182</v>
          </cell>
          <cell r="Q2036" t="str">
            <v>AYUDA TEMPORAL A LAS FAMILIAS DE VARIAS LOCALIDADES, PARA LA RELOCALIZACIÓN DE HOGARES LOCALIZADOS EN ZONAS DE ALTO RIESGO NO MITIGABLE ID:2014-W166-029, LOCALIDAD:19 CIUDAD BOLÍVAR, UPZ:67 LUCERO, SECTOR:WOUNAAN</v>
          </cell>
          <cell r="R2036">
            <v>6491914</v>
          </cell>
          <cell r="S2036">
            <v>0</v>
          </cell>
          <cell r="T2036">
            <v>0</v>
          </cell>
          <cell r="U2036">
            <v>6491914</v>
          </cell>
          <cell r="V2036">
            <v>2360696</v>
          </cell>
        </row>
        <row r="2037">
          <cell r="J2037">
            <v>1657</v>
          </cell>
          <cell r="K2037">
            <v>43185</v>
          </cell>
          <cell r="L2037" t="str">
            <v>JAIDAN  QUIRO PIRAZA</v>
          </cell>
          <cell r="M2037">
            <v>31</v>
          </cell>
          <cell r="N2037" t="str">
            <v>RESOLUCION</v>
          </cell>
          <cell r="O2037">
            <v>1561</v>
          </cell>
          <cell r="P2037">
            <v>43185</v>
          </cell>
          <cell r="Q2037" t="str">
            <v>AYUDA TEMPORAL A LAS FAMILIAS DE VARIAS LOCALIDADES, PARA LA RELOCALIZACIÓN DE HOGARES LOCALIZADOS EN ZONAS DE ALTO RIESGO NO MITIGABLE ID: 2015-W166-528, LOCALIDAD: 19 CIUDAD BOLIVAR, UPZ: 67 LUCERO, SECTOR: WOUNAAN</v>
          </cell>
          <cell r="R2037">
            <v>5311560</v>
          </cell>
          <cell r="S2037">
            <v>0</v>
          </cell>
          <cell r="T2037">
            <v>0</v>
          </cell>
          <cell r="U2037">
            <v>5311560</v>
          </cell>
          <cell r="V2037">
            <v>2124624</v>
          </cell>
        </row>
        <row r="2038">
          <cell r="J2038">
            <v>1661</v>
          </cell>
          <cell r="K2038">
            <v>43186</v>
          </cell>
          <cell r="L2038" t="str">
            <v>LUZ DARY TRIANA AGUIAR</v>
          </cell>
          <cell r="M2038">
            <v>31</v>
          </cell>
          <cell r="N2038" t="str">
            <v>RESOLUCION</v>
          </cell>
          <cell r="O2038">
            <v>1627</v>
          </cell>
          <cell r="P2038">
            <v>43186</v>
          </cell>
          <cell r="Q2038" t="str">
            <v>VUR de la actual vigencia.Dto 255 de 2013. LOCALIDAD:CIUDAD BOLIVAR; BARRIO:POTOSI; ID:2015-Q18-04422</v>
          </cell>
          <cell r="R2038">
            <v>39062100</v>
          </cell>
          <cell r="S2038">
            <v>0</v>
          </cell>
          <cell r="T2038">
            <v>0</v>
          </cell>
          <cell r="U2038">
            <v>39062100</v>
          </cell>
          <cell r="V2038">
            <v>39062100</v>
          </cell>
        </row>
        <row r="2039">
          <cell r="J2039">
            <v>1663</v>
          </cell>
          <cell r="K2039">
            <v>43192</v>
          </cell>
          <cell r="L2039" t="str">
            <v>BEYER BENJAMIN GALINDO CASTELBLANCO</v>
          </cell>
          <cell r="M2039">
            <v>31</v>
          </cell>
          <cell r="N2039" t="str">
            <v>RESOLUCION</v>
          </cell>
          <cell r="O2039">
            <v>1628</v>
          </cell>
          <cell r="P2039">
            <v>43192</v>
          </cell>
          <cell r="Q2039" t="str">
            <v>Asignacion del instrumento financiero a las familias ocupantes del predio que hayan superado la fase de verificacion dentro  del marco del Decreto 457 de 2017. LOCALIDAD: KENNEDY; BARRIO: VEREDITAS; ID: 2017-8-383638</v>
          </cell>
          <cell r="R2039">
            <v>54686940</v>
          </cell>
          <cell r="S2039">
            <v>0</v>
          </cell>
          <cell r="T2039">
            <v>0</v>
          </cell>
          <cell r="U2039">
            <v>54686940</v>
          </cell>
          <cell r="V2039">
            <v>54686940</v>
          </cell>
        </row>
        <row r="2040">
          <cell r="J2040">
            <v>1664</v>
          </cell>
          <cell r="K2040">
            <v>43192</v>
          </cell>
          <cell r="L2040" t="str">
            <v>ANDRES  YATE</v>
          </cell>
          <cell r="M2040">
            <v>31</v>
          </cell>
          <cell r="N2040" t="str">
            <v>RESOLUCION</v>
          </cell>
          <cell r="O2040">
            <v>1689</v>
          </cell>
          <cell r="P2040">
            <v>43192</v>
          </cell>
          <cell r="Q2040" t="str">
            <v>adquisición de mejoras y cesión de la posesión por Decreto 511 de 2010. LOCALIDAD: CIUDAD BOLIVAR; BARRIO: SANTA VIVIANA; ID: 2003-19-5176</v>
          </cell>
          <cell r="R2040">
            <v>24984000</v>
          </cell>
          <cell r="S2040">
            <v>0</v>
          </cell>
          <cell r="T2040">
            <v>0</v>
          </cell>
          <cell r="U2040">
            <v>24984000</v>
          </cell>
          <cell r="V2040">
            <v>0</v>
          </cell>
        </row>
        <row r="2041">
          <cell r="J2041">
            <v>1665</v>
          </cell>
          <cell r="K2041">
            <v>43192</v>
          </cell>
          <cell r="L2041" t="str">
            <v>JONATHAN ALEJANDRO BRAVO CHAVARRIO</v>
          </cell>
          <cell r="M2041">
            <v>31</v>
          </cell>
          <cell r="N2041" t="str">
            <v>RESOLUCION</v>
          </cell>
          <cell r="O2041">
            <v>1685</v>
          </cell>
          <cell r="P2041">
            <v>43192</v>
          </cell>
          <cell r="Q2041" t="str">
            <v>Asignacion del instrumento financiero a las familias ocupantes del predio que hayan superado la fase de verificacion dentro  del marco del Decreto 457 de 2017. LOCALIDAD: KENNEDY; BARRIO: VEREDITAS; ID: 2017-8-383670</v>
          </cell>
          <cell r="R2041">
            <v>54686940</v>
          </cell>
          <cell r="S2041">
            <v>0</v>
          </cell>
          <cell r="T2041">
            <v>0</v>
          </cell>
          <cell r="U2041">
            <v>54686940</v>
          </cell>
          <cell r="V2041">
            <v>54686940</v>
          </cell>
        </row>
        <row r="2042">
          <cell r="J2042">
            <v>1668</v>
          </cell>
          <cell r="K2042">
            <v>43194</v>
          </cell>
          <cell r="L2042" t="str">
            <v>LUIS HERNAN SIERRA CASAS</v>
          </cell>
          <cell r="M2042">
            <v>31</v>
          </cell>
          <cell r="N2042" t="str">
            <v>RESOLUCION</v>
          </cell>
          <cell r="O2042">
            <v>1747</v>
          </cell>
          <cell r="P2042">
            <v>43194</v>
          </cell>
          <cell r="Q2042" t="str">
            <v>AYUDA TEMPORAL A LAS FAMILIAS DE VARIAS LOCALIDADES, PARA LA RELOCALIZACIÓN DE HOGARES LOCALIZADOS EN ZONAS DE ALTO RIESGO NO MITIGABLE ID:2015-D227-00030, LOCALIDAD:04 SAN CRISTÓBAL, UPZ:51 LOS LIBERTADORES, SECTOR:SANTA TERESITA</v>
          </cell>
          <cell r="R2042">
            <v>2977345</v>
          </cell>
          <cell r="S2042">
            <v>0</v>
          </cell>
          <cell r="T2042">
            <v>0</v>
          </cell>
          <cell r="U2042">
            <v>2977345</v>
          </cell>
          <cell r="V2042">
            <v>1701340</v>
          </cell>
        </row>
        <row r="2043">
          <cell r="J2043">
            <v>1669</v>
          </cell>
          <cell r="K2043">
            <v>43194</v>
          </cell>
          <cell r="L2043" t="str">
            <v>EVANGELISTA  MORALES MORALES</v>
          </cell>
          <cell r="M2043">
            <v>31</v>
          </cell>
          <cell r="N2043" t="str">
            <v>RESOLUCION</v>
          </cell>
          <cell r="O2043">
            <v>1746</v>
          </cell>
          <cell r="P2043">
            <v>43194</v>
          </cell>
          <cell r="Q2043" t="str">
            <v>AYUDA TEMPORAL A LAS FAMILIAS DE VARIAS LOCALIDADES, PARA RELOCALIZACIÓN DE HOGARES LOCALIZADOS EN ZONAS DE ALTO RIESGO NO MITIGABLE ID:2013-Q10-00506, LOCALIDAD:04 SAN CRISTÓBAL, UPZ:51 LOS LIBERTADORES, SECTOR:QUEBRADA VEREJONES</v>
          </cell>
          <cell r="R2043">
            <v>3201695</v>
          </cell>
          <cell r="S2043">
            <v>0</v>
          </cell>
          <cell r="T2043">
            <v>0</v>
          </cell>
          <cell r="U2043">
            <v>3201695</v>
          </cell>
          <cell r="V2043">
            <v>1829540</v>
          </cell>
        </row>
        <row r="2044">
          <cell r="J2044">
            <v>1670</v>
          </cell>
          <cell r="K2044">
            <v>43194</v>
          </cell>
          <cell r="L2044" t="str">
            <v>EMILIANO  CHIRIPUA</v>
          </cell>
          <cell r="M2044">
            <v>31</v>
          </cell>
          <cell r="N2044" t="str">
            <v>RESOLUCION</v>
          </cell>
          <cell r="O2044">
            <v>1745</v>
          </cell>
          <cell r="P2044">
            <v>43194</v>
          </cell>
          <cell r="Q2044" t="str">
            <v>AYUDA TEMPORAL A LAS FAMILIAS DE VARIAS LOCALIDADES, PARA LA RELOCALIZACIÓN DE HOGARES LOCALIZADOS EN ZONAS DE ALTO RIESGO NO MITIGABLE ID:2014-W166-001, LOCALIDAD:19 CIUDAD BOLÍVAR, UPZ:68 EL TESORO, SECTOR:WOUNAAN</v>
          </cell>
          <cell r="R2044">
            <v>7480447</v>
          </cell>
          <cell r="S2044">
            <v>0</v>
          </cell>
          <cell r="T2044">
            <v>0</v>
          </cell>
          <cell r="U2044">
            <v>7480447</v>
          </cell>
          <cell r="V2044">
            <v>2301676</v>
          </cell>
        </row>
        <row r="2045">
          <cell r="J2045">
            <v>1671</v>
          </cell>
          <cell r="K2045">
            <v>43194</v>
          </cell>
          <cell r="L2045" t="str">
            <v>MARTHA CECILIA RIAÑO ROCHA</v>
          </cell>
          <cell r="M2045">
            <v>31</v>
          </cell>
          <cell r="N2045" t="str">
            <v>RESOLUCION</v>
          </cell>
          <cell r="O2045">
            <v>1744</v>
          </cell>
          <cell r="P2045">
            <v>43194</v>
          </cell>
          <cell r="Q2045" t="str">
            <v>AYUDA TEMPORAL A LAS FAMILIAS DE VARIAS LOCALIDADES, PARA LA RELOCALIZACIÓN DE HOGARES LOCALIZADOS EN ZONAS DE ALTO RIESGO NO MITIGABLE ID:2012-3-14353, LOCALIDAD:03 SANTA FE, UPZ:96 LOURDES, SECTOR:</v>
          </cell>
          <cell r="R2045">
            <v>4989600</v>
          </cell>
          <cell r="S2045">
            <v>0</v>
          </cell>
          <cell r="T2045">
            <v>0</v>
          </cell>
          <cell r="U2045">
            <v>4989600</v>
          </cell>
          <cell r="V2045">
            <v>2217600</v>
          </cell>
        </row>
        <row r="2046">
          <cell r="J2046">
            <v>1672</v>
          </cell>
          <cell r="K2046">
            <v>43194</v>
          </cell>
          <cell r="L2046" t="str">
            <v>FLORICELDA  CHIRIPUA CHAMAPURO</v>
          </cell>
          <cell r="M2046">
            <v>31</v>
          </cell>
          <cell r="N2046" t="str">
            <v>RESOLUCION</v>
          </cell>
          <cell r="O2046">
            <v>1742</v>
          </cell>
          <cell r="P2046">
            <v>43194</v>
          </cell>
          <cell r="Q2046" t="str">
            <v>AYUDA TEMPORAL A LAS FAMILIAS DE VARIAS LOCALIDADES, PARA LA RELOCALIZACIÓN DE HOGARES LOCALIZADOS EN ZONAS DE ALTO RIESGO NO MITIGABLE ID:2014-W166-060, LOCALIDAD:19 CIUDAD BOLÍVAR, UPZ:68 EL TESORO, SECTOR:WOUNAAN</v>
          </cell>
          <cell r="R2046">
            <v>4581225</v>
          </cell>
          <cell r="S2046">
            <v>0</v>
          </cell>
          <cell r="T2046">
            <v>0</v>
          </cell>
          <cell r="U2046">
            <v>4581225</v>
          </cell>
          <cell r="V2046">
            <v>2036100</v>
          </cell>
        </row>
        <row r="2047">
          <cell r="J2047">
            <v>1673</v>
          </cell>
          <cell r="K2047">
            <v>43194</v>
          </cell>
          <cell r="L2047" t="str">
            <v>ANA LUCIA CHIRIPUA DONISABE</v>
          </cell>
          <cell r="M2047">
            <v>31</v>
          </cell>
          <cell r="N2047" t="str">
            <v>RESOLUCION</v>
          </cell>
          <cell r="O2047">
            <v>1741</v>
          </cell>
          <cell r="P2047">
            <v>43194</v>
          </cell>
          <cell r="Q2047" t="str">
            <v>AYUDA TEMPORAL A LAS FAMILIAS DE VARIAS LOCALIDADES, PARA LA RELOCALIZACIÓN DE HOGARES LOCALIZADOS EN ZONAS DE ALTO RIESGO NO MITIGABLE ID:2015-W166-518, LOCALIDAD:19 CIUDAD BOLÍVAR, UPZ:67 LUCERO, SECTOR:WOUNAAN</v>
          </cell>
          <cell r="R2047">
            <v>5219100</v>
          </cell>
          <cell r="S2047">
            <v>0</v>
          </cell>
          <cell r="T2047">
            <v>0</v>
          </cell>
          <cell r="U2047">
            <v>5219100</v>
          </cell>
          <cell r="V2047">
            <v>2319600</v>
          </cell>
        </row>
        <row r="2048">
          <cell r="J2048">
            <v>1674</v>
          </cell>
          <cell r="K2048">
            <v>43194</v>
          </cell>
          <cell r="L2048" t="str">
            <v>ROBERT  ISMARE PUCHICAMA</v>
          </cell>
          <cell r="M2048">
            <v>31</v>
          </cell>
          <cell r="N2048" t="str">
            <v>RESOLUCION</v>
          </cell>
          <cell r="O2048">
            <v>1740</v>
          </cell>
          <cell r="P2048">
            <v>43194</v>
          </cell>
          <cell r="Q2048" t="str">
            <v>AYUDA TEMPORAL A LAS FAMILIAS DE VARIAS LOCALIDADES, PARA LA RELOCALIZACIÓN DE HOGARES LOCALIZADOS EN ZONAS DE ALTO RIESGO NO MITIGABLE ID:2014-W166-087, LOCALIDAD:19 CIUDAD BOLÍVAR, UPZ:68 EL TESORO, SECTOR:WOUNAAN</v>
          </cell>
          <cell r="R2048">
            <v>6491914</v>
          </cell>
          <cell r="S2048">
            <v>0</v>
          </cell>
          <cell r="T2048">
            <v>0</v>
          </cell>
          <cell r="U2048">
            <v>6491914</v>
          </cell>
          <cell r="V2048">
            <v>2360696</v>
          </cell>
        </row>
        <row r="2049">
          <cell r="J2049">
            <v>1675</v>
          </cell>
          <cell r="K2049">
            <v>43194</v>
          </cell>
          <cell r="L2049" t="str">
            <v>PEDRO  GOMEZ ACHURY</v>
          </cell>
          <cell r="M2049">
            <v>31</v>
          </cell>
          <cell r="N2049" t="str">
            <v>RESOLUCION</v>
          </cell>
          <cell r="O2049">
            <v>1739</v>
          </cell>
          <cell r="P2049">
            <v>43194</v>
          </cell>
          <cell r="Q2049" t="str">
            <v>AYUDA TEMPORAL A LAS FAMILIAS DE VARIAS LOCALIDADES, PARA LA RELOCALIZACIÓN DE HOGARES LOCALIZADOS EN ZONAS DE ALTO RIESGO NO MITIGABLE ID:2015-Q20-01413, LOCALIDAD:04 SAN CRISTÓBAL, UPZ:50 LA GLORIA, SECTOR:LA CHIGUAZA</v>
          </cell>
          <cell r="R2049">
            <v>4570263</v>
          </cell>
          <cell r="S2049">
            <v>0</v>
          </cell>
          <cell r="T2049">
            <v>0</v>
          </cell>
          <cell r="U2049">
            <v>4570263</v>
          </cell>
          <cell r="V2049">
            <v>2031228</v>
          </cell>
        </row>
        <row r="2050">
          <cell r="J2050">
            <v>1676</v>
          </cell>
          <cell r="K2050">
            <v>43194</v>
          </cell>
          <cell r="L2050" t="str">
            <v>MODESTO  GARCIA CHIRIMIA</v>
          </cell>
          <cell r="M2050">
            <v>31</v>
          </cell>
          <cell r="N2050" t="str">
            <v>RESOLUCION</v>
          </cell>
          <cell r="O2050">
            <v>1738</v>
          </cell>
          <cell r="P2050">
            <v>43194</v>
          </cell>
          <cell r="Q2050" t="str">
            <v>AYUDA TEMPORAL A LAS FAMILIAS DE VARIAS LOCALIDADES, PARA LA RELOCALIZACIÓN DE HOGARES LOCALIZADOS EN ZONAS DE ALTO RIESGO NO MITIGABLE ID:2014-W166-081, LOCALIDAD:19 CIUDAD BOLÍVAR, UPZ:68 EL TESORO, SECTOR:WOUNAAN</v>
          </cell>
          <cell r="R2050">
            <v>5532880</v>
          </cell>
          <cell r="S2050">
            <v>0</v>
          </cell>
          <cell r="T2050">
            <v>0</v>
          </cell>
          <cell r="U2050">
            <v>5532880</v>
          </cell>
          <cell r="V2050">
            <v>2213152</v>
          </cell>
        </row>
        <row r="2051">
          <cell r="J2051">
            <v>1677</v>
          </cell>
          <cell r="K2051">
            <v>43194</v>
          </cell>
          <cell r="L2051" t="str">
            <v>JANIOS ALPIDIO MARQUEZ SUEROKE</v>
          </cell>
          <cell r="M2051">
            <v>31</v>
          </cell>
          <cell r="N2051" t="str">
            <v>RESOLUCION</v>
          </cell>
          <cell r="O2051">
            <v>1737</v>
          </cell>
          <cell r="P2051">
            <v>43194</v>
          </cell>
          <cell r="Q2051" t="str">
            <v>AYUDA TEMPORAL A LAS FAMILIAS DE VARIAS LOCALIDADES, PARA LA RELOCALIZACIÓN DE HOGARES LOCALIZADOS EN ZONAS DE ALTO RIESGO NO MITIGABLE ID:2015-W166-410, LOCALIDAD:04 SAN CRISTÓBAL, UPZ:32 SAN BLAS, SECTOR:UITOTO</v>
          </cell>
          <cell r="R2051">
            <v>5311560</v>
          </cell>
          <cell r="S2051">
            <v>0</v>
          </cell>
          <cell r="T2051">
            <v>0</v>
          </cell>
          <cell r="U2051">
            <v>5311560</v>
          </cell>
          <cell r="V2051">
            <v>2124624</v>
          </cell>
        </row>
        <row r="2052">
          <cell r="J2052">
            <v>1678</v>
          </cell>
          <cell r="K2052">
            <v>43194</v>
          </cell>
          <cell r="L2052" t="str">
            <v>ESTEBAN  CHIRIMIA DURA</v>
          </cell>
          <cell r="M2052">
            <v>31</v>
          </cell>
          <cell r="N2052" t="str">
            <v>RESOLUCION</v>
          </cell>
          <cell r="O2052">
            <v>1736</v>
          </cell>
          <cell r="P2052">
            <v>43194</v>
          </cell>
          <cell r="Q2052" t="str">
            <v>AYUDA TEMPORAL A LAS FAMILIAS DE VARIAS LOCALIDADES, PARA LA RELOCALIZACIÓN DE HOGARES LOCALIZADOS EN ZONAS DE ALTO RIESGO NO MITIGABLE ID:2015-W166-210, LOCALIDAD:04 SAN CRISTÓBAL, UPZ:33 SOSIEGO, SECTOR:EPERARA</v>
          </cell>
          <cell r="R2052">
            <v>3629568</v>
          </cell>
          <cell r="S2052">
            <v>0</v>
          </cell>
          <cell r="T2052">
            <v>0</v>
          </cell>
          <cell r="U2052">
            <v>3629568</v>
          </cell>
          <cell r="V2052">
            <v>2419712</v>
          </cell>
        </row>
        <row r="2053">
          <cell r="J2053">
            <v>1679</v>
          </cell>
          <cell r="K2053">
            <v>43194</v>
          </cell>
          <cell r="L2053" t="str">
            <v>ELVIRA  CORZO DE GALEANO</v>
          </cell>
          <cell r="M2053">
            <v>31</v>
          </cell>
          <cell r="N2053" t="str">
            <v>RESOLUCION</v>
          </cell>
          <cell r="O2053">
            <v>1735</v>
          </cell>
          <cell r="P2053">
            <v>43194</v>
          </cell>
          <cell r="Q2053" t="str">
            <v>AYUDA TEMPORAL A LAS FAMILIAS DE VARIAS LOCALIDADES, PARA LA RELOCALIZACIÓN DE HOGARES LOCALIZADOS EN ZONAS DE ALTO RIESGO NO MITIGABLE ID:2014-Q07-00919, LOCALIDAD:19 CIUDAD BOLÍVAR, UPZ:68 EL TESORO, SECTOR:QUEBRADA GALINDO</v>
          </cell>
          <cell r="R2053">
            <v>1534452</v>
          </cell>
          <cell r="S2053">
            <v>383613</v>
          </cell>
          <cell r="T2053">
            <v>0</v>
          </cell>
          <cell r="U2053">
            <v>1150839</v>
          </cell>
          <cell r="V2053">
            <v>1150839</v>
          </cell>
        </row>
        <row r="2054">
          <cell r="J2054">
            <v>1680</v>
          </cell>
          <cell r="K2054">
            <v>43194</v>
          </cell>
          <cell r="L2054" t="str">
            <v>LEOPOLDINA  CHIRIPUA DURA</v>
          </cell>
          <cell r="M2054">
            <v>31</v>
          </cell>
          <cell r="N2054" t="str">
            <v>RESOLUCION</v>
          </cell>
          <cell r="O2054">
            <v>1734</v>
          </cell>
          <cell r="P2054">
            <v>43194</v>
          </cell>
          <cell r="Q2054" t="str">
            <v>AYUDA TEMPORAL A LAS FAMILIAS DE VARIAS LOCALIDADES, PARA LA RELOCALIZACIÓN DE HOGARES LOCALIZADOS EN ZONAS DE ALTO RIESGO NO MITIGABLE ID:2015-W166-515, LOCALIDAD:19 CIUDAD BOLÍVAR, UPZ:67 LUCERO, SECTOR:WOUNAAN</v>
          </cell>
          <cell r="R2054">
            <v>4131218</v>
          </cell>
          <cell r="S2054">
            <v>0</v>
          </cell>
          <cell r="T2054">
            <v>0</v>
          </cell>
          <cell r="U2054">
            <v>4131218</v>
          </cell>
          <cell r="V2054">
            <v>2360696</v>
          </cell>
        </row>
        <row r="2055">
          <cell r="J2055">
            <v>1681</v>
          </cell>
          <cell r="K2055">
            <v>43194</v>
          </cell>
          <cell r="L2055" t="str">
            <v>JHON LEWIS CHICHILIANO PEÑA</v>
          </cell>
          <cell r="M2055">
            <v>31</v>
          </cell>
          <cell r="N2055" t="str">
            <v>RESOLUCION</v>
          </cell>
          <cell r="O2055">
            <v>1733</v>
          </cell>
          <cell r="P2055">
            <v>43194</v>
          </cell>
          <cell r="Q2055" t="str">
            <v>AYUDA TEMPORAL A LAS FAMILIAS DE VARIAS LOCALIDADES, PARA LA RELOCALIZACIÓN DE HOGARES LOCALIZADOS EN ZONAS DE ALTO RIESGO NO MITIGABLE ID:2014-W166-069, LOCALIDAD:19 CIUDAD BOLÍVAR, UPZ:68 EL TESORO, SECTOR:WOUNAAN</v>
          </cell>
          <cell r="R2055">
            <v>4027933</v>
          </cell>
          <cell r="S2055">
            <v>0</v>
          </cell>
          <cell r="T2055">
            <v>0</v>
          </cell>
          <cell r="U2055">
            <v>4027933</v>
          </cell>
          <cell r="V2055">
            <v>2301676</v>
          </cell>
        </row>
        <row r="2056">
          <cell r="J2056">
            <v>1682</v>
          </cell>
          <cell r="K2056">
            <v>43194</v>
          </cell>
          <cell r="L2056" t="str">
            <v>MARIA LEONISA MERCAZA CHIRIPUA</v>
          </cell>
          <cell r="M2056">
            <v>31</v>
          </cell>
          <cell r="N2056" t="str">
            <v>RESOLUCION</v>
          </cell>
          <cell r="O2056">
            <v>1732</v>
          </cell>
          <cell r="P2056">
            <v>43194</v>
          </cell>
          <cell r="Q2056" t="str">
            <v>AYUDA TEMPORAL A LAS FAMILIAS DE VARIAS LOCALIDADES, PARA LA RELOCALIZACIÓN DE HOGARES LOCALIZADOS EN ZONAS DE ALTO RIESGO NO MITIGABLE ID:2015-W166-533, LOCALIDAD:19 CIUDAD BOLÍVAR, UPZ:67 LUCERO, SECTOR:WOUNAAN</v>
          </cell>
          <cell r="R2056">
            <v>5112378</v>
          </cell>
          <cell r="S2056">
            <v>0</v>
          </cell>
          <cell r="T2056">
            <v>0</v>
          </cell>
          <cell r="U2056">
            <v>5112378</v>
          </cell>
          <cell r="V2056">
            <v>2272168</v>
          </cell>
        </row>
        <row r="2057">
          <cell r="J2057">
            <v>1683</v>
          </cell>
          <cell r="K2057">
            <v>43194</v>
          </cell>
          <cell r="L2057" t="str">
            <v>BLANCA LILIANA MELO RAMOS</v>
          </cell>
          <cell r="M2057">
            <v>31</v>
          </cell>
          <cell r="N2057" t="str">
            <v>RESOLUCION</v>
          </cell>
          <cell r="O2057">
            <v>1731</v>
          </cell>
          <cell r="P2057">
            <v>43194</v>
          </cell>
          <cell r="Q2057" t="str">
            <v>AYUDA TEMPORAL A LAS FAMILIAS DE VARIAS LOCALIDADES, PARA LA RELOCALIZACIÓN DE HOGARES LOCALIZADOS EN ZONAS DE ALTO RIESGO NO MITIGABLE ID:2011-4-12714, LOCALIDAD:04 SAN CRISTÓBAL, UPZ:32 SAN BLAS</v>
          </cell>
          <cell r="R2057">
            <v>6283186</v>
          </cell>
          <cell r="S2057">
            <v>0</v>
          </cell>
          <cell r="T2057">
            <v>0</v>
          </cell>
          <cell r="U2057">
            <v>6283186</v>
          </cell>
          <cell r="V2057">
            <v>2899932</v>
          </cell>
        </row>
        <row r="2058">
          <cell r="J2058">
            <v>1684</v>
          </cell>
          <cell r="K2058">
            <v>43194</v>
          </cell>
          <cell r="L2058" t="str">
            <v>RUVIELA  JAIMES CARBAJAL</v>
          </cell>
          <cell r="M2058">
            <v>31</v>
          </cell>
          <cell r="N2058" t="str">
            <v>RESOLUCION</v>
          </cell>
          <cell r="O2058">
            <v>1684</v>
          </cell>
          <cell r="P2058">
            <v>43194</v>
          </cell>
          <cell r="Q2058" t="str">
            <v>AYUDA TEMPORAL A LAS FAMILIAS DE VARIAS LOCALIDADES, PARA LA RELOCALIZACIÓN DE HOGARES LOCALIZADOS EN ZONAS DE ALTO RIESGO NO MITIGABLE ID:2012-ALES-211, LOCALIDAD:19 CIUDAD BOLÍVAR, UPZ:69 ISMAEL PERDOMO, SECTOR:ALTOS DE LA ESTANCIA</v>
          </cell>
          <cell r="R2058">
            <v>5164020</v>
          </cell>
          <cell r="S2058">
            <v>0</v>
          </cell>
          <cell r="T2058">
            <v>0</v>
          </cell>
          <cell r="U2058">
            <v>5164020</v>
          </cell>
          <cell r="V2058">
            <v>2065608</v>
          </cell>
        </row>
        <row r="2059">
          <cell r="J2059">
            <v>1685</v>
          </cell>
          <cell r="K2059">
            <v>43194</v>
          </cell>
          <cell r="L2059" t="str">
            <v>DAVID  MOÑA ISMARE</v>
          </cell>
          <cell r="M2059">
            <v>31</v>
          </cell>
          <cell r="N2059" t="str">
            <v>RESOLUCION</v>
          </cell>
          <cell r="O2059">
            <v>1683</v>
          </cell>
          <cell r="P2059">
            <v>43194</v>
          </cell>
          <cell r="Q2059" t="str">
            <v>AYUDA TEMPORAL A LAS FAMILIAS DE VARIAS LOCALIDADES, PARA LA RELOCALIZACIÓN DE HOGARES LOCALIZADOS EN ZONAS DE ALTO RIESGO NO MITIGABLE ID:2015-W166-415, LOCALIDAD:19 CIUDAD BOLÍVAR, UPZ:67 LUCERO, SECTOR:WOUNAAN</v>
          </cell>
          <cell r="R2059">
            <v>4871376</v>
          </cell>
          <cell r="S2059">
            <v>0</v>
          </cell>
          <cell r="T2059">
            <v>0</v>
          </cell>
          <cell r="U2059">
            <v>4871376</v>
          </cell>
          <cell r="V2059">
            <v>2165056</v>
          </cell>
        </row>
        <row r="2060">
          <cell r="J2060">
            <v>1686</v>
          </cell>
          <cell r="K2060">
            <v>43194</v>
          </cell>
          <cell r="L2060" t="str">
            <v>SILVIO  MOYA OPUA</v>
          </cell>
          <cell r="M2060">
            <v>31</v>
          </cell>
          <cell r="N2060" t="str">
            <v>RESOLUCION</v>
          </cell>
          <cell r="O2060">
            <v>1682</v>
          </cell>
          <cell r="P2060">
            <v>43194</v>
          </cell>
          <cell r="Q2060" t="str">
            <v>AYUDA TEMPORAL A LAS FAMILIAS DE VARIAS LOCALIDADES, PARA LA RELOCALIZACIÓN DE HOGARES LOCALIZADOS EN ZONAS DE ALTO RIESGO NO MITIGABLE ID:2014-W166-092, LOCALIDAD:19 CIUDAD BOLÍVAR, UPZ:68 EL TESORO, SECTOR:WOUNAAN</v>
          </cell>
          <cell r="R2060">
            <v>4780404</v>
          </cell>
          <cell r="S2060">
            <v>0</v>
          </cell>
          <cell r="T2060">
            <v>0</v>
          </cell>
          <cell r="U2060">
            <v>4780404</v>
          </cell>
          <cell r="V2060">
            <v>2124624</v>
          </cell>
        </row>
        <row r="2061">
          <cell r="J2061">
            <v>1687</v>
          </cell>
          <cell r="K2061">
            <v>43194</v>
          </cell>
          <cell r="L2061" t="str">
            <v>YENNY  CHAMAPURO CHIRIMIA</v>
          </cell>
          <cell r="M2061">
            <v>31</v>
          </cell>
          <cell r="N2061" t="str">
            <v>RESOLUCION</v>
          </cell>
          <cell r="O2061">
            <v>1681</v>
          </cell>
          <cell r="P2061">
            <v>43194</v>
          </cell>
          <cell r="Q2061" t="str">
            <v>AYUDA TEMPORAL A LAS FAMILIAS DE VARIAS LOCALIDADES, PARA LA RELOCALIZACIÓN DE HOGARES LOCALIZADOS EN ZONAS DE ALTO RIESGO NO MITIGABLE ID:2015-W166-437, LOCALIDAD:19 CIUDAD BOLÍVAR, UPZ:68 EL TESORO, SECTOR:WOUNAAN</v>
          </cell>
          <cell r="R2061">
            <v>4871376</v>
          </cell>
          <cell r="S2061">
            <v>0</v>
          </cell>
          <cell r="T2061">
            <v>0</v>
          </cell>
          <cell r="U2061">
            <v>4871376</v>
          </cell>
          <cell r="V2061">
            <v>2165056</v>
          </cell>
        </row>
        <row r="2062">
          <cell r="J2062">
            <v>1688</v>
          </cell>
          <cell r="K2062">
            <v>43194</v>
          </cell>
          <cell r="L2062" t="str">
            <v>RIGOBERTO  BALAGUER CAICEDO</v>
          </cell>
          <cell r="M2062">
            <v>31</v>
          </cell>
          <cell r="N2062" t="str">
            <v>RESOLUCION</v>
          </cell>
          <cell r="O2062">
            <v>1680</v>
          </cell>
          <cell r="P2062">
            <v>43194</v>
          </cell>
          <cell r="Q2062" t="str">
            <v>AYUDA TEMPORAL A LAS FAMILIAS DE VARIAS LOCALIDADES, PARA LA RELOCALIZACIÓN DE HOGARES LOCALIZADOS EN ZONAS DE ALTO RIESGO NO MITIGABLE ID:2012-19-14581, LOCALIDAD:19 CIUDAD BOLÍVAR, UPZ:68 EL TESORO, SECTOR:QUEBRADA TROMPETA</v>
          </cell>
          <cell r="R2062">
            <v>3098410</v>
          </cell>
          <cell r="S2062">
            <v>0</v>
          </cell>
          <cell r="T2062">
            <v>0</v>
          </cell>
          <cell r="U2062">
            <v>3098410</v>
          </cell>
          <cell r="V2062">
            <v>1770520</v>
          </cell>
        </row>
        <row r="2063">
          <cell r="J2063">
            <v>1689</v>
          </cell>
          <cell r="K2063">
            <v>43194</v>
          </cell>
          <cell r="L2063" t="str">
            <v>MISAEL  MOCHO NEGRIA</v>
          </cell>
          <cell r="M2063">
            <v>31</v>
          </cell>
          <cell r="N2063" t="str">
            <v>RESOLUCION</v>
          </cell>
          <cell r="O2063">
            <v>1679</v>
          </cell>
          <cell r="P2063">
            <v>43194</v>
          </cell>
          <cell r="Q2063" t="str">
            <v>AYUDA TEMPORAL A LAS FAMILIAS DE VARIAS LOCALIDADES, PARA LA RELOCALIZACIÓN DE HOGARES LOCALIZADOS EN ZONAS DE ALTO RIESGO NO MITIGABLE ID:2015-W166-529, LOCALIDAD:19 CIUDAD BOLÍVAR, UPZ:67 LUCERO, SECTOR:WOUNAAN</v>
          </cell>
          <cell r="R2063">
            <v>7192744</v>
          </cell>
          <cell r="S2063">
            <v>0</v>
          </cell>
          <cell r="T2063">
            <v>0</v>
          </cell>
          <cell r="U2063">
            <v>7192744</v>
          </cell>
          <cell r="V2063">
            <v>2213152</v>
          </cell>
        </row>
        <row r="2064">
          <cell r="J2064">
            <v>1690</v>
          </cell>
          <cell r="K2064">
            <v>43194</v>
          </cell>
          <cell r="L2064" t="str">
            <v>DAWILIO  DURA ISMARE</v>
          </cell>
          <cell r="M2064">
            <v>31</v>
          </cell>
          <cell r="N2064" t="str">
            <v>RESOLUCION</v>
          </cell>
          <cell r="O2064">
            <v>1678</v>
          </cell>
          <cell r="P2064">
            <v>43194</v>
          </cell>
          <cell r="Q2064" t="str">
            <v>AYUDA TEMPORAL A LAS FAMILIAS DE VARIAS LOCALIDADES, PARA LA RELOCALIZACIÓN DE HOGARES LOCALIZADOS EN ZONAS DE ALTO RIESGO NO MITIGABLE ID:2015-W166-432, LOCALIDAD:19 CIUDAD BOLÍVAR, UPZ:67 LUCERO, SECTOR:WOUNAAN</v>
          </cell>
          <cell r="R2064">
            <v>6905028</v>
          </cell>
          <cell r="S2064">
            <v>0</v>
          </cell>
          <cell r="T2064">
            <v>0</v>
          </cell>
          <cell r="U2064">
            <v>6905028</v>
          </cell>
          <cell r="V2064">
            <v>2124624</v>
          </cell>
        </row>
        <row r="2065">
          <cell r="J2065">
            <v>1691</v>
          </cell>
          <cell r="K2065">
            <v>43194</v>
          </cell>
          <cell r="L2065" t="str">
            <v>LUZ MARLEN URREGO RODRIGUEZ</v>
          </cell>
          <cell r="M2065">
            <v>31</v>
          </cell>
          <cell r="N2065" t="str">
            <v>RESOLUCION</v>
          </cell>
          <cell r="O2065">
            <v>1677</v>
          </cell>
          <cell r="P2065">
            <v>43194</v>
          </cell>
          <cell r="Q2065" t="str">
            <v>AYUDA TEMPORAL A LAS FAMILIAS DE VARIAS LOCALIDADES, PARA LA RELOCALIZACIÓN DE HOGARES LOCALIZADOS EN ZONAS DE ALTO RIESGO NO MITIGABLE ID:2015-5-14740, LOCALIDAD:05 USME, UPZ:56 DANUBIO,</v>
          </cell>
          <cell r="R2065">
            <v>6279000</v>
          </cell>
          <cell r="S2065">
            <v>0</v>
          </cell>
          <cell r="T2065">
            <v>0</v>
          </cell>
          <cell r="U2065">
            <v>6279000</v>
          </cell>
          <cell r="V2065">
            <v>1932000</v>
          </cell>
        </row>
        <row r="2066">
          <cell r="J2066">
            <v>1692</v>
          </cell>
          <cell r="K2066">
            <v>43194</v>
          </cell>
          <cell r="L2066" t="str">
            <v>VIRGILIO  PUAMA MEMBACHE</v>
          </cell>
          <cell r="M2066">
            <v>31</v>
          </cell>
          <cell r="N2066" t="str">
            <v>RESOLUCION</v>
          </cell>
          <cell r="O2066">
            <v>1676</v>
          </cell>
          <cell r="P2066">
            <v>43194</v>
          </cell>
          <cell r="Q2066" t="str">
            <v>AYUDA TEMPORAL A LAS FAMILIAS DE VARIAS LOCALIDADES, PARA LA RELOCALIZACIÓN DE HOGARES LOCALIZADOS EN ZONAS DE ALTO RIESGO NO MITIGABLE ID:2015-W166-517, LOCALIDAD:19 CIUDAD BOLÍVAR, UPZ:67 LUCERO, SECTOR:WOUNAAN</v>
          </cell>
          <cell r="R2066">
            <v>5360745</v>
          </cell>
          <cell r="S2066">
            <v>0</v>
          </cell>
          <cell r="T2066">
            <v>0</v>
          </cell>
          <cell r="U2066">
            <v>5360745</v>
          </cell>
          <cell r="V2066">
            <v>1649460</v>
          </cell>
        </row>
        <row r="2067">
          <cell r="J2067">
            <v>1693</v>
          </cell>
          <cell r="K2067">
            <v>43194</v>
          </cell>
          <cell r="L2067" t="str">
            <v>MIRNA ELISA VALENCIA PERTIAGA</v>
          </cell>
          <cell r="M2067">
            <v>31</v>
          </cell>
          <cell r="N2067" t="str">
            <v>RESOLUCION</v>
          </cell>
          <cell r="O2067">
            <v>1675</v>
          </cell>
          <cell r="P2067">
            <v>43194</v>
          </cell>
          <cell r="Q2067" t="str">
            <v>AYUDA TEMPORAL A LAS FAMILIAS DE VARIAS LOCALIDADES, PARA LA RELOCALIZACIÓN DE HOGARES LOCALIZADOS EN ZONAS DE ALTO RIESGO NO MITIGABLE ID:2015-W166-509, LOCALIDAD:04 SAN CRISTÓBAL, UPZ:34 20 DE JULIO, SECTOR:EPERARA</v>
          </cell>
          <cell r="R2067">
            <v>4780404</v>
          </cell>
          <cell r="S2067">
            <v>0</v>
          </cell>
          <cell r="T2067">
            <v>0</v>
          </cell>
          <cell r="U2067">
            <v>4780404</v>
          </cell>
          <cell r="V2067">
            <v>2124624</v>
          </cell>
        </row>
        <row r="2068">
          <cell r="J2068">
            <v>1694</v>
          </cell>
          <cell r="K2068">
            <v>43194</v>
          </cell>
          <cell r="L2068" t="str">
            <v>RENE  PIZARE MALAGA</v>
          </cell>
          <cell r="M2068">
            <v>31</v>
          </cell>
          <cell r="N2068" t="str">
            <v>RESOLUCION</v>
          </cell>
          <cell r="O2068">
            <v>1674</v>
          </cell>
          <cell r="P2068">
            <v>43194</v>
          </cell>
          <cell r="Q2068" t="str">
            <v>AYUDA TEMPORAL A LAS FAMILIAS DE VARIAS LOCALIDADES, PARA LA RELOCALIZACIÓN DE HOGARES LOCALIZADOS EN ZONAS DE ALTO RIESGO NO MITIGABLE ID:2015-W166-201, LOCALIDAD:04 SAN CRISTÓBAL, UPZ:33 SOSIEGO, SECTOR:EPERARA</v>
          </cell>
          <cell r="R2068">
            <v>4979592</v>
          </cell>
          <cell r="S2068">
            <v>0</v>
          </cell>
          <cell r="T2068">
            <v>0</v>
          </cell>
          <cell r="U2068">
            <v>4979592</v>
          </cell>
          <cell r="V2068">
            <v>2213152</v>
          </cell>
        </row>
        <row r="2069">
          <cell r="J2069">
            <v>1695</v>
          </cell>
          <cell r="K2069">
            <v>43195</v>
          </cell>
          <cell r="L2069" t="str">
            <v>ELBER ANTONIO ISMARE DURA</v>
          </cell>
          <cell r="M2069">
            <v>31</v>
          </cell>
          <cell r="N2069" t="str">
            <v>RESOLUCION</v>
          </cell>
          <cell r="O2069">
            <v>1673</v>
          </cell>
          <cell r="P2069">
            <v>43195</v>
          </cell>
          <cell r="Q2069" t="str">
            <v>AYUDA TEMPORAL A LAS FAMILIAS DE VARIAS LOCALIDADES, PARA LA RELOCALIZACIÓN DE HOGARES LOCALIZADOS EN ZONAS DE ALTO RIESGO NO MITIGABLE ID:2015-W166-213, LOCALIDAD:04 SAN CRISTÓBAL, UPZ:33 SOSIEGO, SECTOR:EPERARA</v>
          </cell>
          <cell r="R2069">
            <v>4647618</v>
          </cell>
          <cell r="S2069">
            <v>0</v>
          </cell>
          <cell r="T2069">
            <v>0</v>
          </cell>
          <cell r="U2069">
            <v>4647618</v>
          </cell>
          <cell r="V2069">
            <v>2065608</v>
          </cell>
        </row>
        <row r="2070">
          <cell r="J2070">
            <v>1696</v>
          </cell>
          <cell r="K2070">
            <v>43195</v>
          </cell>
          <cell r="L2070" t="str">
            <v>NISON HARIEL CHAUCARAMA GUACORIZO</v>
          </cell>
          <cell r="M2070">
            <v>31</v>
          </cell>
          <cell r="N2070" t="str">
            <v>RESOLUCION</v>
          </cell>
          <cell r="O2070">
            <v>1672</v>
          </cell>
          <cell r="P2070">
            <v>43195</v>
          </cell>
          <cell r="Q2070" t="str">
            <v>AYUDA TEMPORAL A LAS FAMILIAS DE VARIAS LOCALIDADES, PARA LA RELOCALIZACIÓN DE HOGARES LOCALIZADOS EN ZONAS DE ALTO RIESGO NO MITIGABLE ID:2014-W166-083, LOCALIDAD:19 CIUDAD BOLÍVAR, UPZ:68 EL TESORO, SECTOR:WOUNAAN</v>
          </cell>
          <cell r="R2070">
            <v>3515589</v>
          </cell>
          <cell r="S2070">
            <v>0</v>
          </cell>
          <cell r="T2070">
            <v>0</v>
          </cell>
          <cell r="U2070">
            <v>3515589</v>
          </cell>
          <cell r="V2070">
            <v>1562484</v>
          </cell>
        </row>
        <row r="2071">
          <cell r="J2071">
            <v>1697</v>
          </cell>
          <cell r="K2071">
            <v>43195</v>
          </cell>
          <cell r="L2071" t="str">
            <v>YONNY LESI OSORIO SARCO</v>
          </cell>
          <cell r="M2071">
            <v>31</v>
          </cell>
          <cell r="N2071" t="str">
            <v>RESOLUCION</v>
          </cell>
          <cell r="O2071">
            <v>1671</v>
          </cell>
          <cell r="P2071">
            <v>43195</v>
          </cell>
          <cell r="Q2071" t="str">
            <v>AYUDA TEMPORAL A LAS FAMILIAS DE VARIAS LOCALIDADES, PARA LA RELOCALIZACIÓN DE HOGARES LOCALIZADOS EN ZONAS DE ALTO RIESGO NO MITIGABLE ID:2014-W166-097, LOCALIDAD:19 CIUDAD BOLÍVAR, UPZ:68 EL TESORO, SECTOR:WOUNAAN</v>
          </cell>
          <cell r="R2071">
            <v>4780404</v>
          </cell>
          <cell r="S2071">
            <v>0</v>
          </cell>
          <cell r="T2071">
            <v>0</v>
          </cell>
          <cell r="U2071">
            <v>4780404</v>
          </cell>
          <cell r="V2071">
            <v>2124624</v>
          </cell>
        </row>
        <row r="2072">
          <cell r="J2072">
            <v>1698</v>
          </cell>
          <cell r="K2072">
            <v>43195</v>
          </cell>
          <cell r="L2072" t="str">
            <v>HENRY  MEJIA CUAMA</v>
          </cell>
          <cell r="M2072">
            <v>31</v>
          </cell>
          <cell r="N2072" t="str">
            <v>RESOLUCION</v>
          </cell>
          <cell r="O2072">
            <v>1670</v>
          </cell>
          <cell r="P2072">
            <v>43195</v>
          </cell>
          <cell r="Q2072" t="str">
            <v>AYUDA TEMPORAL A LAS FAMILIAS DE VARIAS LOCALIDADES, PARA LA RELOCALIZACIÓN DE HOGARES LOCALIZADOS EN ZONAS DE ALTO RIESGO NO MITIGABLE ID:2015-W166-205, LOCALIDAD:04 SAN CRISTÓBAL, UPZ:33 SOSIEGO, SECTOR:EPERARA</v>
          </cell>
          <cell r="R2072">
            <v>4780404</v>
          </cell>
          <cell r="S2072">
            <v>0</v>
          </cell>
          <cell r="T2072">
            <v>0</v>
          </cell>
          <cell r="U2072">
            <v>4780404</v>
          </cell>
          <cell r="V2072">
            <v>2124624</v>
          </cell>
        </row>
        <row r="2073">
          <cell r="J2073">
            <v>1699</v>
          </cell>
          <cell r="K2073">
            <v>43195</v>
          </cell>
          <cell r="L2073" t="str">
            <v>ELEYDA  CARDENAS MEMBACHE</v>
          </cell>
          <cell r="M2073">
            <v>31</v>
          </cell>
          <cell r="N2073" t="str">
            <v>RESOLUCION</v>
          </cell>
          <cell r="O2073">
            <v>1669</v>
          </cell>
          <cell r="P2073">
            <v>43195</v>
          </cell>
          <cell r="Q2073" t="str">
            <v>AYUDA TEMPORAL A LAS FAMILIAS DE VARIAS LOCALIDADES, PARA LA RELOCALIZACIÓN DE HOGARES LOCALIZADOS EN ZONAS DE ALTO RIESGO NO MITIGABLE ID:2014-W166-054, LOCALIDAD:19 CIUDAD BOLÍVAR, UPZ:68 EL TESORO, SECTOR:WOUNAAN</v>
          </cell>
          <cell r="R2073">
            <v>5311566</v>
          </cell>
          <cell r="S2073">
            <v>0</v>
          </cell>
          <cell r="T2073">
            <v>0</v>
          </cell>
          <cell r="U2073">
            <v>5311566</v>
          </cell>
          <cell r="V2073">
            <v>2360696</v>
          </cell>
        </row>
        <row r="2074">
          <cell r="J2074">
            <v>1700</v>
          </cell>
          <cell r="K2074">
            <v>43195</v>
          </cell>
          <cell r="L2074" t="str">
            <v>ALBEIRO  ORTIZ CHICHILIANO</v>
          </cell>
          <cell r="M2074">
            <v>31</v>
          </cell>
          <cell r="N2074" t="str">
            <v>RESOLUCION</v>
          </cell>
          <cell r="O2074">
            <v>1668</v>
          </cell>
          <cell r="P2074">
            <v>43195</v>
          </cell>
          <cell r="Q2074" t="str">
            <v>AYUDA TEMPORAL A LAS FAMILIAS DE VARIAS LOCALIDADES, PARA LA RELOCALIZACIÓN DE HOGARES LOCALIZADOS EN ZONAS DE ALTO RIESGO NO MITIGABLE ID:2015-W166-418, LOCALIDAD:19 CIUDAD BOLÍVAR, UPZ:67 LUCERO, SECTOR:WOUNAAN</v>
          </cell>
          <cell r="R2074">
            <v>5335434</v>
          </cell>
          <cell r="S2074">
            <v>0</v>
          </cell>
          <cell r="T2074">
            <v>0</v>
          </cell>
          <cell r="U2074">
            <v>5335434</v>
          </cell>
          <cell r="V2074">
            <v>1778478</v>
          </cell>
        </row>
        <row r="2075">
          <cell r="J2075">
            <v>1701</v>
          </cell>
          <cell r="K2075">
            <v>43195</v>
          </cell>
          <cell r="L2075" t="str">
            <v>DORIS ELSA PIRAZA ISMARE</v>
          </cell>
          <cell r="M2075">
            <v>31</v>
          </cell>
          <cell r="N2075" t="str">
            <v>RESOLUCION</v>
          </cell>
          <cell r="O2075">
            <v>1667</v>
          </cell>
          <cell r="P2075">
            <v>43195</v>
          </cell>
          <cell r="Q2075" t="str">
            <v>AYUDA TEMPORAL A LAS FAMILIAS DE VARIAS LOCALIDADES, PARA LA RELOCALIZACIÓN DE HOGARES LOCALIZADOS EN ZONAS DE ALTO RIESGO NO MITIGABLE ID:2014-W166-039, LOCALIDAD:19 CIUDAD BOLÍVAR, UPZ:68 EL TESORO, SECTOR:WOUNAAN</v>
          </cell>
          <cell r="R2075">
            <v>6491914</v>
          </cell>
          <cell r="S2075">
            <v>0</v>
          </cell>
          <cell r="T2075">
            <v>0</v>
          </cell>
          <cell r="U2075">
            <v>6491914</v>
          </cell>
          <cell r="V2075">
            <v>2360696</v>
          </cell>
        </row>
        <row r="2076">
          <cell r="J2076">
            <v>1702</v>
          </cell>
          <cell r="K2076">
            <v>43195</v>
          </cell>
          <cell r="L2076" t="str">
            <v>ROSALBA  ATEHORTUA ARIAS</v>
          </cell>
          <cell r="M2076">
            <v>31</v>
          </cell>
          <cell r="N2076" t="str">
            <v>RESOLUCION</v>
          </cell>
          <cell r="O2076">
            <v>1666</v>
          </cell>
          <cell r="P2076">
            <v>43195</v>
          </cell>
          <cell r="Q2076" t="str">
            <v>AYUDA TEMPORAL A LAS FAMILIAS DE VARIAS LOCALIDADES, PARA LA RELOCALIZACIÓN DE HOGARES LOCALIZADOS EN ZONAS DE ALTO RIESGO NO MITIGABLE ID:2013-5-14681, LOCALIDAD:05 USME, UPZ:57 GRAN YOMASA</v>
          </cell>
          <cell r="R2076">
            <v>5152170</v>
          </cell>
          <cell r="S2076">
            <v>0</v>
          </cell>
          <cell r="T2076">
            <v>0</v>
          </cell>
          <cell r="U2076">
            <v>5152170</v>
          </cell>
          <cell r="V2076">
            <v>2060868</v>
          </cell>
        </row>
        <row r="2077">
          <cell r="J2077">
            <v>1703</v>
          </cell>
          <cell r="K2077">
            <v>43195</v>
          </cell>
          <cell r="L2077" t="str">
            <v>DEISY  PEGAISA OPUA</v>
          </cell>
          <cell r="M2077">
            <v>31</v>
          </cell>
          <cell r="N2077" t="str">
            <v>RESOLUCION</v>
          </cell>
          <cell r="O2077">
            <v>1665</v>
          </cell>
          <cell r="P2077">
            <v>43195</v>
          </cell>
          <cell r="Q2077" t="str">
            <v>AYUDA TEMPORAL A LAS FAMILIAS DE VARIAS LOCALIDADES, PARA RELOCALIZACIÓN DE HOGARES LOCALIZADOS EN ZONAS DE ALTO RIESGO NO MITIGABLE ID:2014-W166-002, LOCALIDAD:19 CIUDAD BOLÍVAR, UPZ:67 LUCERO, SECTOR:WOUNAAN</v>
          </cell>
          <cell r="R2077">
            <v>3186936</v>
          </cell>
          <cell r="S2077">
            <v>0</v>
          </cell>
          <cell r="T2077">
            <v>0</v>
          </cell>
          <cell r="U2077">
            <v>3186936</v>
          </cell>
          <cell r="V2077">
            <v>2124624</v>
          </cell>
        </row>
        <row r="2078">
          <cell r="J2078">
            <v>1704</v>
          </cell>
          <cell r="K2078">
            <v>43195</v>
          </cell>
          <cell r="L2078" t="str">
            <v>PAOLA ANDREA ATTAMA</v>
          </cell>
          <cell r="M2078">
            <v>31</v>
          </cell>
          <cell r="N2078" t="str">
            <v>RESOLUCION</v>
          </cell>
          <cell r="O2078">
            <v>1664</v>
          </cell>
          <cell r="P2078">
            <v>43195</v>
          </cell>
          <cell r="Q2078" t="str">
            <v>AYUDA TEMPORAL A LAS FAMILIAS DE VARIAS LOCALIDADES, PARA LA RELOCALIZACIÓN DE HOGARES LOCALIZADOS EN ZONAS DE ALTO RIESGO NO MITIGABLE ID:2015-W166-406, LOCALIDAD:07 BOSA, UPZ:86 EL PORVENIR, SECTOR:UITOTO</v>
          </cell>
          <cell r="R2078">
            <v>4544336</v>
          </cell>
          <cell r="S2078">
            <v>0</v>
          </cell>
          <cell r="T2078">
            <v>0</v>
          </cell>
          <cell r="U2078">
            <v>4544336</v>
          </cell>
          <cell r="V2078">
            <v>2272168</v>
          </cell>
        </row>
        <row r="2079">
          <cell r="J2079">
            <v>1705</v>
          </cell>
          <cell r="K2079">
            <v>43195</v>
          </cell>
          <cell r="L2079" t="str">
            <v>FLOR EDILMA GARZON BENITEZ</v>
          </cell>
          <cell r="M2079">
            <v>31</v>
          </cell>
          <cell r="N2079" t="str">
            <v>RESOLUCION</v>
          </cell>
          <cell r="O2079">
            <v>1663</v>
          </cell>
          <cell r="P2079">
            <v>43195</v>
          </cell>
          <cell r="Q2079" t="str">
            <v>AYUDA TEMPORAL A LAS FAMILIAS DE VARIAS LOCALIDADES, PARA LA RELOCALIZACIÓN DE HOGARES LOCALIZADOS EN ZONAS DE ALTO RIESGO NO MITIGABLE ID:2013-Q05-00050, LOCALIDAD:19 CIUDAD BOLÍVAR, UPZ:67 LUCERO, SECTOR:QUEBRADA CAÑO BAÚL</v>
          </cell>
          <cell r="R2079">
            <v>3017000</v>
          </cell>
          <cell r="S2079">
            <v>0</v>
          </cell>
          <cell r="T2079">
            <v>0</v>
          </cell>
          <cell r="U2079">
            <v>3017000</v>
          </cell>
          <cell r="V2079">
            <v>1724000</v>
          </cell>
        </row>
        <row r="2080">
          <cell r="J2080">
            <v>1706</v>
          </cell>
          <cell r="K2080">
            <v>43195</v>
          </cell>
          <cell r="L2080" t="str">
            <v>JAIRO ALEXI FERLA</v>
          </cell>
          <cell r="M2080">
            <v>31</v>
          </cell>
          <cell r="N2080" t="str">
            <v>RESOLUCION</v>
          </cell>
          <cell r="O2080">
            <v>1662</v>
          </cell>
          <cell r="P2080">
            <v>43195</v>
          </cell>
          <cell r="Q2080" t="str">
            <v>AYUDA TEMPORAL A LAS FAMILIAS DE VARIAS LOCALIDADES, PARA LA RELOCALIZACIÓN DE HOGARES LOCALIZADOS EN ZONAS DE ALTO RIESGO NO MITIGABLE ID:2007-4-10688, LOCALIDAD:04 SAN CRISTÓBAL, UPZ:32 SAN BLAS</v>
          </cell>
          <cell r="R2080">
            <v>5612893</v>
          </cell>
          <cell r="S2080">
            <v>0</v>
          </cell>
          <cell r="T2080">
            <v>0</v>
          </cell>
          <cell r="U2080">
            <v>5612893</v>
          </cell>
          <cell r="V2080">
            <v>1727044</v>
          </cell>
        </row>
        <row r="2081">
          <cell r="J2081">
            <v>1707</v>
          </cell>
          <cell r="K2081">
            <v>43195</v>
          </cell>
          <cell r="L2081" t="str">
            <v>GEORGINA  GOMEZ MORENO</v>
          </cell>
          <cell r="M2081">
            <v>31</v>
          </cell>
          <cell r="N2081" t="str">
            <v>RESOLUCION</v>
          </cell>
          <cell r="O2081">
            <v>1661</v>
          </cell>
          <cell r="P2081">
            <v>43195</v>
          </cell>
          <cell r="Q2081" t="str">
            <v>AYUDA TEMPORAL A LAS FAMILIAS DE VARIAS LOCALIDADES, PARA LA RELOCALIZACIÓN DE HOGARES LOCALIZADOS EN ZONAS DE ALTO RIESGO NO MITIGABLE ID:2015-W166-500, LOCALIDAD:03 SANTA FE, UPZ:96 LOURDES, SECTOR:UITOTO</v>
          </cell>
          <cell r="R2081">
            <v>5311566</v>
          </cell>
          <cell r="S2081">
            <v>0</v>
          </cell>
          <cell r="T2081">
            <v>0</v>
          </cell>
          <cell r="U2081">
            <v>5311566</v>
          </cell>
          <cell r="V2081">
            <v>2360696</v>
          </cell>
        </row>
        <row r="2082">
          <cell r="J2082">
            <v>1711</v>
          </cell>
          <cell r="K2082">
            <v>43195</v>
          </cell>
          <cell r="L2082" t="str">
            <v>ALVARO  GARZON GONZALEZ</v>
          </cell>
          <cell r="M2082">
            <v>31</v>
          </cell>
          <cell r="N2082" t="str">
            <v>RESOLUCION</v>
          </cell>
          <cell r="O2082">
            <v>1660</v>
          </cell>
          <cell r="P2082">
            <v>43195</v>
          </cell>
          <cell r="Q2082" t="str">
            <v>AYUDA TEMPORAL A LAS FAMILIAS DE VARIAS LOCALIDADES, PARA LA RELOCALIZACIÓN DE HOGARES LOCALIZADOS EN ZONAS DE ALTO RIESGO NO MITIGABLE ID:2015-D227-00038, LOCALIDAD:04 SAN CRISTÓBAL, UPZ:51 LOS LIBERTADORES, SECTOR:SANTA TERESITA</v>
          </cell>
          <cell r="R2082">
            <v>2899572</v>
          </cell>
          <cell r="S2082">
            <v>0</v>
          </cell>
          <cell r="T2082">
            <v>0</v>
          </cell>
          <cell r="U2082">
            <v>2899572</v>
          </cell>
          <cell r="V2082">
            <v>1933048</v>
          </cell>
        </row>
        <row r="2083">
          <cell r="J2083">
            <v>1712</v>
          </cell>
          <cell r="K2083">
            <v>43195</v>
          </cell>
          <cell r="L2083" t="str">
            <v>LUZ MERY BERMUDEZ VARGAS</v>
          </cell>
          <cell r="M2083">
            <v>31</v>
          </cell>
          <cell r="N2083" t="str">
            <v>RESOLUCION</v>
          </cell>
          <cell r="O2083">
            <v>1659</v>
          </cell>
          <cell r="P2083">
            <v>43195</v>
          </cell>
          <cell r="Q2083" t="str">
            <v>AYUDA TEMPORAL A LAS FAMILIAS DE VARIAS LOCALIDADES, PARA LA RELOCALIZACIÓN DE HOGARES LOCALIZADOS EN ZONAS DE ALTO RIESGO NO MITIGABLE ID:2015-Q03-03361, LOCALIDAD:19 CIUDAD BOLÍVAR, UPZ:67 LUCERO, SECTOR:LIMAS</v>
          </cell>
          <cell r="R2083">
            <v>3157357</v>
          </cell>
          <cell r="S2083">
            <v>0</v>
          </cell>
          <cell r="T2083">
            <v>0</v>
          </cell>
          <cell r="U2083">
            <v>3157357</v>
          </cell>
          <cell r="V2083">
            <v>1804204</v>
          </cell>
        </row>
        <row r="2084">
          <cell r="J2084">
            <v>1713</v>
          </cell>
          <cell r="K2084">
            <v>43195</v>
          </cell>
          <cell r="L2084" t="str">
            <v>NELSON  GALEANO CORZO</v>
          </cell>
          <cell r="M2084">
            <v>31</v>
          </cell>
          <cell r="N2084" t="str">
            <v>RESOLUCION</v>
          </cell>
          <cell r="O2084">
            <v>1658</v>
          </cell>
          <cell r="P2084">
            <v>43195</v>
          </cell>
          <cell r="Q2084" t="str">
            <v>AYUDA TEMPORAL A LAS FAMILIAS DE VARIAS LOCALIDADES, PARA LA RELOCALIZACIÓN DE HOGARES LOCALIZADOS EN ZONAS DE ALTO RIESGO NO MITIGABLE ID:2013-Q05-00054, LOCALIDAD:19 CIUDAD BOLÍVAR, UPZ:68 EL TESORO, SECTOR:QUEBRADA GALINDO</v>
          </cell>
          <cell r="R2084">
            <v>2596764</v>
          </cell>
          <cell r="S2084">
            <v>649191</v>
          </cell>
          <cell r="T2084">
            <v>0</v>
          </cell>
          <cell r="U2084">
            <v>1947573</v>
          </cell>
          <cell r="V2084">
            <v>1947573</v>
          </cell>
        </row>
        <row r="2085">
          <cell r="J2085">
            <v>1714</v>
          </cell>
          <cell r="K2085">
            <v>43195</v>
          </cell>
          <cell r="L2085" t="str">
            <v>MARLIN  MOÑA CHIRIPUA</v>
          </cell>
          <cell r="M2085">
            <v>31</v>
          </cell>
          <cell r="N2085" t="str">
            <v>RESOLUCION</v>
          </cell>
          <cell r="O2085">
            <v>1657</v>
          </cell>
          <cell r="P2085">
            <v>43195</v>
          </cell>
          <cell r="Q2085" t="str">
            <v>AYUDA TEMPORAL A LAS FAMILIAS DE VARIAS LOCALIDADES, PARA LA RELOCALIZACIÓN DE HOGARES LOCALIZADOS EN ZONAS DE ALTO RIESGO NO MITIGABLE ID:2015-W166-519, LOCALIDAD:19 CIUDAD BOLÍVAR, UPZ:67 LUCERO, SECTOR:WOUNAAN</v>
          </cell>
          <cell r="R2085">
            <v>6030557</v>
          </cell>
          <cell r="S2085">
            <v>0</v>
          </cell>
          <cell r="T2085">
            <v>0</v>
          </cell>
          <cell r="U2085">
            <v>6030557</v>
          </cell>
          <cell r="V2085">
            <v>1855556</v>
          </cell>
        </row>
        <row r="2086">
          <cell r="J2086">
            <v>1715</v>
          </cell>
          <cell r="K2086">
            <v>43195</v>
          </cell>
          <cell r="L2086" t="str">
            <v>VICTOR  CARPIO CONQUISTA</v>
          </cell>
          <cell r="M2086">
            <v>31</v>
          </cell>
          <cell r="N2086" t="str">
            <v>RESOLUCION</v>
          </cell>
          <cell r="O2086">
            <v>1656</v>
          </cell>
          <cell r="P2086">
            <v>43195</v>
          </cell>
          <cell r="Q2086" t="str">
            <v>AYUDA TEMPORAL A LAS FAMILIAS DE VARIAS LOCALIDADES, PARA LA RELOCALIZACIÓN DE HOGARES LOCALIZADOS EN ZONAS DE ALTO RIESGO NO MITIGABLE ID:2014-W166-030, LOCALIDAD:19 CIUDAD BOLÍVAR, UPZ:67 LUCERO, SECTOR:WOUNAAN</v>
          </cell>
          <cell r="R2086">
            <v>5532880</v>
          </cell>
          <cell r="S2086">
            <v>0</v>
          </cell>
          <cell r="T2086">
            <v>0</v>
          </cell>
          <cell r="U2086">
            <v>5532880</v>
          </cell>
          <cell r="V2086">
            <v>2213152</v>
          </cell>
        </row>
        <row r="2087">
          <cell r="J2087">
            <v>1716</v>
          </cell>
          <cell r="K2087">
            <v>43195</v>
          </cell>
          <cell r="L2087" t="str">
            <v>INGRI  CARPIO CHAMAPURO</v>
          </cell>
          <cell r="M2087">
            <v>31</v>
          </cell>
          <cell r="N2087" t="str">
            <v>RESOLUCION</v>
          </cell>
          <cell r="O2087">
            <v>1655</v>
          </cell>
          <cell r="P2087">
            <v>43195</v>
          </cell>
          <cell r="Q2087" t="str">
            <v>AYUDA TEMPORAL A LAS FAMILIAS DE VARIAS LOCALIDADES, PARA LA RELOCALIZACIÓN DE HOGARES LOCALIZADOS EN ZONAS DE ALTO RIESGO NO MITIGABLE ID:2015-W166-442, LOCALIDAD:19 CIUDAD BOLÍVAR, UPZ:67 LUCERO, SECTOR:WOUNAAN</v>
          </cell>
          <cell r="R2087">
            <v>4117167</v>
          </cell>
          <cell r="S2087">
            <v>0</v>
          </cell>
          <cell r="T2087">
            <v>0</v>
          </cell>
          <cell r="U2087">
            <v>4117167</v>
          </cell>
          <cell r="V2087">
            <v>1829852</v>
          </cell>
        </row>
        <row r="2088">
          <cell r="J2088">
            <v>1718</v>
          </cell>
          <cell r="K2088">
            <v>43195</v>
          </cell>
          <cell r="L2088" t="str">
            <v>CARMEN NANCY RINCON DE BORDA</v>
          </cell>
          <cell r="M2088">
            <v>31</v>
          </cell>
          <cell r="N2088" t="str">
            <v>RESOLUCION</v>
          </cell>
          <cell r="O2088">
            <v>1690</v>
          </cell>
          <cell r="P2088">
            <v>43195</v>
          </cell>
          <cell r="Q2088" t="str">
            <v>VUR de la actual vigencia.Dto 255 de 2013. LOCALIDAD:CIUDAD BOLIVAR; BARRIO:SAUCES HORTALIZAS (HORTALIZAS); ID:2012-19-14175</v>
          </cell>
          <cell r="R2088">
            <v>39062100</v>
          </cell>
          <cell r="S2088">
            <v>0</v>
          </cell>
          <cell r="T2088">
            <v>0</v>
          </cell>
          <cell r="U2088">
            <v>39062100</v>
          </cell>
          <cell r="V2088">
            <v>0</v>
          </cell>
        </row>
        <row r="2089">
          <cell r="J2089">
            <v>1719</v>
          </cell>
          <cell r="K2089">
            <v>43195</v>
          </cell>
          <cell r="L2089" t="str">
            <v>ILEUDINE  DURA CHIRIPUA</v>
          </cell>
          <cell r="M2089">
            <v>31</v>
          </cell>
          <cell r="N2089" t="str">
            <v>RESOLUCION</v>
          </cell>
          <cell r="O2089">
            <v>1750</v>
          </cell>
          <cell r="P2089">
            <v>43195</v>
          </cell>
          <cell r="Q2089" t="str">
            <v>AYUDA TEMPORAL A LAS FAMILIAS DE VARIAS LOCALIDADES, PARA LA RELOCALIZACIÓN DE HOGARES LOCALIZADOS EN ZONAS DE ALTO RIESGO NO MITIGABLE ID:2015-W166-208, LOCALIDAD:04 SAN CRISTÓBAL, UPZ:33 SOSIEGO, SECTOR:EPERARA</v>
          </cell>
          <cell r="R2089">
            <v>3983670</v>
          </cell>
          <cell r="S2089">
            <v>0</v>
          </cell>
          <cell r="T2089">
            <v>0</v>
          </cell>
          <cell r="U2089">
            <v>3983670</v>
          </cell>
          <cell r="V2089">
            <v>1770520</v>
          </cell>
        </row>
        <row r="2090">
          <cell r="J2090">
            <v>1721</v>
          </cell>
          <cell r="K2090">
            <v>43195</v>
          </cell>
          <cell r="L2090" t="str">
            <v>FERNELY  ISMARE PUCHICAMA</v>
          </cell>
          <cell r="M2090">
            <v>31</v>
          </cell>
          <cell r="N2090" t="str">
            <v>RESOLUCION</v>
          </cell>
          <cell r="O2090">
            <v>1751</v>
          </cell>
          <cell r="P2090">
            <v>43195</v>
          </cell>
          <cell r="Q2090" t="str">
            <v>AYUDA TEMPORAL A LAS FAMILIAS DE VARIAS LOCALIDADES, PARA LA RELOCALIZACIÓN DE HOGARES LOCALIZADOS EN ZONAS DE ALTO RIESGO NO MITIGABLE ID:2014-W166-098, LOCALIDAD:19 CIUDAD BOLÍVAR, UPZ:67 LUCERO, SECTOR:WOUNAAN</v>
          </cell>
          <cell r="R2090">
            <v>3515589</v>
          </cell>
          <cell r="S2090">
            <v>0</v>
          </cell>
          <cell r="T2090">
            <v>0</v>
          </cell>
          <cell r="U2090">
            <v>3515589</v>
          </cell>
          <cell r="V2090">
            <v>1562484</v>
          </cell>
        </row>
        <row r="2091">
          <cell r="J2091">
            <v>1722</v>
          </cell>
          <cell r="K2091">
            <v>43195</v>
          </cell>
          <cell r="L2091" t="str">
            <v>ARELIS  CLOFE GAMBOA</v>
          </cell>
          <cell r="M2091">
            <v>31</v>
          </cell>
          <cell r="N2091" t="str">
            <v>RESOLUCION</v>
          </cell>
          <cell r="O2091">
            <v>1752</v>
          </cell>
          <cell r="P2091">
            <v>43195</v>
          </cell>
          <cell r="Q2091" t="str">
            <v>AYUDA TEMPORAL A LAS FAMILIAS DE VARIAS LOCALIDADES, PARA LA RELOCALIZACIÓN DE HOGARES LOCALIZADOS EN ZONAS DE ALTO RIESGO NO MITIGABLE ID:2013-Q18-00395, LOCALIDAD:19 CIUDAD BOLÍVAR, UPZ:69 ISMAEL PERDOMO, SECTOR:ZANJÓN MURALLA</v>
          </cell>
          <cell r="R2091">
            <v>1335924</v>
          </cell>
          <cell r="S2091">
            <v>445308</v>
          </cell>
          <cell r="T2091">
            <v>0</v>
          </cell>
          <cell r="U2091">
            <v>890616</v>
          </cell>
          <cell r="V2091">
            <v>890616</v>
          </cell>
        </row>
        <row r="2092">
          <cell r="J2092">
            <v>1726</v>
          </cell>
          <cell r="K2092">
            <v>43195</v>
          </cell>
          <cell r="L2092" t="str">
            <v>ALONSO  CONQUISTA CARPIO</v>
          </cell>
          <cell r="M2092">
            <v>31</v>
          </cell>
          <cell r="N2092" t="str">
            <v>RESOLUCION</v>
          </cell>
          <cell r="O2092">
            <v>1654</v>
          </cell>
          <cell r="P2092">
            <v>43195</v>
          </cell>
          <cell r="Q2092" t="str">
            <v>AYUDA TEMPORAL A LAS FAMILIAS DE VARIAS LOCALIDADES, PARA RELOCALIZACIÓN DE HOGARES LOCALIZADOS EN ZONAS DE ALTO RIESGO NO MITIGABLE ID:2014-W166-049, LOCALIDAD:19 CIUDAD BOLÍVAR, UPZ:68 EL TESORO, SECTOR:WOUNAAN</v>
          </cell>
          <cell r="R2092">
            <v>3873016</v>
          </cell>
          <cell r="S2092">
            <v>0</v>
          </cell>
          <cell r="T2092">
            <v>0</v>
          </cell>
          <cell r="U2092">
            <v>3873016</v>
          </cell>
          <cell r="V2092">
            <v>2213152</v>
          </cell>
        </row>
        <row r="2093">
          <cell r="J2093">
            <v>1727</v>
          </cell>
          <cell r="K2093">
            <v>43195</v>
          </cell>
          <cell r="L2093" t="str">
            <v>DILFIO  MERCAZA ISMARE</v>
          </cell>
          <cell r="M2093">
            <v>31</v>
          </cell>
          <cell r="N2093" t="str">
            <v>RESOLUCION</v>
          </cell>
          <cell r="O2093">
            <v>1653</v>
          </cell>
          <cell r="P2093">
            <v>43195</v>
          </cell>
          <cell r="Q2093" t="str">
            <v>AYUDA TEMPORAL A LAS FAMILIAS DE VARIAS LOCALIDADES, PARA LA RELOCALIZACIÓN DE HOGARES LOCALIZADOS EN ZONAS DE ALTO RIESGO NO MITIGABLE ID:2014-W166-024, LOCALIDAD:19 CIUDAD BOLÍVAR, UPZ:68 EL TESORO, SECTOR:WOUNAAN</v>
          </cell>
          <cell r="R2093">
            <v>3659040</v>
          </cell>
          <cell r="S2093">
            <v>0</v>
          </cell>
          <cell r="T2093">
            <v>0</v>
          </cell>
          <cell r="U2093">
            <v>3659040</v>
          </cell>
          <cell r="V2093">
            <v>1626240</v>
          </cell>
        </row>
        <row r="2094">
          <cell r="J2094">
            <v>1728</v>
          </cell>
          <cell r="K2094">
            <v>43195</v>
          </cell>
          <cell r="L2094" t="str">
            <v>JOSE BELANIO QUIRO PIRAZA</v>
          </cell>
          <cell r="M2094">
            <v>31</v>
          </cell>
          <cell r="N2094" t="str">
            <v>RESOLUCION</v>
          </cell>
          <cell r="O2094">
            <v>1652</v>
          </cell>
          <cell r="P2094">
            <v>43195</v>
          </cell>
          <cell r="Q2094" t="str">
            <v>AYUDA TEMPORAL A LAS FAMILIAS DE VARIAS LOCALIDADES, PARA LA RELOCALIZACIÓN DE HOGARES LOCALIZADOS EN ZONAS DE ALTO RIESGO NO MITIGABLE ID:2014-W166-072, LOCALIDAD:19 CIUDAD BOLÍVAR, UPZ:68 EL TESORO, SECTOR:WOUNAAN</v>
          </cell>
          <cell r="R2094">
            <v>7921797</v>
          </cell>
          <cell r="S2094">
            <v>0</v>
          </cell>
          <cell r="T2094">
            <v>0</v>
          </cell>
          <cell r="U2094">
            <v>7921797</v>
          </cell>
          <cell r="V2094">
            <v>2437476</v>
          </cell>
        </row>
        <row r="2095">
          <cell r="J2095">
            <v>1729</v>
          </cell>
          <cell r="K2095">
            <v>43195</v>
          </cell>
          <cell r="L2095" t="str">
            <v>NOEL  ZAMUDIO BOHORQUEZ</v>
          </cell>
          <cell r="M2095">
            <v>31</v>
          </cell>
          <cell r="N2095" t="str">
            <v>RESOLUCION</v>
          </cell>
          <cell r="O2095">
            <v>1651</v>
          </cell>
          <cell r="P2095">
            <v>43195</v>
          </cell>
          <cell r="Q2095" t="str">
            <v>AYUDA TEMPORAL A LAS FAMILIAS DE VARIAS LOCALIDADES, PARA LA RELOCALIZACIÓN DE HOGARES LOCALIZADOS EN ZONAS DE ALTO RIESGO NO MITIGABLE ID:2009-4-10956, LOCALIDAD:04 SAN CRISTÓBAL, UPZ:32 SAN BLAS</v>
          </cell>
          <cell r="R2095">
            <v>5178771</v>
          </cell>
          <cell r="S2095">
            <v>0</v>
          </cell>
          <cell r="T2095">
            <v>0</v>
          </cell>
          <cell r="U2095">
            <v>5178771</v>
          </cell>
          <cell r="V2095">
            <v>1593468</v>
          </cell>
        </row>
        <row r="2096">
          <cell r="J2096">
            <v>1730</v>
          </cell>
          <cell r="K2096">
            <v>43195</v>
          </cell>
          <cell r="L2096" t="str">
            <v>NANCY  CHIRIMIA QUIRO</v>
          </cell>
          <cell r="M2096">
            <v>31</v>
          </cell>
          <cell r="N2096" t="str">
            <v>RESOLUCION</v>
          </cell>
          <cell r="O2096">
            <v>1650</v>
          </cell>
          <cell r="P2096">
            <v>43195</v>
          </cell>
          <cell r="Q2096" t="str">
            <v>AYUDA TEMPORAL A LAS FAMILIAS DE VARIAS LOCALIDADES, PARA LA RELOCALIZACIÓN DE HOGARES LOCALIZADOS EN ZONAS DE ALTO RIESGO NO MITIGABLE ID:2015-W166-219, LOCALIDAD:04 SAN CRISTÓBAL, UPZ:33 SOSIEGO, SECTOR:EPERARA</v>
          </cell>
          <cell r="R2096">
            <v>7312422</v>
          </cell>
          <cell r="S2096">
            <v>0</v>
          </cell>
          <cell r="T2096">
            <v>0</v>
          </cell>
          <cell r="U2096">
            <v>7312422</v>
          </cell>
          <cell r="V2096">
            <v>2249976</v>
          </cell>
        </row>
        <row r="2097">
          <cell r="J2097">
            <v>1731</v>
          </cell>
          <cell r="K2097">
            <v>43195</v>
          </cell>
          <cell r="L2097" t="str">
            <v>MARTHA  JIMENEZ PRECIADO</v>
          </cell>
          <cell r="M2097">
            <v>31</v>
          </cell>
          <cell r="N2097" t="str">
            <v>RESOLUCION</v>
          </cell>
          <cell r="O2097">
            <v>1646</v>
          </cell>
          <cell r="P2097">
            <v>43195</v>
          </cell>
          <cell r="Q2097" t="str">
            <v>AYUDA TEMPORAL A LAS FAMILIAS DE VARIAS LOCALIDADES, PARA LA RELOCALIZACIÓN DE HOGARES LOCALIZADOS EN ZONAS DE ALTO RIESGO NO MITIGABLE ID:2013-Q04-00530, LOCALIDAD:19 CIUDAD BOLÍVAR, UPZ:67 LUCERO, SECTOR:PEÑA COLORADA</v>
          </cell>
          <cell r="R2097">
            <v>4218705</v>
          </cell>
          <cell r="S2097">
            <v>0</v>
          </cell>
          <cell r="T2097">
            <v>0</v>
          </cell>
          <cell r="U2097">
            <v>4218705</v>
          </cell>
          <cell r="V2097">
            <v>1874980</v>
          </cell>
        </row>
        <row r="2098">
          <cell r="J2098">
            <v>1732</v>
          </cell>
          <cell r="K2098">
            <v>43195</v>
          </cell>
          <cell r="L2098" t="str">
            <v>BERNABE  CARRILLO FORERO</v>
          </cell>
          <cell r="M2098">
            <v>31</v>
          </cell>
          <cell r="N2098" t="str">
            <v>RESOLUCION</v>
          </cell>
          <cell r="O2098">
            <v>1645</v>
          </cell>
          <cell r="P2098">
            <v>43195</v>
          </cell>
          <cell r="Q2098" t="str">
            <v>AYUDA TEMPORAL A LAS FAMILIAS DE VARIAS LOCALIDADES, PARA LA RELOCALIZACIÓN DE HOGARES LOCALIZADOS EN ZONAS DE ALTO RIESGO NO MITIGABLE ID:2012-19-13900, LOCALIDAD:19 CIUDAD BOLÍVAR, UPZ:67 LUCERO</v>
          </cell>
          <cell r="R2098">
            <v>4218710</v>
          </cell>
          <cell r="S2098">
            <v>0</v>
          </cell>
          <cell r="T2098">
            <v>0</v>
          </cell>
          <cell r="U2098">
            <v>4218710</v>
          </cell>
          <cell r="V2098">
            <v>1687484</v>
          </cell>
        </row>
        <row r="2099">
          <cell r="J2099">
            <v>1733</v>
          </cell>
          <cell r="K2099">
            <v>43195</v>
          </cell>
          <cell r="L2099" t="str">
            <v>MISTRICO  CARPIO CHIRIPUA</v>
          </cell>
          <cell r="M2099">
            <v>31</v>
          </cell>
          <cell r="N2099" t="str">
            <v>RESOLUCION</v>
          </cell>
          <cell r="O2099">
            <v>1749</v>
          </cell>
          <cell r="P2099">
            <v>43195</v>
          </cell>
          <cell r="Q2099" t="str">
            <v>AYUDA TEMPORAL A LAS FAMILIAS DE VARIAS LOCALIDADES, PARA LA RELOCALIZACIÓN DE HOGARES LOCALIZADOS EN ZONAS DE ALTO RIESGO NO MITIGABLE ID:2014-W166-080, LOCALIDAD:19 CIUDAD BOLÍVAR, UPZ:68 EL TESORO, SECTOR:WOUNAAN</v>
          </cell>
          <cell r="R2099">
            <v>5901740</v>
          </cell>
          <cell r="S2099">
            <v>0</v>
          </cell>
          <cell r="T2099">
            <v>0</v>
          </cell>
          <cell r="U2099">
            <v>5901740</v>
          </cell>
          <cell r="V2099">
            <v>2360696</v>
          </cell>
        </row>
        <row r="2100">
          <cell r="J2100">
            <v>1734</v>
          </cell>
          <cell r="K2100">
            <v>43195</v>
          </cell>
          <cell r="L2100" t="str">
            <v>MARIA ANGELICA MARTTINEZ JIMENEZ</v>
          </cell>
          <cell r="M2100">
            <v>31</v>
          </cell>
          <cell r="N2100" t="str">
            <v>RESOLUCION</v>
          </cell>
          <cell r="O2100">
            <v>1753</v>
          </cell>
          <cell r="P2100">
            <v>43195</v>
          </cell>
          <cell r="Q2100" t="str">
            <v>AYUDA TEMPORAL A LAS FAMILIAS DE VARIAS LOCALIDADES, PARA LA RELOCALIZACIÓN DE HOGARES LOCALIZADOS EN ZONAS DE ALTO RIESGO NO MITIGABLE ID:2015-Q04-01467, LOCALIDAD:19 CIUDAD BOLÍVAR, UPZ:67 LUCERO, SECTOR:PEÑA COLORADA</v>
          </cell>
          <cell r="R2100">
            <v>4570263</v>
          </cell>
          <cell r="S2100">
            <v>4570263</v>
          </cell>
          <cell r="T2100">
            <v>0</v>
          </cell>
          <cell r="U2100">
            <v>0</v>
          </cell>
          <cell r="V2100">
            <v>0</v>
          </cell>
        </row>
        <row r="2101">
          <cell r="J2101">
            <v>1735</v>
          </cell>
          <cell r="K2101">
            <v>43195</v>
          </cell>
          <cell r="L2101" t="str">
            <v>CAROLAING  JOYA CUELLAR</v>
          </cell>
          <cell r="M2101">
            <v>31</v>
          </cell>
          <cell r="N2101" t="str">
            <v>RESOLUCION</v>
          </cell>
          <cell r="O2101">
            <v>1748</v>
          </cell>
          <cell r="P2101">
            <v>43195</v>
          </cell>
          <cell r="Q2101" t="str">
            <v>Asignacion del instrumento financiero a las familias ocupantes del predio que hayan superado la fase de verificacion dentro  del marco del Decreto 457 de 2017. LOCALIDAD: KENNEDY; BARRIO: VEREDITAS; ID: 2018-8-15223</v>
          </cell>
          <cell r="R2101">
            <v>54686940</v>
          </cell>
          <cell r="S2101">
            <v>54686940</v>
          </cell>
          <cell r="T2101">
            <v>0</v>
          </cell>
          <cell r="U2101">
            <v>0</v>
          </cell>
          <cell r="V2101">
            <v>0</v>
          </cell>
        </row>
        <row r="2102">
          <cell r="J2102">
            <v>1736</v>
          </cell>
          <cell r="K2102">
            <v>43196</v>
          </cell>
          <cell r="L2102" t="str">
            <v>CAROLAING  JOYA CUELLAR</v>
          </cell>
          <cell r="M2102">
            <v>31</v>
          </cell>
          <cell r="N2102" t="str">
            <v>RESOLUCION</v>
          </cell>
          <cell r="O2102">
            <v>1748</v>
          </cell>
          <cell r="P2102">
            <v>43196</v>
          </cell>
          <cell r="Q2102" t="str">
            <v>Asignacion del instrumento financiero a las familias ocupantes del predio que hayan superado la fase de verificacion dentro  del marco del Decreto 457 de 2017. LOCALIDAD: KENNEDY; BARRIO: VEREDITAS; ID: 2018-8-15223</v>
          </cell>
          <cell r="R2102">
            <v>54686940</v>
          </cell>
          <cell r="S2102">
            <v>54686940</v>
          </cell>
          <cell r="T2102">
            <v>0</v>
          </cell>
          <cell r="U2102">
            <v>0</v>
          </cell>
          <cell r="V2102">
            <v>0</v>
          </cell>
        </row>
        <row r="2103">
          <cell r="J2103">
            <v>1737</v>
          </cell>
          <cell r="K2103">
            <v>43196</v>
          </cell>
          <cell r="L2103" t="str">
            <v>CAROLAING  JOYA CUELLAR</v>
          </cell>
          <cell r="M2103">
            <v>31</v>
          </cell>
          <cell r="N2103" t="str">
            <v>RESOLUCION</v>
          </cell>
          <cell r="O2103">
            <v>1748</v>
          </cell>
          <cell r="P2103">
            <v>43196</v>
          </cell>
          <cell r="Q2103" t="str">
            <v>Asignacion del instrumento financiero a las familias ocupantes del predio que hayan superado la fase de verificacion dentro  del marco del Decreto 457 de 2017. LOCALIDAD: KENNEDY; BARRIO: VEREDITAS; ID: 2018-8-15223</v>
          </cell>
          <cell r="R2103">
            <v>54686940</v>
          </cell>
          <cell r="S2103">
            <v>0</v>
          </cell>
          <cell r="T2103">
            <v>0</v>
          </cell>
          <cell r="U2103">
            <v>54686940</v>
          </cell>
          <cell r="V2103">
            <v>54686940</v>
          </cell>
        </row>
        <row r="2104">
          <cell r="J2104">
            <v>1740</v>
          </cell>
          <cell r="K2104">
            <v>43199</v>
          </cell>
          <cell r="L2104" t="str">
            <v>MARIA ONAIDA CONDE AROCA</v>
          </cell>
          <cell r="M2104">
            <v>31</v>
          </cell>
          <cell r="N2104" t="str">
            <v>RESOLUCION</v>
          </cell>
          <cell r="O2104">
            <v>1766</v>
          </cell>
          <cell r="P2104">
            <v>43199</v>
          </cell>
          <cell r="Q2104" t="str">
            <v>AYUDA TEMPORAL A LAS FAMILIAS DE VARIAS LOCALIDADES, PARA LA RELOCALIZACIÓN DE HOGARES LOCALIZADOS EN ZONAS DE ALTO RIESGO NO MITIGABLE ID:2011-5-12997, LOCALIDAD:05 USME, UPZ:56 DANUBIO</v>
          </cell>
          <cell r="R2104">
            <v>4177680</v>
          </cell>
          <cell r="S2104">
            <v>0</v>
          </cell>
          <cell r="T2104">
            <v>0</v>
          </cell>
          <cell r="U2104">
            <v>4177680</v>
          </cell>
          <cell r="V2104">
            <v>1671072</v>
          </cell>
        </row>
        <row r="2105">
          <cell r="J2105">
            <v>1741</v>
          </cell>
          <cell r="K2105">
            <v>43199</v>
          </cell>
          <cell r="L2105" t="str">
            <v>LUIS FERNANDO GOMEZ ALARCON</v>
          </cell>
          <cell r="M2105">
            <v>31</v>
          </cell>
          <cell r="N2105" t="str">
            <v>RESOLUCION</v>
          </cell>
          <cell r="O2105">
            <v>1767</v>
          </cell>
          <cell r="P2105">
            <v>43199</v>
          </cell>
          <cell r="Q2105" t="str">
            <v>AYUDA TEMPORAL A LAS FAMILIAS DE VARIAS LOCALIDADES, PARA LA RELOCALIZACIÓN DE HOGARES LOCALIZADOS EN ZONAS DE ALTO RIESGO NO MITIGABLE ID:2014-OTR-00971, LOCALIDAD:19 CIUDAD BOLÍVAR, UPZ:67 LUCERO, SECTOR:TABOR ALTALOMA</v>
          </cell>
          <cell r="R2105">
            <v>4310000</v>
          </cell>
          <cell r="S2105">
            <v>0</v>
          </cell>
          <cell r="T2105">
            <v>0</v>
          </cell>
          <cell r="U2105">
            <v>4310000</v>
          </cell>
          <cell r="V2105">
            <v>1724000</v>
          </cell>
        </row>
        <row r="2106">
          <cell r="J2106">
            <v>1742</v>
          </cell>
          <cell r="K2106">
            <v>43199</v>
          </cell>
          <cell r="L2106" t="str">
            <v>NELLY EDUVIGES PEÑA MOSQUERA</v>
          </cell>
          <cell r="M2106">
            <v>31</v>
          </cell>
          <cell r="N2106" t="str">
            <v>RESOLUCION</v>
          </cell>
          <cell r="O2106">
            <v>1768</v>
          </cell>
          <cell r="P2106">
            <v>43199</v>
          </cell>
          <cell r="Q2106" t="str">
            <v>AYUDA TEMPORAL A LAS FAMILIAS DE VARIAS LOCALIDADES, PARA LA RELOCALIZACIÓN DE HOGARES LOCALIZADOS EN ZONAS DE ALTO RIESGO NO MITIGABLE ID:2013-Q21-00613, LOCALIDAD:19 CIUDAD BOLÍVAR, UPZ:67 LUCERO, SECTOR:BRAZO DERECHO DE LIMAS</v>
          </cell>
          <cell r="R2106">
            <v>4843700</v>
          </cell>
          <cell r="S2106">
            <v>0</v>
          </cell>
          <cell r="T2106">
            <v>0</v>
          </cell>
          <cell r="U2106">
            <v>4843700</v>
          </cell>
          <cell r="V2106">
            <v>1453110</v>
          </cell>
        </row>
        <row r="2107">
          <cell r="J2107">
            <v>1743</v>
          </cell>
          <cell r="K2107">
            <v>43199</v>
          </cell>
          <cell r="L2107" t="str">
            <v>MIRYAM AMPARO SALINAS ARAGON</v>
          </cell>
          <cell r="M2107">
            <v>31</v>
          </cell>
          <cell r="N2107" t="str">
            <v>RESOLUCION</v>
          </cell>
          <cell r="O2107">
            <v>1769</v>
          </cell>
          <cell r="P2107">
            <v>43199</v>
          </cell>
          <cell r="Q2107" t="str">
            <v>AYUDA TEMPORAL A LAS FAMILIAS DE VARIAS LOCALIDADES, PARA LA RELOCALIZACIÓN DE HOGARES LOCALIZADOS EN ZONAS DE ALTO RIESGO NO MITIGABLE ID:2009-4-11058, LOCALIDAD:04 SAN CRISTÓBAL, UPZ:32 SAN BLAS</v>
          </cell>
          <cell r="R2107">
            <v>4317610</v>
          </cell>
          <cell r="S2107">
            <v>0</v>
          </cell>
          <cell r="T2107">
            <v>0</v>
          </cell>
          <cell r="U2107">
            <v>4317610</v>
          </cell>
          <cell r="V2107">
            <v>2158805</v>
          </cell>
        </row>
        <row r="2108">
          <cell r="J2108">
            <v>1744</v>
          </cell>
          <cell r="K2108">
            <v>43199</v>
          </cell>
          <cell r="L2108" t="str">
            <v>JARINSON  ORTIZ QUIRO</v>
          </cell>
          <cell r="M2108">
            <v>31</v>
          </cell>
          <cell r="N2108" t="str">
            <v>RESOLUCION</v>
          </cell>
          <cell r="O2108">
            <v>1770</v>
          </cell>
          <cell r="P2108">
            <v>43199</v>
          </cell>
          <cell r="Q2108" t="str">
            <v>AYUDA TEMPORAL A LAS FAMILIAS DE VARIAS LOCALIDADES, PARA LA RELOCALIZACIÓN DE HOGARES LOCALIZADOS EN ZONAS DE ALTO RIESGO NO MITIGABLE ID:2014-W166-066, LOCALIDAD:19 CIUDAD BOLÍVAR, UPZ:68 EL TESORO, SECTOR:WOUNAAN</v>
          </cell>
          <cell r="R2108">
            <v>5476900</v>
          </cell>
          <cell r="S2108">
            <v>0</v>
          </cell>
          <cell r="T2108">
            <v>0</v>
          </cell>
          <cell r="U2108">
            <v>5476900</v>
          </cell>
          <cell r="V2108">
            <v>2190760</v>
          </cell>
        </row>
        <row r="2109">
          <cell r="J2109">
            <v>1745</v>
          </cell>
          <cell r="K2109">
            <v>43199</v>
          </cell>
          <cell r="L2109" t="str">
            <v>MARIA ALEJANDRA SANCHEZ MENESES</v>
          </cell>
          <cell r="M2109">
            <v>31</v>
          </cell>
          <cell r="N2109" t="str">
            <v>RESOLUCION</v>
          </cell>
          <cell r="O2109">
            <v>1743</v>
          </cell>
          <cell r="P2109">
            <v>43199</v>
          </cell>
          <cell r="Q2109" t="str">
            <v>AYUDA TEMPORAL A LAS FAMILIAS DE VARIAS LOCALIDADES, PARA RELOCALIZACIÓN DE HOGARES LOCALIZADOS EN ZONAS DE ALTO RIESGO NO MITIGABLE ID:2014-OTR-01167, LOCALIDAD:11 SUBA, UPZ:71 TIBABUYES, SECTOR:GAVILANES</v>
          </cell>
          <cell r="R2109">
            <v>3017000</v>
          </cell>
          <cell r="S2109">
            <v>431000</v>
          </cell>
          <cell r="T2109">
            <v>0</v>
          </cell>
          <cell r="U2109">
            <v>2586000</v>
          </cell>
          <cell r="V2109">
            <v>2586000</v>
          </cell>
        </row>
        <row r="2110">
          <cell r="J2110">
            <v>1746</v>
          </cell>
          <cell r="K2110">
            <v>43199</v>
          </cell>
          <cell r="L2110" t="str">
            <v>IMELDA  PERTIAGA GONZALEZ</v>
          </cell>
          <cell r="M2110">
            <v>31</v>
          </cell>
          <cell r="N2110" t="str">
            <v>RESOLUCION</v>
          </cell>
          <cell r="O2110">
            <v>1759</v>
          </cell>
          <cell r="P2110">
            <v>43199</v>
          </cell>
          <cell r="Q2110" t="str">
            <v>AYUDA TEMPORAL A LAS FAMILIAS DE VARIAS LOCALIDADES, PARA LA RELOCALIZACIÓN DE HOGARES LOCALIZADOS EN ZONAS DE ALTO RIESGO NO MITIGABLE ID:2015-W166-218, LOCALIDAD:04 SAN CRISTÓBAL, UPZ:33 SOSIEGO, SECTOR:EPERARA</v>
          </cell>
          <cell r="R2110">
            <v>5923863</v>
          </cell>
          <cell r="S2110">
            <v>0</v>
          </cell>
          <cell r="T2110">
            <v>0</v>
          </cell>
          <cell r="U2110">
            <v>5923863</v>
          </cell>
          <cell r="V2110">
            <v>2154132</v>
          </cell>
        </row>
        <row r="2111">
          <cell r="J2111">
            <v>1747</v>
          </cell>
          <cell r="K2111">
            <v>43199</v>
          </cell>
          <cell r="L2111" t="str">
            <v>GERMAN  RUBIO MORENO</v>
          </cell>
          <cell r="M2111">
            <v>31</v>
          </cell>
          <cell r="N2111" t="str">
            <v>RESOLUCION</v>
          </cell>
          <cell r="O2111">
            <v>1762</v>
          </cell>
          <cell r="P2111">
            <v>43199</v>
          </cell>
          <cell r="Q2111" t="str">
            <v>AYUDA TEMPORAL A LAS FAMILIAS DE VARIAS LOCALIDADES, PARA LA RELOCALIZACIÓN DE HOGARES LOCALIZADOS EN ZONAS DE ALTO RIESGO NO MITIGABLE ID:2011-19-13761, LOCALIDAD:19 CIUDAD BOLÍVAR, UPZ:67 LUCERO</v>
          </cell>
          <cell r="R2111">
            <v>1171863</v>
          </cell>
          <cell r="S2111">
            <v>1171863</v>
          </cell>
          <cell r="T2111">
            <v>0</v>
          </cell>
          <cell r="U2111">
            <v>0</v>
          </cell>
          <cell r="V2111">
            <v>0</v>
          </cell>
        </row>
        <row r="2112">
          <cell r="J2112">
            <v>1748</v>
          </cell>
          <cell r="K2112">
            <v>43199</v>
          </cell>
          <cell r="L2112" t="str">
            <v>TEODORO  LEON CASTRO</v>
          </cell>
          <cell r="M2112">
            <v>31</v>
          </cell>
          <cell r="N2112" t="str">
            <v>RESOLUCION</v>
          </cell>
          <cell r="O2112">
            <v>1760</v>
          </cell>
          <cell r="P2112">
            <v>43199</v>
          </cell>
          <cell r="Q2112" t="str">
            <v>AYUDA TEMPORAL A LAS FAMILIAS DE VARIAS LOCALIDADES, PARA LA RELOCALIZACIÓN DE HOGARES LOCALIZADOS EN ZONAS DE ALTO RIESGO NO MITIGABLE ID:2016-4-00009, LOCALIDAD:04 SAN CRISTÓBAL, UPZ:51 LOS LIBERTADORES</v>
          </cell>
          <cell r="R2112">
            <v>4234496</v>
          </cell>
          <cell r="S2112">
            <v>0</v>
          </cell>
          <cell r="T2112">
            <v>0</v>
          </cell>
          <cell r="U2112">
            <v>4234496</v>
          </cell>
          <cell r="V2112">
            <v>2419712</v>
          </cell>
        </row>
        <row r="2113">
          <cell r="J2113">
            <v>1749</v>
          </cell>
          <cell r="K2113">
            <v>43199</v>
          </cell>
          <cell r="L2113" t="str">
            <v>HAMILTON  CARPIO MEMBACHE</v>
          </cell>
          <cell r="M2113">
            <v>31</v>
          </cell>
          <cell r="N2113" t="str">
            <v>RESOLUCION</v>
          </cell>
          <cell r="O2113">
            <v>1763</v>
          </cell>
          <cell r="P2113">
            <v>43199</v>
          </cell>
          <cell r="Q2113" t="str">
            <v>AYUDA TEMPORAL A LAS FAMILIAS DE VARIAS LOCALIDADES, PARA LA RELOCALIZACIÓN DE HOGARES LOCALIZADOS EN ZONAS DE ALTO RIESGO NO MITIGABLE ID:2014-W166-062, LOCALIDAD:19 CIUDAD BOLÍVAR, UPZ:68 EL TESORO, SECTOR:WOUNAAN</v>
          </cell>
          <cell r="R2113">
            <v>5680420</v>
          </cell>
          <cell r="S2113">
            <v>0</v>
          </cell>
          <cell r="T2113">
            <v>0</v>
          </cell>
          <cell r="U2113">
            <v>5680420</v>
          </cell>
          <cell r="V2113">
            <v>2272168</v>
          </cell>
        </row>
        <row r="2114">
          <cell r="J2114">
            <v>1750</v>
          </cell>
          <cell r="K2114">
            <v>43199</v>
          </cell>
          <cell r="L2114" t="str">
            <v>YERAR  MOYA ORTIZ</v>
          </cell>
          <cell r="M2114">
            <v>31</v>
          </cell>
          <cell r="N2114" t="str">
            <v>RESOLUCION</v>
          </cell>
          <cell r="O2114">
            <v>1764</v>
          </cell>
          <cell r="P2114">
            <v>43199</v>
          </cell>
          <cell r="Q2114" t="str">
            <v>AYUDA TEMPORAL A LAS FAMILIAS DE VARIAS LOCALIDADES, PARA LA RELOCALIZACIÓN DE HOGARES LOCALIZADOS EN ZONAS DE ALTO RIESGO NO MITIGABLE ID:2014-W166-036, LOCALIDAD:19 CIUDAD BOLÍVAR, UPZ:67 LUCERO, SECTOR:WOUNAAN</v>
          </cell>
          <cell r="R2114">
            <v>5532880</v>
          </cell>
          <cell r="S2114">
            <v>0</v>
          </cell>
          <cell r="T2114">
            <v>0</v>
          </cell>
          <cell r="U2114">
            <v>5532880</v>
          </cell>
          <cell r="V2114">
            <v>2213152</v>
          </cell>
        </row>
        <row r="2115">
          <cell r="J2115">
            <v>1751</v>
          </cell>
          <cell r="K2115">
            <v>43199</v>
          </cell>
          <cell r="L2115" t="str">
            <v>JHON FREDY VALENCIA CUERO</v>
          </cell>
          <cell r="M2115">
            <v>31</v>
          </cell>
          <cell r="N2115" t="str">
            <v>RESOLUCION</v>
          </cell>
          <cell r="O2115">
            <v>1765</v>
          </cell>
          <cell r="P2115">
            <v>43199</v>
          </cell>
          <cell r="Q2115" t="str">
            <v>AYUDA TEMPORAL A LAS FAMILIAS DE VARIAS LOCALIDADES, PARA LA RELOCALIZACIÓN DE HOGARES LOCALIZADOS EN ZONAS DE ALTO RIESGO NO MITIGABLE ID:2014-W166-067, LOCALIDAD:19 CIUDAD BOLÍVAR, UPZ:68 EL TESORO, SECTOR:WOUNAAN</v>
          </cell>
          <cell r="R2115">
            <v>5901740</v>
          </cell>
          <cell r="S2115">
            <v>0</v>
          </cell>
          <cell r="T2115">
            <v>0</v>
          </cell>
          <cell r="U2115">
            <v>5901740</v>
          </cell>
          <cell r="V2115">
            <v>2360696</v>
          </cell>
        </row>
        <row r="2116">
          <cell r="J2116">
            <v>1752</v>
          </cell>
          <cell r="K2116">
            <v>43199</v>
          </cell>
          <cell r="L2116" t="str">
            <v>GERMAN  RUBIO MORENO</v>
          </cell>
          <cell r="M2116">
            <v>31</v>
          </cell>
          <cell r="N2116" t="str">
            <v>RESOLUCION</v>
          </cell>
          <cell r="O2116">
            <v>1762</v>
          </cell>
          <cell r="P2116">
            <v>43199</v>
          </cell>
          <cell r="Q2116" t="str">
            <v>AYUDA TEMPORAL A LAS FAMILIAS DE VARIAS LOCALIDADES, PARA LA RELOCALIZACIÓN DE HOGARES LOCALIZADOS EN ZONAS DE ALTO RIESGO NO MITIGABLE ID:2011-19-13761, LOCALIDAD:19 CIUDAD BOLÍVAR, UPZ:67 LUCERO</v>
          </cell>
          <cell r="R2116">
            <v>1171863</v>
          </cell>
          <cell r="S2116">
            <v>390621</v>
          </cell>
          <cell r="T2116">
            <v>0</v>
          </cell>
          <cell r="U2116">
            <v>781242</v>
          </cell>
          <cell r="V2116">
            <v>781242</v>
          </cell>
        </row>
        <row r="2117">
          <cell r="J2117">
            <v>1753</v>
          </cell>
          <cell r="K2117">
            <v>43200</v>
          </cell>
          <cell r="L2117" t="str">
            <v>BLANCA MARY BULLA RODRIGUEZ</v>
          </cell>
          <cell r="M2117">
            <v>31</v>
          </cell>
          <cell r="N2117" t="str">
            <v>RESOLUCION</v>
          </cell>
          <cell r="O2117">
            <v>1761</v>
          </cell>
          <cell r="P2117">
            <v>43200</v>
          </cell>
          <cell r="Q2117" t="str">
            <v>AYUDA TEMPORAL A LAS FAMILIAS DE VARIAS LOCALIDADES, PARA LA RELOCALIZACIÓN DE HOGARES LOCALIZADOS EN ZONAS DE ALTO RIESGO NO MITIGABLE ID:2013000249, LOCALIDAD:19 CIUDAD BOLÍVAR, UPZ:67 LUCERO, SECTOR:PEÑA COLORADA</v>
          </cell>
          <cell r="R2117">
            <v>6639450</v>
          </cell>
          <cell r="S2117">
            <v>0</v>
          </cell>
          <cell r="T2117">
            <v>0</v>
          </cell>
          <cell r="U2117">
            <v>6639450</v>
          </cell>
          <cell r="V2117">
            <v>2655780</v>
          </cell>
        </row>
        <row r="2118">
          <cell r="J2118">
            <v>1757</v>
          </cell>
          <cell r="K2118">
            <v>43201</v>
          </cell>
          <cell r="L2118" t="str">
            <v>CARLOS  CONTRERAS COLMENARES</v>
          </cell>
          <cell r="M2118">
            <v>31</v>
          </cell>
          <cell r="N2118" t="str">
            <v>RESOLUCION</v>
          </cell>
          <cell r="O2118">
            <v>1824</v>
          </cell>
          <cell r="P2118">
            <v>43201</v>
          </cell>
          <cell r="Q2118" t="str">
            <v>AYUDA TEMPORAL A LAS FAMILIAS DE VARIAS LOCALIDADES, PARA LA RELOCALIZACIÓN DE HOGARES LOCALIZADOS EN ZONAS DE ALTO RIESGO NO MITIGABLE ID:2007-19-9715, LOCALIDAD:19 CIUDAD BOLÍVAR, UPZ:69 ISMAEL PERDOMO</v>
          </cell>
          <cell r="R2118">
            <v>4296831</v>
          </cell>
          <cell r="S2118">
            <v>0</v>
          </cell>
          <cell r="T2118">
            <v>0</v>
          </cell>
          <cell r="U2118">
            <v>4296831</v>
          </cell>
          <cell r="V2118">
            <v>1953105</v>
          </cell>
        </row>
        <row r="2119">
          <cell r="J2119">
            <v>1758</v>
          </cell>
          <cell r="K2119">
            <v>43201</v>
          </cell>
          <cell r="L2119" t="str">
            <v>CAROLINA  GUZMAN ROMERO</v>
          </cell>
          <cell r="M2119">
            <v>31</v>
          </cell>
          <cell r="N2119" t="str">
            <v>RESOLUCION</v>
          </cell>
          <cell r="O2119">
            <v>1832</v>
          </cell>
          <cell r="P2119">
            <v>43201</v>
          </cell>
          <cell r="Q2119" t="str">
            <v>AYUDA TEMPORAL A LAS FAMILIAS DE VARIAS LOCALIDADES, PARA LA RELOCALIZACIÓN DE HOGARES LOCALIZADOS EN ZONAS DE ALTO RIESGO NO MITIGABLE ID:2016-08-14921, LOCALIDAD:08 KENNEDY, UPZ:82 PATIO BONITO, SECTOR:PALMITAS</v>
          </cell>
          <cell r="R2119">
            <v>3186936</v>
          </cell>
          <cell r="S2119">
            <v>0</v>
          </cell>
          <cell r="T2119">
            <v>0</v>
          </cell>
          <cell r="U2119">
            <v>3186936</v>
          </cell>
          <cell r="V2119">
            <v>1593468</v>
          </cell>
        </row>
        <row r="2120">
          <cell r="J2120">
            <v>1759</v>
          </cell>
          <cell r="K2120">
            <v>43201</v>
          </cell>
          <cell r="L2120" t="str">
            <v>LUZ GEIDI MONTOYA</v>
          </cell>
          <cell r="M2120">
            <v>31</v>
          </cell>
          <cell r="N2120" t="str">
            <v>RESOLUCION</v>
          </cell>
          <cell r="O2120">
            <v>1833</v>
          </cell>
          <cell r="P2120">
            <v>43201</v>
          </cell>
          <cell r="Q2120" t="str">
            <v>AYUDA TEMPORAL A LAS FAMILIAS DE VARIAS LOCALIDADES, PARA RELOCALIZACIÓN DE HOGARES LOCALIZADOS EN ZONAS DE ALTO RIESGO NO MITIGABLE ID:2013000371, LOCALIDAD:19 CIUDAD BOLÍVAR, UPZ:67 LUCERO, SECTOR:PEÑA COLORADA</v>
          </cell>
          <cell r="R2120">
            <v>5859320</v>
          </cell>
          <cell r="S2120">
            <v>0</v>
          </cell>
          <cell r="T2120">
            <v>0</v>
          </cell>
          <cell r="U2120">
            <v>5859320</v>
          </cell>
          <cell r="V2120">
            <v>2343728</v>
          </cell>
        </row>
        <row r="2121">
          <cell r="J2121">
            <v>1760</v>
          </cell>
          <cell r="K2121">
            <v>43201</v>
          </cell>
          <cell r="L2121" t="str">
            <v>LUIS YEINER PIRAZA GARABATO</v>
          </cell>
          <cell r="M2121">
            <v>31</v>
          </cell>
          <cell r="N2121" t="str">
            <v>RESOLUCION</v>
          </cell>
          <cell r="O2121">
            <v>1834</v>
          </cell>
          <cell r="P2121">
            <v>43201</v>
          </cell>
          <cell r="Q2121" t="str">
            <v>AYUDA TEMPORAL A LAS FAMILIAS DE VARIAS LOCALIDADES, PARA RELOCALIZACIÓN DE HOGARES LOCALIZADOS EN ZONAS DE ALTO RIESGO NO MITIGABLE ID:2015-W166-427, LOCALIDAD:19 CIUDAD BOLÍVAR, UPZ:68 EL TESORO, SECTOR:WOUNAAN</v>
          </cell>
          <cell r="R2121">
            <v>4871376</v>
          </cell>
          <cell r="S2121">
            <v>0</v>
          </cell>
          <cell r="T2121">
            <v>0</v>
          </cell>
          <cell r="U2121">
            <v>4871376</v>
          </cell>
          <cell r="V2121">
            <v>2165056</v>
          </cell>
        </row>
        <row r="2122">
          <cell r="J2122">
            <v>1761</v>
          </cell>
          <cell r="K2122">
            <v>43201</v>
          </cell>
          <cell r="L2122" t="str">
            <v>JOSE PARMENIO LOPEZ</v>
          </cell>
          <cell r="M2122">
            <v>31</v>
          </cell>
          <cell r="N2122" t="str">
            <v>RESOLUCION</v>
          </cell>
          <cell r="O2122">
            <v>1783</v>
          </cell>
          <cell r="P2122">
            <v>43201</v>
          </cell>
          <cell r="Q2122" t="str">
            <v>VUR de la actual vigencia.Dto 255 de 2013. LOCALIDAD:CIUDAD BOLIVAR; BARRIO:EL MOCHUEO IV; ID:2016-19-00024</v>
          </cell>
          <cell r="R2122">
            <v>39062100</v>
          </cell>
          <cell r="S2122">
            <v>0</v>
          </cell>
          <cell r="T2122">
            <v>0</v>
          </cell>
          <cell r="U2122">
            <v>39062100</v>
          </cell>
          <cell r="V2122">
            <v>39062100</v>
          </cell>
        </row>
        <row r="2123">
          <cell r="J2123">
            <v>1762</v>
          </cell>
          <cell r="K2123">
            <v>43201</v>
          </cell>
          <cell r="L2123" t="str">
            <v>JESSICA LIZBETH PUENTES TELLEZ</v>
          </cell>
          <cell r="M2123">
            <v>31</v>
          </cell>
          <cell r="N2123" t="str">
            <v>RESOLUCION</v>
          </cell>
          <cell r="O2123">
            <v>1777</v>
          </cell>
          <cell r="P2123">
            <v>43201</v>
          </cell>
          <cell r="Q2123" t="str">
            <v>Asignacion del instrumento financiero a las familias ocupantes del predio que hayan superado la fase de verificacion dentro  del marco del Decreto 457 de 2017. LOCALIDAD: KENNEDY; BARRIO: VEREDITAS; ID: 2018-8-384313.</v>
          </cell>
          <cell r="R2123">
            <v>54686940</v>
          </cell>
          <cell r="S2123">
            <v>0</v>
          </cell>
          <cell r="T2123">
            <v>0</v>
          </cell>
          <cell r="U2123">
            <v>54686940</v>
          </cell>
          <cell r="V2123">
            <v>54686940</v>
          </cell>
        </row>
        <row r="2124">
          <cell r="J2124">
            <v>1763</v>
          </cell>
          <cell r="K2124">
            <v>43201</v>
          </cell>
          <cell r="L2124" t="str">
            <v>JOSE BASILICO GONZALEZ MURCIA</v>
          </cell>
          <cell r="M2124">
            <v>31</v>
          </cell>
          <cell r="N2124" t="str">
            <v>RESOLUCION</v>
          </cell>
          <cell r="O2124">
            <v>1773</v>
          </cell>
          <cell r="P2124">
            <v>43201</v>
          </cell>
          <cell r="Q2124" t="str">
            <v>Asignacion del instrumento financiero a las familias ocupantes del predio que hayan superado la fase de verificacion dentro  del marco del Decreto 457 de 2017. LOCALIDAD: KENNEDY; BARRIO: VEREDITAS; ID: 2017-8-383763</v>
          </cell>
          <cell r="R2124">
            <v>54686940</v>
          </cell>
          <cell r="S2124">
            <v>0</v>
          </cell>
          <cell r="T2124">
            <v>0</v>
          </cell>
          <cell r="U2124">
            <v>54686940</v>
          </cell>
          <cell r="V2124">
            <v>54686940</v>
          </cell>
        </row>
        <row r="2125">
          <cell r="J2125">
            <v>1764</v>
          </cell>
          <cell r="K2125">
            <v>43201</v>
          </cell>
          <cell r="L2125" t="str">
            <v>ALISON DANIELA MUÑOZ REYES</v>
          </cell>
          <cell r="M2125">
            <v>31</v>
          </cell>
          <cell r="N2125" t="str">
            <v>RESOLUCION</v>
          </cell>
          <cell r="O2125">
            <v>1774</v>
          </cell>
          <cell r="P2125">
            <v>43201</v>
          </cell>
          <cell r="Q2125" t="str">
            <v>Asignacion del instrumento financiero a las familias ocupantes del predio que hayan superado la fase de verificacion dentro  del marco del Decreto 457 de 2017. LOCALIDAD: KENNEDY; BARRIO: VEREDITAS; ID: 2018-8-384268</v>
          </cell>
          <cell r="R2125">
            <v>54686940</v>
          </cell>
          <cell r="S2125">
            <v>0</v>
          </cell>
          <cell r="T2125">
            <v>0</v>
          </cell>
          <cell r="U2125">
            <v>54686940</v>
          </cell>
          <cell r="V2125">
            <v>54686940</v>
          </cell>
        </row>
        <row r="2126">
          <cell r="J2126">
            <v>1765</v>
          </cell>
          <cell r="K2126">
            <v>43201</v>
          </cell>
          <cell r="L2126" t="str">
            <v>MARIA DEL CARMEN VALENCIA MEJIA</v>
          </cell>
          <cell r="M2126">
            <v>31</v>
          </cell>
          <cell r="N2126" t="str">
            <v>RESOLUCION</v>
          </cell>
          <cell r="O2126">
            <v>1788</v>
          </cell>
          <cell r="P2126">
            <v>43201</v>
          </cell>
          <cell r="Q2126" t="str">
            <v>AYUDA TEMPORAL A LAS FAMILIAS DE VARIAS LOCALIDADES, PARA LA RELOCALIZACIÓN DE HOGARES LOCALIZADOS EN ZONAS DE ALTO RIESGO NO MITIGABLE ID:2015-W166-203, LOCALIDAD:04 SAN CRISTÓBAL, UPZ:33 SOSIEGO, SECTOR:EPERARA</v>
          </cell>
          <cell r="R2126">
            <v>4926465</v>
          </cell>
          <cell r="S2126">
            <v>0</v>
          </cell>
          <cell r="T2126">
            <v>0</v>
          </cell>
          <cell r="U2126">
            <v>4926465</v>
          </cell>
          <cell r="V2126">
            <v>2189540</v>
          </cell>
        </row>
        <row r="2127">
          <cell r="J2127">
            <v>1766</v>
          </cell>
          <cell r="K2127">
            <v>43201</v>
          </cell>
          <cell r="L2127" t="str">
            <v>MELIDA  VALENCIA CHIRIMIA</v>
          </cell>
          <cell r="M2127">
            <v>31</v>
          </cell>
          <cell r="N2127" t="str">
            <v>RESOLUCION</v>
          </cell>
          <cell r="O2127">
            <v>1789</v>
          </cell>
          <cell r="P2127">
            <v>43201</v>
          </cell>
          <cell r="Q2127" t="str">
            <v>AYUDA TEMPORAL A LAS FAMILIAS DE VARIAS LOCALIDADES, PARA LA RELOCALIZACIÓN DE HOGARES LOCALIZADOS EN ZONAS DE ALTO RIESGO NO MITIGABLE ID:2015-W166-200, LOCALIDAD:04 SAN CRISTÓBAL, UPZ:33 SOSIEGO, SECTOR:EPERARA</v>
          </cell>
          <cell r="R2127">
            <v>5311566</v>
          </cell>
          <cell r="S2127">
            <v>0</v>
          </cell>
          <cell r="T2127">
            <v>0</v>
          </cell>
          <cell r="U2127">
            <v>5311566</v>
          </cell>
          <cell r="V2127">
            <v>2360696</v>
          </cell>
        </row>
        <row r="2128">
          <cell r="J2128">
            <v>1767</v>
          </cell>
          <cell r="K2128">
            <v>43201</v>
          </cell>
          <cell r="L2128" t="str">
            <v>JULIO  ROMERO</v>
          </cell>
          <cell r="M2128">
            <v>31</v>
          </cell>
          <cell r="N2128" t="str">
            <v>RESOLUCION</v>
          </cell>
          <cell r="O2128">
            <v>1775</v>
          </cell>
          <cell r="P2128">
            <v>43201</v>
          </cell>
          <cell r="Q2128" t="str">
            <v>Asignacion del instrumento financiero a las familias ocupantes del predio que hayan superado la fase de verificacion dentro  del marco del Decreto 457 de 2017. LOCALIDAD: KENNEDY; BARRIO: VEREDITAS; ID: 2018-08-384320</v>
          </cell>
          <cell r="R2128">
            <v>54686940</v>
          </cell>
          <cell r="S2128">
            <v>0</v>
          </cell>
          <cell r="T2128">
            <v>0</v>
          </cell>
          <cell r="U2128">
            <v>54686940</v>
          </cell>
          <cell r="V2128">
            <v>54686940</v>
          </cell>
        </row>
        <row r="2129">
          <cell r="J2129">
            <v>1768</v>
          </cell>
          <cell r="K2129">
            <v>43201</v>
          </cell>
          <cell r="L2129" t="str">
            <v>CARLOS JULIO LEON OBANDO</v>
          </cell>
          <cell r="M2129">
            <v>31</v>
          </cell>
          <cell r="N2129" t="str">
            <v>RESOLUCION</v>
          </cell>
          <cell r="O2129">
            <v>1776</v>
          </cell>
          <cell r="P2129">
            <v>43201</v>
          </cell>
          <cell r="Q2129" t="str">
            <v>Asignacion del instrumento financiero a las familias ocupantes del predio que hayan superado la fase de verificacion dentro  del marco del Decreto 457 de 2017. LOCALIDAD: KENNEDY; BARRIO: VEREDITAS; ID: 2017-8-383614</v>
          </cell>
          <cell r="R2129">
            <v>54686940</v>
          </cell>
          <cell r="S2129">
            <v>0</v>
          </cell>
          <cell r="T2129">
            <v>0</v>
          </cell>
          <cell r="U2129">
            <v>54686940</v>
          </cell>
          <cell r="V2129">
            <v>54686940</v>
          </cell>
        </row>
        <row r="2130">
          <cell r="J2130">
            <v>1769</v>
          </cell>
          <cell r="K2130">
            <v>43201</v>
          </cell>
          <cell r="L2130" t="str">
            <v>EDINSON  CHOCO PIRAZA</v>
          </cell>
          <cell r="M2130">
            <v>31</v>
          </cell>
          <cell r="N2130" t="str">
            <v>RESOLUCION</v>
          </cell>
          <cell r="O2130">
            <v>1784</v>
          </cell>
          <cell r="P2130">
            <v>43201</v>
          </cell>
          <cell r="Q2130" t="str">
            <v>AYUDA TEMPORAL A LAS FAMILIAS DE VARIAS LOCALIDADES, PARA LA RELOCALIZACIÓN DE HOGARES LOCALIZADOS EN ZONAS DE ALTO RIESGO NO MITIGABLE ID:2015-W166-531, LOCALIDAD:19 CIUDAD BOLÍVAR, UPZ:67 LUCERO, SECTOR:WOUNAAN</v>
          </cell>
          <cell r="R2130">
            <v>4175001</v>
          </cell>
          <cell r="S2130">
            <v>0</v>
          </cell>
          <cell r="T2130">
            <v>0</v>
          </cell>
          <cell r="U2130">
            <v>4175001</v>
          </cell>
          <cell r="V2130">
            <v>1855556</v>
          </cell>
        </row>
        <row r="2131">
          <cell r="J2131">
            <v>1770</v>
          </cell>
          <cell r="K2131">
            <v>43201</v>
          </cell>
          <cell r="L2131" t="str">
            <v>ILARIO  MECHA PEDROZA</v>
          </cell>
          <cell r="M2131">
            <v>31</v>
          </cell>
          <cell r="N2131" t="str">
            <v>RESOLUCION</v>
          </cell>
          <cell r="O2131">
            <v>1785</v>
          </cell>
          <cell r="P2131">
            <v>43201</v>
          </cell>
          <cell r="Q2131" t="str">
            <v>AYUDA TEMPORAL A LAS FAMILIAS DE VARIAS LOCALIDADES, PARA LA RELOCALIZACIÓN DE HOGARES LOCALIZADOS EN ZONAS DE ALTO RIESGO NO MITIGABLE ID:2014-W166-026, LOCALIDAD:19 CIUDAD BOLÍVAR, UPZ:67 LUCERO, SECTOR:WOUNAAN</v>
          </cell>
          <cell r="R2131">
            <v>7192744</v>
          </cell>
          <cell r="S2131">
            <v>0</v>
          </cell>
          <cell r="T2131">
            <v>0</v>
          </cell>
          <cell r="U2131">
            <v>7192744</v>
          </cell>
          <cell r="V2131">
            <v>2213152</v>
          </cell>
        </row>
        <row r="2132">
          <cell r="J2132">
            <v>1771</v>
          </cell>
          <cell r="K2132">
            <v>43201</v>
          </cell>
          <cell r="L2132" t="str">
            <v>FLOR ALBA ARIZA MOSQUERA</v>
          </cell>
          <cell r="M2132">
            <v>31</v>
          </cell>
          <cell r="N2132" t="str">
            <v>RESOLUCION</v>
          </cell>
          <cell r="O2132">
            <v>1786</v>
          </cell>
          <cell r="P2132">
            <v>43201</v>
          </cell>
          <cell r="Q2132" t="str">
            <v>AYUDA TEMPORAL A LAS FAMILIAS DE VARIAS LOCALIDADES, PARA LA RELOCALIZACIÓN DE HOGARES LOCALIZADOS EN ZONAS DE ALTO RIESGO NO MITIGABLE ID:2013-Q18-00093, LOCALIDAD:19 CIUDAD BOLÍVAR, UPZ:69 ISMAEL PERDOMO, SECTOR:ZANJÓN MURALLA</v>
          </cell>
          <cell r="R2132">
            <v>1624984</v>
          </cell>
          <cell r="S2132">
            <v>406246</v>
          </cell>
          <cell r="T2132">
            <v>0</v>
          </cell>
          <cell r="U2132">
            <v>1218738</v>
          </cell>
          <cell r="V2132">
            <v>1218738</v>
          </cell>
        </row>
        <row r="2133">
          <cell r="J2133">
            <v>1772</v>
          </cell>
          <cell r="K2133">
            <v>43201</v>
          </cell>
          <cell r="L2133" t="str">
            <v>MARISOL  LEIVA FARIRATOFE</v>
          </cell>
          <cell r="M2133">
            <v>31</v>
          </cell>
          <cell r="N2133" t="str">
            <v>RESOLUCION</v>
          </cell>
          <cell r="O2133">
            <v>1822</v>
          </cell>
          <cell r="P2133">
            <v>43201</v>
          </cell>
          <cell r="Q2133" t="str">
            <v>AYUDA TEMPORAL A LAS FAMILIAS DE VARIAS LOCALIDADES, PARA LA RELOCALIZACIÓN DE HOGARES LOCALIZADOS EN ZONAS DE ALTO RIESGO NO MITIGABLE ID:2015-W166-408, LOCALIDAD:06 TUNJUELITO, UPZ:42 VENECIA, SECTOR:UITOTO</v>
          </cell>
          <cell r="R2133">
            <v>6520679</v>
          </cell>
          <cell r="S2133">
            <v>0</v>
          </cell>
          <cell r="T2133">
            <v>0</v>
          </cell>
          <cell r="U2133">
            <v>6520679</v>
          </cell>
          <cell r="V2133">
            <v>2371156</v>
          </cell>
        </row>
        <row r="2134">
          <cell r="J2134">
            <v>1773</v>
          </cell>
          <cell r="K2134">
            <v>43201</v>
          </cell>
          <cell r="L2134" t="str">
            <v>HECTOR  MEMBACHE ZARCO</v>
          </cell>
          <cell r="M2134">
            <v>31</v>
          </cell>
          <cell r="N2134" t="str">
            <v>RESOLUCION</v>
          </cell>
          <cell r="O2134">
            <v>1787</v>
          </cell>
          <cell r="P2134">
            <v>43201</v>
          </cell>
          <cell r="Q2134" t="str">
            <v>AYUDA TEMPORAL A LAS FAMILIAS DE VARIAS LOCALIDADES, PARA LA RELOCALIZACIÓN DE HOGARES LOCALIZADOS EN ZONAS DE ALTO RIESGO NO MITIGABLE ID:2014-W166-063, LOCALIDAD:19 CIUDAD BOLÍVAR, UPZ:68 EL TESORO, SECTOR:WOUNAAN</v>
          </cell>
          <cell r="R2134">
            <v>4573850</v>
          </cell>
          <cell r="S2134">
            <v>0</v>
          </cell>
          <cell r="T2134">
            <v>0</v>
          </cell>
          <cell r="U2134">
            <v>4573850</v>
          </cell>
          <cell r="V2134">
            <v>1829540</v>
          </cell>
        </row>
        <row r="2135">
          <cell r="J2135">
            <v>1774</v>
          </cell>
          <cell r="K2135">
            <v>43201</v>
          </cell>
          <cell r="L2135" t="str">
            <v>JORGE ENRIQUE CASTELLANOS VASQUEZ</v>
          </cell>
          <cell r="M2135">
            <v>31</v>
          </cell>
          <cell r="N2135" t="str">
            <v>RESOLUCION</v>
          </cell>
          <cell r="O2135">
            <v>1790</v>
          </cell>
          <cell r="P2135">
            <v>43201</v>
          </cell>
          <cell r="Q2135" t="str">
            <v>AYUDA TEMPORAL A LAS FAMILIAS DE VARIAS LOCALIDADES, PARA LA RELOCALIZACIÓN DE HOGARES LOCALIZADOS EN ZONAS DE ALTO RIESGO NO MITIGABLE ID:2017-20-15009, LOCALIDAD:20 SUMAPAZ, UPZ:5 UPR RIO SUMAPAZ, SECTOR:LA UNION</v>
          </cell>
          <cell r="R2135">
            <v>7031180</v>
          </cell>
          <cell r="S2135">
            <v>0</v>
          </cell>
          <cell r="T2135">
            <v>0</v>
          </cell>
          <cell r="U2135">
            <v>7031180</v>
          </cell>
          <cell r="V2135">
            <v>2812472</v>
          </cell>
        </row>
        <row r="2136">
          <cell r="J2136">
            <v>1775</v>
          </cell>
          <cell r="K2136">
            <v>43201</v>
          </cell>
          <cell r="L2136" t="str">
            <v>LEYDY VIVIANA CASAS</v>
          </cell>
          <cell r="M2136">
            <v>31</v>
          </cell>
          <cell r="N2136" t="str">
            <v>RESOLUCION</v>
          </cell>
          <cell r="O2136">
            <v>1823</v>
          </cell>
          <cell r="P2136">
            <v>43201</v>
          </cell>
          <cell r="Q2136" t="str">
            <v>AYUDA TEMPORAL A LAS FAMILIAS DE VARIAS LOCALIDADES, PARA LA RELOCALIZACIÓN DE HOGARES LOCALIZADOS EN ZONAS DE ALTO RIESGO NO MITIGABLE ID:2015-Q09-01426, LOCALIDAD:19 CIUDAD BOLÍVAR, UPZ:67 LUCERO, SECTOR:QUEBRADA TROMPETA</v>
          </cell>
          <cell r="R2136">
            <v>5412450</v>
          </cell>
          <cell r="S2136">
            <v>0</v>
          </cell>
          <cell r="T2136">
            <v>0</v>
          </cell>
          <cell r="U2136">
            <v>5412450</v>
          </cell>
          <cell r="V2136">
            <v>2164980</v>
          </cell>
        </row>
        <row r="2137">
          <cell r="J2137">
            <v>1777</v>
          </cell>
          <cell r="K2137">
            <v>43202</v>
          </cell>
          <cell r="L2137" t="str">
            <v>ROSALY  GONZALEZ SAENZ</v>
          </cell>
          <cell r="M2137">
            <v>31</v>
          </cell>
          <cell r="N2137" t="str">
            <v>RESOLUCION</v>
          </cell>
          <cell r="O2137">
            <v>1782</v>
          </cell>
          <cell r="P2137">
            <v>43202</v>
          </cell>
          <cell r="Q2137" t="str">
            <v>Adquisición predial Dto. 511 de 2010. LOCALIDAD: USME; BARRIO: SAN JUAN DE USME;ID: 2010-5-11479</v>
          </cell>
          <cell r="R2137">
            <v>53532600</v>
          </cell>
          <cell r="S2137">
            <v>0</v>
          </cell>
          <cell r="T2137">
            <v>0</v>
          </cell>
          <cell r="U2137">
            <v>53532600</v>
          </cell>
          <cell r="V2137">
            <v>16059780</v>
          </cell>
        </row>
        <row r="2138">
          <cell r="J2138">
            <v>1778</v>
          </cell>
          <cell r="K2138">
            <v>43202</v>
          </cell>
          <cell r="L2138" t="str">
            <v>DIEGO EDWIN PULIDO MOLANO</v>
          </cell>
          <cell r="M2138">
            <v>31</v>
          </cell>
          <cell r="N2138" t="str">
            <v>RESOLUCION</v>
          </cell>
          <cell r="O2138">
            <v>1758</v>
          </cell>
          <cell r="P2138">
            <v>43202</v>
          </cell>
          <cell r="Q2138" t="str">
            <v>Valor excedente de providencia ordena pagar gastos de auxiliar de justicia en el marco de la Acción Popular No 2016-00177 enero de 2018</v>
          </cell>
          <cell r="R2138">
            <v>122953</v>
          </cell>
          <cell r="S2138">
            <v>0</v>
          </cell>
          <cell r="T2138">
            <v>0</v>
          </cell>
          <cell r="U2138">
            <v>122953</v>
          </cell>
          <cell r="V2138">
            <v>122953</v>
          </cell>
        </row>
        <row r="2139">
          <cell r="J2139">
            <v>1779</v>
          </cell>
          <cell r="K2139">
            <v>43202</v>
          </cell>
          <cell r="L2139" t="str">
            <v>DIEGO EDWIN PULIDO MOLANO</v>
          </cell>
          <cell r="M2139">
            <v>31</v>
          </cell>
          <cell r="N2139" t="str">
            <v>RESOLUCION</v>
          </cell>
          <cell r="O2139">
            <v>1286</v>
          </cell>
          <cell r="P2139">
            <v>43202</v>
          </cell>
          <cell r="Q2139" t="str">
            <v>Providencia ordena pagar gastos de auxiliar de justicia en el marco de la Acción Popular No 2016-00177 enero de 2018.</v>
          </cell>
          <cell r="R2139">
            <v>614764</v>
          </cell>
          <cell r="S2139">
            <v>0</v>
          </cell>
          <cell r="T2139">
            <v>0</v>
          </cell>
          <cell r="U2139">
            <v>614764</v>
          </cell>
          <cell r="V2139">
            <v>614764</v>
          </cell>
        </row>
        <row r="2140">
          <cell r="J2140">
            <v>1780</v>
          </cell>
          <cell r="K2140">
            <v>43202</v>
          </cell>
          <cell r="L2140" t="str">
            <v>MARISOL  HERNANDEZ PEREA</v>
          </cell>
          <cell r="M2140">
            <v>31</v>
          </cell>
          <cell r="N2140" t="str">
            <v>RESOLUCION</v>
          </cell>
          <cell r="O2140">
            <v>1844</v>
          </cell>
          <cell r="P2140">
            <v>43202</v>
          </cell>
          <cell r="Q2140" t="str">
            <v>Asignacion del instrumento financiero a las familias ocupantes del predio que hayan superado la fase de verificacion dentro  del marco del Decreto 457 de 2017. LOCALIDAD: KENNEDY; BARRIO: VEREDITAS; ID: 2017-8-383720</v>
          </cell>
          <cell r="R2140">
            <v>54686940</v>
          </cell>
          <cell r="S2140">
            <v>0</v>
          </cell>
          <cell r="T2140">
            <v>0</v>
          </cell>
          <cell r="U2140">
            <v>54686940</v>
          </cell>
          <cell r="V2140">
            <v>54686940</v>
          </cell>
        </row>
        <row r="2141">
          <cell r="J2141">
            <v>1781</v>
          </cell>
          <cell r="K2141">
            <v>43202</v>
          </cell>
          <cell r="L2141" t="str">
            <v>LUIS ALBERTO FAJARDO</v>
          </cell>
          <cell r="M2141">
            <v>31</v>
          </cell>
          <cell r="N2141" t="str">
            <v>RESOLUCION</v>
          </cell>
          <cell r="O2141">
            <v>1856</v>
          </cell>
          <cell r="P2141">
            <v>43202</v>
          </cell>
          <cell r="Q2141" t="str">
            <v>adquisición de mejoras Dto. 511 de 2010. LOCALIDAD: CIUDAD BOLIVAR; BARRIO:PARAISO QUIBA;ID: 2013-Q04-00402</v>
          </cell>
          <cell r="R2141">
            <v>22950000</v>
          </cell>
          <cell r="S2141">
            <v>0</v>
          </cell>
          <cell r="T2141">
            <v>0</v>
          </cell>
          <cell r="U2141">
            <v>22950000</v>
          </cell>
          <cell r="V2141">
            <v>0</v>
          </cell>
        </row>
        <row r="2142">
          <cell r="J2142">
            <v>1782</v>
          </cell>
          <cell r="K2142">
            <v>43202</v>
          </cell>
          <cell r="L2142" t="str">
            <v>MARISOL  AGREDO CLARO</v>
          </cell>
          <cell r="M2142">
            <v>31</v>
          </cell>
          <cell r="N2142" t="str">
            <v>RESOLUCION</v>
          </cell>
          <cell r="O2142">
            <v>1857</v>
          </cell>
          <cell r="P2142">
            <v>43202</v>
          </cell>
          <cell r="Q2142" t="str">
            <v>adquisición predial Dto. 511 de 2010. LOCALIDAD: SAN CRISTOBAL; BARRIO:NUEVA GLORIA;ID: ID:  2015-Q20-01311</v>
          </cell>
          <cell r="R2142">
            <v>81785300</v>
          </cell>
          <cell r="S2142">
            <v>0</v>
          </cell>
          <cell r="T2142">
            <v>0</v>
          </cell>
          <cell r="U2142">
            <v>81785300</v>
          </cell>
          <cell r="V2142">
            <v>24535590</v>
          </cell>
        </row>
        <row r="2143">
          <cell r="J2143">
            <v>1783</v>
          </cell>
          <cell r="K2143">
            <v>43202</v>
          </cell>
          <cell r="L2143" t="str">
            <v>CARLOS ARTURO TAPIERO RUIZ</v>
          </cell>
          <cell r="M2143">
            <v>31</v>
          </cell>
          <cell r="N2143" t="str">
            <v>RESOLUCION</v>
          </cell>
          <cell r="O2143">
            <v>1839</v>
          </cell>
          <cell r="P2143">
            <v>43202</v>
          </cell>
          <cell r="Q2143" t="str">
            <v>Asignacion del instrumento financiero a las familias ocupantes del predio que hayan superado la fase de verificacion dentro  del marco del Decreto 457 de 2017. LOCALIDAD: KENNEDY; BARRIO: VEREDITAS; ID: 2018-8-384314</v>
          </cell>
          <cell r="R2143">
            <v>54686940</v>
          </cell>
          <cell r="S2143">
            <v>0</v>
          </cell>
          <cell r="T2143">
            <v>0</v>
          </cell>
          <cell r="U2143">
            <v>54686940</v>
          </cell>
          <cell r="V2143">
            <v>54686940</v>
          </cell>
        </row>
        <row r="2144">
          <cell r="J2144">
            <v>1784</v>
          </cell>
          <cell r="K2144">
            <v>43202</v>
          </cell>
          <cell r="L2144" t="str">
            <v>ANGELICA PATRICIA VELASQUEZ</v>
          </cell>
          <cell r="M2144">
            <v>31</v>
          </cell>
          <cell r="N2144" t="str">
            <v>RESOLUCION</v>
          </cell>
          <cell r="O2144">
            <v>1845</v>
          </cell>
          <cell r="P2144">
            <v>43202</v>
          </cell>
          <cell r="Q2144" t="str">
            <v>Asignacion del instrumento financiero a las familias ocupantes del predio que hayan superado la fase de verificacion dentro  del marco del Decreto 457 de 2017. LOCALIDAD: KENNEDY; BARRIO: VEREDITAS; ID: 2018-8-384304</v>
          </cell>
          <cell r="R2144">
            <v>54686940</v>
          </cell>
          <cell r="S2144">
            <v>0</v>
          </cell>
          <cell r="T2144">
            <v>0</v>
          </cell>
          <cell r="U2144">
            <v>54686940</v>
          </cell>
          <cell r="V2144">
            <v>54686940</v>
          </cell>
        </row>
        <row r="2145">
          <cell r="J2145">
            <v>1785</v>
          </cell>
          <cell r="K2145">
            <v>43202</v>
          </cell>
          <cell r="L2145" t="str">
            <v>LAURA CAMILA ESCOBAR QUINTERO</v>
          </cell>
          <cell r="M2145">
            <v>31</v>
          </cell>
          <cell r="N2145" t="str">
            <v>RESOLUCION</v>
          </cell>
          <cell r="O2145">
            <v>1846</v>
          </cell>
          <cell r="P2145">
            <v>43202</v>
          </cell>
          <cell r="Q2145" t="str">
            <v>Asignacion del instrumento financiero a las familias ocupantes del predio que hayan superado la fase de verificacion dentro  del marco del Decreto 457 de 2017. LOCALIDAD: KENNEDY; BARRIO: VEREDITAS; ID: 2018-8-384307</v>
          </cell>
          <cell r="R2145">
            <v>54686940</v>
          </cell>
          <cell r="S2145">
            <v>0</v>
          </cell>
          <cell r="T2145">
            <v>0</v>
          </cell>
          <cell r="U2145">
            <v>54686940</v>
          </cell>
          <cell r="V2145">
            <v>54686940</v>
          </cell>
        </row>
        <row r="2146">
          <cell r="J2146">
            <v>1786</v>
          </cell>
          <cell r="K2146">
            <v>43202</v>
          </cell>
          <cell r="L2146" t="str">
            <v>MARIA DEL PILAR CORTES HERNANDEZ</v>
          </cell>
          <cell r="M2146">
            <v>31</v>
          </cell>
          <cell r="N2146" t="str">
            <v>RESOLUCION</v>
          </cell>
          <cell r="O2146">
            <v>1840</v>
          </cell>
          <cell r="P2146">
            <v>43202</v>
          </cell>
          <cell r="Q2146" t="str">
            <v>Asignacion del instrumento financiero a las familias ocupantes del predio que hayan superado la fase de verificacion dentro  del marco del Decreto 457 de 2017. LOCALIDAD: KENNEDY; BARRIO: VEREDITAS; ID: 2017-8-383654</v>
          </cell>
          <cell r="R2146">
            <v>54686940</v>
          </cell>
          <cell r="S2146">
            <v>0</v>
          </cell>
          <cell r="T2146">
            <v>0</v>
          </cell>
          <cell r="U2146">
            <v>54686940</v>
          </cell>
          <cell r="V2146">
            <v>54686940</v>
          </cell>
        </row>
        <row r="2147">
          <cell r="J2147">
            <v>1787</v>
          </cell>
          <cell r="K2147">
            <v>43202</v>
          </cell>
          <cell r="L2147" t="str">
            <v>MISAEL  MARTIN</v>
          </cell>
          <cell r="M2147">
            <v>31</v>
          </cell>
          <cell r="N2147" t="str">
            <v>RESOLUCION</v>
          </cell>
          <cell r="O2147">
            <v>1847</v>
          </cell>
          <cell r="P2147">
            <v>43202</v>
          </cell>
          <cell r="Q2147" t="str">
            <v>Asignacion del instrumento financiero a las familias ocupantes del predio que hayan superado la fase de verificacion dentro  del marco del Decreto 457 de 2017. LOCALIDAD: KENNEDY; BARRIO: VEREDITAS; ID: 2018-8-384305</v>
          </cell>
          <cell r="R2147">
            <v>54686940</v>
          </cell>
          <cell r="S2147">
            <v>0</v>
          </cell>
          <cell r="T2147">
            <v>0</v>
          </cell>
          <cell r="U2147">
            <v>54686940</v>
          </cell>
          <cell r="V2147">
            <v>54686940</v>
          </cell>
        </row>
        <row r="2148">
          <cell r="J2148">
            <v>1788</v>
          </cell>
          <cell r="K2148">
            <v>43202</v>
          </cell>
          <cell r="L2148" t="str">
            <v>OMAR  FRANCO MOLINA</v>
          </cell>
          <cell r="M2148">
            <v>31</v>
          </cell>
          <cell r="N2148" t="str">
            <v>RESOLUCION</v>
          </cell>
          <cell r="O2148">
            <v>1841</v>
          </cell>
          <cell r="P2148">
            <v>43202</v>
          </cell>
          <cell r="Q2148" t="str">
            <v>Asignacion del instrumento financiero a las familias ocupantes del predio que hayan superado la fase de verificacion dentro  del marco del Decreto 457 de 2017. LOCALIDAD: KENNEDY; BARRIO: VEREDITAS; ID: 2018-8-384310</v>
          </cell>
          <cell r="R2148">
            <v>54686940</v>
          </cell>
          <cell r="S2148">
            <v>0</v>
          </cell>
          <cell r="T2148">
            <v>0</v>
          </cell>
          <cell r="U2148">
            <v>54686940</v>
          </cell>
          <cell r="V2148">
            <v>54686940</v>
          </cell>
        </row>
        <row r="2149">
          <cell r="J2149">
            <v>1789</v>
          </cell>
          <cell r="K2149">
            <v>43202</v>
          </cell>
          <cell r="L2149" t="str">
            <v>JANETH  GOMEZ TRIANA</v>
          </cell>
          <cell r="M2149">
            <v>31</v>
          </cell>
          <cell r="N2149" t="str">
            <v>RESOLUCION</v>
          </cell>
          <cell r="O2149">
            <v>1848</v>
          </cell>
          <cell r="P2149">
            <v>43202</v>
          </cell>
          <cell r="Q2149" t="str">
            <v>Asignacion del instrumento financiero a las familias ocupantes del predio que hayan superado la fase de verificacion dentro  del marco del Decreto 457 de 2017. LOCALIDAD: KENNEDY; BARRIO: VEREDITAS; ID: 2018-8-384312</v>
          </cell>
          <cell r="R2149">
            <v>54686940</v>
          </cell>
          <cell r="S2149">
            <v>0</v>
          </cell>
          <cell r="T2149">
            <v>0</v>
          </cell>
          <cell r="U2149">
            <v>54686940</v>
          </cell>
          <cell r="V2149">
            <v>54686940</v>
          </cell>
        </row>
        <row r="2150">
          <cell r="J2150">
            <v>1790</v>
          </cell>
          <cell r="K2150">
            <v>43202</v>
          </cell>
          <cell r="L2150" t="str">
            <v>NINI JOHANNA OLIVEROS LIZCANO</v>
          </cell>
          <cell r="M2150">
            <v>31</v>
          </cell>
          <cell r="N2150" t="str">
            <v>RESOLUCION</v>
          </cell>
          <cell r="O2150">
            <v>1842</v>
          </cell>
          <cell r="P2150">
            <v>43202</v>
          </cell>
          <cell r="Q2150" t="str">
            <v>Asignacion del instrumento financiero a las familias ocupantes del predio que hayan superado la fase de verificacion dentro  del marco del Decreto 457 de 2017. LOCALIDAD: KENNEDY; BARRIO: VEREDITAS; ID: 2018-08-384303</v>
          </cell>
          <cell r="R2150">
            <v>54686940</v>
          </cell>
          <cell r="S2150">
            <v>0</v>
          </cell>
          <cell r="T2150">
            <v>0</v>
          </cell>
          <cell r="U2150">
            <v>54686940</v>
          </cell>
          <cell r="V2150">
            <v>0</v>
          </cell>
        </row>
        <row r="2151">
          <cell r="J2151">
            <v>1791</v>
          </cell>
          <cell r="K2151">
            <v>43202</v>
          </cell>
          <cell r="L2151" t="str">
            <v>OSCAR HERNAN AGUILAR VARELA</v>
          </cell>
          <cell r="M2151">
            <v>31</v>
          </cell>
          <cell r="N2151" t="str">
            <v>RESOLUCION</v>
          </cell>
          <cell r="O2151">
            <v>1843</v>
          </cell>
          <cell r="P2151">
            <v>43202</v>
          </cell>
          <cell r="Q2151" t="str">
            <v>Asignacion del instrumento financiero a las familias ocupantes del predio que hayan superado la fase de verificacion dentro  del marco del Decreto 457 de 2017. LOCALIDAD: KENNEDY; BARRIO: VEREDITAS; ID: 2018-8-384306</v>
          </cell>
          <cell r="R2151">
            <v>54686940</v>
          </cell>
          <cell r="S2151">
            <v>0</v>
          </cell>
          <cell r="T2151">
            <v>0</v>
          </cell>
          <cell r="U2151">
            <v>54686940</v>
          </cell>
          <cell r="V2151">
            <v>54686940</v>
          </cell>
        </row>
        <row r="2152">
          <cell r="J2152">
            <v>1792</v>
          </cell>
          <cell r="K2152">
            <v>43203</v>
          </cell>
          <cell r="L2152" t="str">
            <v>WILLIAM  VIUCHE CUPITRA</v>
          </cell>
          <cell r="M2152">
            <v>31</v>
          </cell>
          <cell r="N2152" t="str">
            <v>RESOLUCION</v>
          </cell>
          <cell r="O2152">
            <v>1862</v>
          </cell>
          <cell r="P2152">
            <v>43203</v>
          </cell>
          <cell r="Q2152" t="str">
            <v>VUR de la actual vigencia.Dto 255 de 2013. LOCALIDAD:CIUDAD BOLIVAR; BARRIO:ESTRELLA DEL SUR; ID:2014-Q05-00840</v>
          </cell>
          <cell r="R2152">
            <v>39062100</v>
          </cell>
          <cell r="S2152">
            <v>0</v>
          </cell>
          <cell r="T2152">
            <v>0</v>
          </cell>
          <cell r="U2152">
            <v>39062100</v>
          </cell>
          <cell r="V2152">
            <v>0</v>
          </cell>
        </row>
        <row r="2153">
          <cell r="J2153">
            <v>1793</v>
          </cell>
          <cell r="K2153">
            <v>43203</v>
          </cell>
          <cell r="L2153" t="str">
            <v>MARIA CECILIA BERNAL</v>
          </cell>
          <cell r="M2153">
            <v>31</v>
          </cell>
          <cell r="N2153" t="str">
            <v>RESOLUCION</v>
          </cell>
          <cell r="O2153">
            <v>1863</v>
          </cell>
          <cell r="P2153">
            <v>43203</v>
          </cell>
          <cell r="Q2153" t="str">
            <v>VUR de la actual vigencia.Dto 255 de 2013. LOCALIDAD:CIUDAD BOLIVAR; BARRIO:PARAISO QUIBA; ID:2015-Q04-03677</v>
          </cell>
          <cell r="R2153">
            <v>39062100</v>
          </cell>
          <cell r="S2153">
            <v>0</v>
          </cell>
          <cell r="T2153">
            <v>0</v>
          </cell>
          <cell r="U2153">
            <v>39062100</v>
          </cell>
          <cell r="V2153">
            <v>39062100</v>
          </cell>
        </row>
        <row r="2154">
          <cell r="J2154">
            <v>1795</v>
          </cell>
          <cell r="K2154">
            <v>43203</v>
          </cell>
          <cell r="L2154" t="str">
            <v>CAJA DE VIVIENDA POPULAR</v>
          </cell>
          <cell r="M2154">
            <v>1</v>
          </cell>
          <cell r="N2154" t="str">
            <v>RELACION DE AUTORIZACION</v>
          </cell>
          <cell r="O2154">
            <v>28</v>
          </cell>
          <cell r="P2154">
            <v>43203</v>
          </cell>
          <cell r="Q2154" t="str">
            <v>PAGO DE SEGURIDAD SOCIAL Y PARAFISCALES DE FUNCIONARIOS DE PLANTA TEMPORAL DE LA DIRECCIÓN DE REASENTAMIENTOS DE LA CAJA DE LA VIVIENDA POPULAR  MES DE MARZO DE 2018"</v>
          </cell>
          <cell r="R2154">
            <v>35468800</v>
          </cell>
          <cell r="S2154">
            <v>35468800</v>
          </cell>
          <cell r="T2154">
            <v>0</v>
          </cell>
          <cell r="U2154">
            <v>0</v>
          </cell>
          <cell r="V2154">
            <v>0</v>
          </cell>
        </row>
        <row r="2155">
          <cell r="J2155">
            <v>1807</v>
          </cell>
          <cell r="K2155">
            <v>43207</v>
          </cell>
          <cell r="L2155" t="str">
            <v>JHONATAN HARLEY PINZON AVILA</v>
          </cell>
          <cell r="M2155">
            <v>31</v>
          </cell>
          <cell r="N2155" t="str">
            <v>RESOLUCION</v>
          </cell>
          <cell r="O2155">
            <v>1865</v>
          </cell>
          <cell r="P2155">
            <v>43207</v>
          </cell>
          <cell r="Q2155" t="str">
            <v>Asignacion del instrumento financiero a las familias ocupantes del predio que hayan superado la fase de verificacion dentro  del marco del Decreto 457 de 2017. LOCALIDAD: KENNEDY; BARRIO: VEREDITAS; ID: 2017-8-383676</v>
          </cell>
          <cell r="R2155">
            <v>54686940</v>
          </cell>
          <cell r="S2155">
            <v>0</v>
          </cell>
          <cell r="T2155">
            <v>0</v>
          </cell>
          <cell r="U2155">
            <v>54686940</v>
          </cell>
          <cell r="V2155">
            <v>54686940</v>
          </cell>
        </row>
        <row r="2156">
          <cell r="J2156">
            <v>1808</v>
          </cell>
          <cell r="K2156">
            <v>43207</v>
          </cell>
          <cell r="L2156" t="str">
            <v>YENIFER VALENTINA JAIMES AGUILAR</v>
          </cell>
          <cell r="M2156">
            <v>31</v>
          </cell>
          <cell r="N2156" t="str">
            <v>RESOLUCION</v>
          </cell>
          <cell r="O2156">
            <v>1864</v>
          </cell>
          <cell r="P2156">
            <v>43207</v>
          </cell>
          <cell r="Q2156" t="str">
            <v>Asignacion del instrumento financiero a las familias ocupantes del predio que hayan superado la fase de verificacion dentro  del marco del Decreto 457 de 2017. LOCALIDAD: KENNEDY; BARRIO: VEREDITAS; ID: 2018-08-384302</v>
          </cell>
          <cell r="R2156">
            <v>54686940</v>
          </cell>
          <cell r="S2156">
            <v>0</v>
          </cell>
          <cell r="T2156">
            <v>0</v>
          </cell>
          <cell r="U2156">
            <v>54686940</v>
          </cell>
          <cell r="V2156">
            <v>54686940</v>
          </cell>
        </row>
        <row r="2157">
          <cell r="J2157">
            <v>1814</v>
          </cell>
          <cell r="K2157">
            <v>43209</v>
          </cell>
          <cell r="L2157" t="str">
            <v>JESUS MARIA GONZALEZ RODRIGUEZ</v>
          </cell>
          <cell r="M2157">
            <v>31</v>
          </cell>
          <cell r="N2157" t="str">
            <v>RESOLUCION</v>
          </cell>
          <cell r="O2157">
            <v>1894</v>
          </cell>
          <cell r="P2157">
            <v>43209</v>
          </cell>
          <cell r="Q2157" t="str">
            <v>Cumplimiento de la orden impartida por el Juzgado Treinta y Seis  Penal del Circuito con Función de Conocimiento de Bogotá D.C, mediante providencia del 09 de abril de 2018, notificada a la Caja de la Vivienda Popular el 17 de abril de 2018, en el marco de la Acción de Tutela .2018 ¿ 0013, instaurada por el señor JESÚS MARÍA GONZÁLEZ RODRÍGUEZ.</v>
          </cell>
          <cell r="R2157">
            <v>406560</v>
          </cell>
          <cell r="S2157">
            <v>0</v>
          </cell>
          <cell r="T2157">
            <v>0</v>
          </cell>
          <cell r="U2157">
            <v>406560</v>
          </cell>
          <cell r="V2157">
            <v>406560</v>
          </cell>
        </row>
        <row r="2158">
          <cell r="J2158">
            <v>1815</v>
          </cell>
          <cell r="K2158">
            <v>43209</v>
          </cell>
          <cell r="L2158" t="str">
            <v>MAUREN  SIERRA FONSECA</v>
          </cell>
          <cell r="M2158">
            <v>31</v>
          </cell>
          <cell r="N2158" t="str">
            <v>RESOLUCION</v>
          </cell>
          <cell r="O2158">
            <v>1872</v>
          </cell>
          <cell r="P2158">
            <v>43209</v>
          </cell>
          <cell r="Q2158" t="str">
            <v>Asignacion del instrumento financiero a las familias ocupantes del predio que hayan superado la fase de verificacion dentro  del marco del Decreto 457 de 2017. LOCALIDAD: KENNEDY; BARRIO: VEREDITAS; ID: 2018-8-384311</v>
          </cell>
          <cell r="R2158">
            <v>54686940</v>
          </cell>
          <cell r="S2158">
            <v>0</v>
          </cell>
          <cell r="T2158">
            <v>0</v>
          </cell>
          <cell r="U2158">
            <v>54686940</v>
          </cell>
          <cell r="V2158">
            <v>54686940</v>
          </cell>
        </row>
        <row r="2159">
          <cell r="J2159">
            <v>1816</v>
          </cell>
          <cell r="K2159">
            <v>43209</v>
          </cell>
          <cell r="L2159" t="str">
            <v>JOSE ARMANDO PAIBA</v>
          </cell>
          <cell r="M2159">
            <v>31</v>
          </cell>
          <cell r="N2159" t="str">
            <v>RESOLUCION</v>
          </cell>
          <cell r="O2159">
            <v>1870</v>
          </cell>
          <cell r="P2159">
            <v>43209</v>
          </cell>
          <cell r="Q2159" t="str">
            <v>Asignacion del instrumento financiero a las familias ocupantes del predio que hayan superado la fase de verificacion dentro  del marco del Decreto 457 de 2017. LOCALIDAD: KENNEDY; BARRIO: VEREDITAS; ID: 2018-08-384353</v>
          </cell>
          <cell r="R2159">
            <v>54686940</v>
          </cell>
          <cell r="S2159">
            <v>0</v>
          </cell>
          <cell r="T2159">
            <v>0</v>
          </cell>
          <cell r="U2159">
            <v>54686940</v>
          </cell>
          <cell r="V2159">
            <v>54686940</v>
          </cell>
        </row>
        <row r="2160">
          <cell r="J2160">
            <v>1817</v>
          </cell>
          <cell r="K2160">
            <v>43209</v>
          </cell>
          <cell r="L2160" t="str">
            <v>LUZ AIDEE CALDERÓN ORTIZ</v>
          </cell>
          <cell r="M2160">
            <v>31</v>
          </cell>
          <cell r="N2160" t="str">
            <v>RESOLUCION</v>
          </cell>
          <cell r="O2160">
            <v>1873</v>
          </cell>
          <cell r="P2160">
            <v>43209</v>
          </cell>
          <cell r="Q2160" t="str">
            <v>Asignacion del instrumento financiero a las familias ocupantes del predio que hayan superado la fase de verificacion dentro  del marco del Decreto 457 de 2017. LOCALIDAD: KENNEDY; BARRIO: VEREDITAS; ID: 2018-08-384309</v>
          </cell>
          <cell r="R2160">
            <v>54686940</v>
          </cell>
          <cell r="S2160">
            <v>0</v>
          </cell>
          <cell r="T2160">
            <v>0</v>
          </cell>
          <cell r="U2160">
            <v>54686940</v>
          </cell>
          <cell r="V2160">
            <v>54686940</v>
          </cell>
        </row>
        <row r="2161">
          <cell r="J2161">
            <v>1818</v>
          </cell>
          <cell r="K2161">
            <v>43209</v>
          </cell>
          <cell r="L2161" t="str">
            <v>MARIA ANGELICA MARTINEZ JIMENEZ</v>
          </cell>
          <cell r="M2161">
            <v>31</v>
          </cell>
          <cell r="N2161" t="str">
            <v>RESOLUCION</v>
          </cell>
          <cell r="O2161">
            <v>1753</v>
          </cell>
          <cell r="P2161">
            <v>43209</v>
          </cell>
          <cell r="Q2161" t="str">
            <v>AYUDA TEMPORAL A LAS FAMILIAS DE VARIAS LOCALIDADES, PARA LA RELOCALIZACIÓN DE HOGARES LOCALIZADOS EN ZONAS DE ALTO RIESGO NO MITIGABLE ID: 2015-Q04-01467, LOCALIDAD: 19 CIUDAD BOLIVAR, UPZ:67 LUCERO, SECTOR: PEÑA COLORADA</v>
          </cell>
          <cell r="R2161">
            <v>4570263</v>
          </cell>
          <cell r="S2161">
            <v>0</v>
          </cell>
          <cell r="T2161">
            <v>0</v>
          </cell>
          <cell r="U2161">
            <v>4570263</v>
          </cell>
          <cell r="V2161">
            <v>2031228</v>
          </cell>
        </row>
        <row r="2162">
          <cell r="J2162">
            <v>1819</v>
          </cell>
          <cell r="K2162">
            <v>43209</v>
          </cell>
          <cell r="L2162" t="str">
            <v>LORENA  CORTES VILLANUEVA</v>
          </cell>
          <cell r="M2162">
            <v>31</v>
          </cell>
          <cell r="N2162" t="str">
            <v>RESOLUCION</v>
          </cell>
          <cell r="O2162">
            <v>1871</v>
          </cell>
          <cell r="P2162">
            <v>43209</v>
          </cell>
          <cell r="Q2162" t="str">
            <v>Asignacion del instrumento financiero a las familias ocupantes del predio que hayan superado la fase de verificacion dentro  del marco del Decreto 457 de 2017. LOCALIDAD: KENNEDY; BARRIO: VEREDITAS; ID: 2018-8-15298</v>
          </cell>
          <cell r="R2162">
            <v>54686940</v>
          </cell>
          <cell r="S2162">
            <v>0</v>
          </cell>
          <cell r="T2162">
            <v>0</v>
          </cell>
          <cell r="U2162">
            <v>54686940</v>
          </cell>
          <cell r="V2162">
            <v>54686940</v>
          </cell>
        </row>
        <row r="2163">
          <cell r="J2163">
            <v>1824</v>
          </cell>
          <cell r="K2163">
            <v>43210</v>
          </cell>
          <cell r="L2163" t="str">
            <v>FERNANDO  REYES LOZANO</v>
          </cell>
          <cell r="M2163">
            <v>31</v>
          </cell>
          <cell r="N2163" t="str">
            <v>RESOLUCION</v>
          </cell>
          <cell r="O2163">
            <v>1878</v>
          </cell>
          <cell r="P2163">
            <v>43210</v>
          </cell>
          <cell r="Q2163" t="str">
            <v>Asignacion del instrumento financiero a las familias ocupantes del predio que hayan superado la fase de verificacion dentro  del marco del Decreto 457 de 2017. LOCALIDAD: KENNEDY; BARRIO: VEREDITAS; ID: 2017-8-383678</v>
          </cell>
          <cell r="R2163">
            <v>54686940</v>
          </cell>
          <cell r="S2163">
            <v>0</v>
          </cell>
          <cell r="T2163">
            <v>0</v>
          </cell>
          <cell r="U2163">
            <v>54686940</v>
          </cell>
          <cell r="V2163">
            <v>54686940</v>
          </cell>
        </row>
        <row r="2164">
          <cell r="J2164">
            <v>1825</v>
          </cell>
          <cell r="K2164">
            <v>43210</v>
          </cell>
          <cell r="L2164" t="str">
            <v>AMANDA  ROMERO ESPAÑA</v>
          </cell>
          <cell r="M2164">
            <v>31</v>
          </cell>
          <cell r="N2164" t="str">
            <v>RESOLUCION</v>
          </cell>
          <cell r="O2164">
            <v>1879</v>
          </cell>
          <cell r="P2164">
            <v>43210</v>
          </cell>
          <cell r="Q2164" t="str">
            <v>Adquisición predial Dto. 511 de 2010. LOCALIDAD: SAN CRISTOBAL; BARRIO:SAN ISIDRO II SECTOR;ID: ID: 2011-4-13158</v>
          </cell>
          <cell r="R2164">
            <v>8832000</v>
          </cell>
          <cell r="S2164">
            <v>0</v>
          </cell>
          <cell r="T2164">
            <v>0</v>
          </cell>
          <cell r="U2164">
            <v>8832000</v>
          </cell>
          <cell r="V2164">
            <v>0</v>
          </cell>
        </row>
        <row r="2165">
          <cell r="J2165">
            <v>1826</v>
          </cell>
          <cell r="K2165">
            <v>43210</v>
          </cell>
          <cell r="L2165" t="str">
            <v>ANGELICA ANDREA CORTES</v>
          </cell>
          <cell r="M2165">
            <v>31</v>
          </cell>
          <cell r="N2165" t="str">
            <v>RESOLUCION</v>
          </cell>
          <cell r="O2165">
            <v>1876</v>
          </cell>
          <cell r="P2165">
            <v>43210</v>
          </cell>
          <cell r="Q2165" t="str">
            <v>Asignacion del instrumento financiero a las familias ocupantes del predio que hayan superado la fase de verificacion dentro  del marco del Decreto 457 de 2017. LOCALIDAD: KENNEDY; BARRIO: VEREDITAS; ID: 2018-08-384354</v>
          </cell>
          <cell r="R2165">
            <v>54686940</v>
          </cell>
          <cell r="S2165">
            <v>0</v>
          </cell>
          <cell r="T2165">
            <v>0</v>
          </cell>
          <cell r="U2165">
            <v>54686940</v>
          </cell>
          <cell r="V2165">
            <v>54686940</v>
          </cell>
        </row>
        <row r="2166">
          <cell r="J2166">
            <v>1827</v>
          </cell>
          <cell r="K2166">
            <v>43210</v>
          </cell>
          <cell r="L2166" t="str">
            <v>YOLANDA  TOLEDO GONZALEZ</v>
          </cell>
          <cell r="M2166">
            <v>31</v>
          </cell>
          <cell r="N2166" t="str">
            <v>RESOLUCION</v>
          </cell>
          <cell r="O2166">
            <v>1881</v>
          </cell>
          <cell r="P2166">
            <v>43210</v>
          </cell>
          <cell r="Q2166" t="str">
            <v>adquisición predial Dto. 511 de 2010. LOCALIDAD: CIUDAD BOLIVAR; BARRIO:VILLAS DE DIAMANTE;ID: 2016-19-14924</v>
          </cell>
          <cell r="R2166">
            <v>39873100</v>
          </cell>
          <cell r="S2166">
            <v>0</v>
          </cell>
          <cell r="T2166">
            <v>0</v>
          </cell>
          <cell r="U2166">
            <v>39873100</v>
          </cell>
          <cell r="V2166">
            <v>11961930</v>
          </cell>
        </row>
        <row r="2167">
          <cell r="J2167">
            <v>1828</v>
          </cell>
          <cell r="K2167">
            <v>43210</v>
          </cell>
          <cell r="L2167" t="str">
            <v>NESTOR FABIO CASTAÑO GALVIS</v>
          </cell>
          <cell r="M2167">
            <v>31</v>
          </cell>
          <cell r="N2167" t="str">
            <v>RESOLUCION</v>
          </cell>
          <cell r="O2167">
            <v>1893</v>
          </cell>
          <cell r="P2167">
            <v>43210</v>
          </cell>
          <cell r="Q2167" t="str">
            <v>Asignacion del instrumento financiero a las familias ocupantes del predio que hayan superado la fase de verificacion dentro  del marco del Decreto 457 de 2017. LOCALIDAD: KENNEDY; BARRIO: VEREDITAS; ID: 2018-8-384293</v>
          </cell>
          <cell r="R2167">
            <v>54686940</v>
          </cell>
          <cell r="S2167">
            <v>0</v>
          </cell>
          <cell r="T2167">
            <v>0</v>
          </cell>
          <cell r="U2167">
            <v>54686940</v>
          </cell>
          <cell r="V2167">
            <v>54686940</v>
          </cell>
        </row>
        <row r="2168">
          <cell r="J2168">
            <v>1829</v>
          </cell>
          <cell r="K2168">
            <v>43210</v>
          </cell>
          <cell r="L2168" t="str">
            <v>JORGE REINEL LESMES</v>
          </cell>
          <cell r="M2168">
            <v>31</v>
          </cell>
          <cell r="N2168" t="str">
            <v>RESOLUCION</v>
          </cell>
          <cell r="O2168">
            <v>1877</v>
          </cell>
          <cell r="P2168">
            <v>43210</v>
          </cell>
          <cell r="Q2168" t="str">
            <v>Asignacion del instrumento financiero a las familias ocupantes del predio que hayan superado la fase de verificacion dentro  del marco del Decreto 457 de 2017. LOCALIDAD: KENNEDY; BARRIO: VEREDITAS; ID: 2017-8-383790</v>
          </cell>
          <cell r="R2168">
            <v>54686940</v>
          </cell>
          <cell r="S2168">
            <v>0</v>
          </cell>
          <cell r="T2168">
            <v>0</v>
          </cell>
          <cell r="U2168">
            <v>54686940</v>
          </cell>
          <cell r="V2168">
            <v>54686940</v>
          </cell>
        </row>
        <row r="2169">
          <cell r="J2169">
            <v>1843</v>
          </cell>
          <cell r="K2169">
            <v>43215</v>
          </cell>
          <cell r="L2169" t="str">
            <v>JHON FREDY PINZON GOMEZ</v>
          </cell>
          <cell r="M2169">
            <v>31</v>
          </cell>
          <cell r="N2169" t="str">
            <v>RESOLUCION</v>
          </cell>
          <cell r="O2169">
            <v>1931</v>
          </cell>
          <cell r="P2169">
            <v>43215</v>
          </cell>
          <cell r="Q2169" t="str">
            <v>Asignacion del instrumento financiero a las familias ocupantes del predio que hayan superado la fase de verificacion dentro  del marco del Decreto 457 de 2017. LOCALIDAD: KENNEDY; BARRIO: VEREDITAS; ID: 2018-08-384315</v>
          </cell>
          <cell r="R2169">
            <v>54686940</v>
          </cell>
          <cell r="S2169">
            <v>0</v>
          </cell>
          <cell r="T2169">
            <v>0</v>
          </cell>
          <cell r="U2169">
            <v>54686940</v>
          </cell>
          <cell r="V2169">
            <v>54686940</v>
          </cell>
        </row>
        <row r="2170">
          <cell r="J2170">
            <v>1844</v>
          </cell>
          <cell r="K2170">
            <v>43216</v>
          </cell>
          <cell r="L2170" t="str">
            <v>MIGUEL AUGUSTO BOBADILLA</v>
          </cell>
          <cell r="M2170">
            <v>31</v>
          </cell>
          <cell r="N2170" t="str">
            <v>RESOLUCION</v>
          </cell>
          <cell r="O2170">
            <v>1934</v>
          </cell>
          <cell r="P2170">
            <v>43216</v>
          </cell>
          <cell r="Q2170" t="str">
            <v>VUR de la actual vigencia.Dto 255 de 2013. LOCALIDAD:SAN CRISTOBAL; BARRIO:LOS LIBERTADORES; ID:2017-04-14979.</v>
          </cell>
          <cell r="R2170">
            <v>39062100</v>
          </cell>
          <cell r="S2170">
            <v>0</v>
          </cell>
          <cell r="T2170">
            <v>0</v>
          </cell>
          <cell r="U2170">
            <v>39062100</v>
          </cell>
          <cell r="V2170">
            <v>0</v>
          </cell>
        </row>
        <row r="2171">
          <cell r="J2171">
            <v>1845</v>
          </cell>
          <cell r="K2171">
            <v>43216</v>
          </cell>
          <cell r="L2171" t="str">
            <v>LUZ ENITH OSORIO GUTIERREZ</v>
          </cell>
          <cell r="M2171">
            <v>31</v>
          </cell>
          <cell r="N2171" t="str">
            <v>RESOLUCION</v>
          </cell>
          <cell r="O2171">
            <v>1901</v>
          </cell>
          <cell r="P2171">
            <v>43216</v>
          </cell>
          <cell r="Q2171" t="str">
            <v>Adquisición de mejoras Dto. 511 de 2010. LOCALIDAD: CIUDAD BOLIVAR; BARRIO:SANTA VIVIANA;ID: 2003-19-5088</v>
          </cell>
          <cell r="R2171">
            <v>6163200</v>
          </cell>
          <cell r="S2171">
            <v>0</v>
          </cell>
          <cell r="T2171">
            <v>0</v>
          </cell>
          <cell r="U2171">
            <v>6163200</v>
          </cell>
          <cell r="V2171">
            <v>0</v>
          </cell>
        </row>
        <row r="2172">
          <cell r="J2172">
            <v>1846</v>
          </cell>
          <cell r="K2172">
            <v>43216</v>
          </cell>
          <cell r="L2172" t="str">
            <v>HERNAN  PULIDO GALINDO</v>
          </cell>
          <cell r="M2172">
            <v>31</v>
          </cell>
          <cell r="N2172" t="str">
            <v>RESOLUCION</v>
          </cell>
          <cell r="O2172">
            <v>1933</v>
          </cell>
          <cell r="P2172">
            <v>43216</v>
          </cell>
          <cell r="Q2172" t="str">
            <v>VUR de la actual vigencia.Dto 255 de 2013. LOCALIDAD:CIUDAD BOLIVAR; BARRIO:BELLA FLOR SUR; ID:2015-Q03-03337</v>
          </cell>
          <cell r="R2172">
            <v>39062100</v>
          </cell>
          <cell r="S2172">
            <v>0</v>
          </cell>
          <cell r="T2172">
            <v>0</v>
          </cell>
          <cell r="U2172">
            <v>39062100</v>
          </cell>
          <cell r="V2172">
            <v>0</v>
          </cell>
        </row>
        <row r="2173">
          <cell r="J2173">
            <v>1850</v>
          </cell>
          <cell r="K2173">
            <v>43222</v>
          </cell>
          <cell r="L2173" t="str">
            <v>CELENIA  GARCIA JULIO</v>
          </cell>
          <cell r="M2173">
            <v>31</v>
          </cell>
          <cell r="N2173" t="str">
            <v>RESOLUCION</v>
          </cell>
          <cell r="O2173">
            <v>1962</v>
          </cell>
          <cell r="P2173">
            <v>43222</v>
          </cell>
          <cell r="Q2173" t="str">
            <v>Asignación del instrumento financiero a las familias ocupantes del predio que hayan superado la fase de verificacion dentro  del marco del Decreto 457 de 2017. LOCALIDAD: KENNEDY; BARRIO: VEREDITAS; ID: 2018-8-384361</v>
          </cell>
          <cell r="R2173">
            <v>54686940</v>
          </cell>
          <cell r="S2173">
            <v>0</v>
          </cell>
          <cell r="T2173">
            <v>0</v>
          </cell>
          <cell r="U2173">
            <v>54686940</v>
          </cell>
          <cell r="V2173">
            <v>54686940</v>
          </cell>
        </row>
        <row r="2174">
          <cell r="J2174">
            <v>1851</v>
          </cell>
          <cell r="K2174">
            <v>43222</v>
          </cell>
          <cell r="L2174" t="str">
            <v>NUBIA YADIRA GARZON VELASQUEZ</v>
          </cell>
          <cell r="M2174">
            <v>31</v>
          </cell>
          <cell r="N2174" t="str">
            <v>RESOLUCION</v>
          </cell>
          <cell r="O2174">
            <v>1961</v>
          </cell>
          <cell r="P2174">
            <v>43222</v>
          </cell>
          <cell r="Q2174" t="str">
            <v>Asignacion del instrumento financiero a las familias ocupantes del predio que hayan superado la fase de verificacion dentro  del marco del Decreto 457 de 2017. LOCALIDAD: KENNEDY; BARRIO: VEREDITAS; ID: 2017-8-383744</v>
          </cell>
          <cell r="R2174">
            <v>54686940</v>
          </cell>
          <cell r="S2174">
            <v>0</v>
          </cell>
          <cell r="T2174">
            <v>0</v>
          </cell>
          <cell r="U2174">
            <v>54686940</v>
          </cell>
          <cell r="V2174">
            <v>54686940</v>
          </cell>
        </row>
        <row r="2175">
          <cell r="J2175">
            <v>1852</v>
          </cell>
          <cell r="K2175">
            <v>43223</v>
          </cell>
          <cell r="L2175" t="str">
            <v>JORGE  LOMBANA MOTTA</v>
          </cell>
          <cell r="M2175">
            <v>31</v>
          </cell>
          <cell r="N2175" t="str">
            <v>RESOLUCION</v>
          </cell>
          <cell r="O2175">
            <v>1960</v>
          </cell>
          <cell r="P2175">
            <v>43223</v>
          </cell>
          <cell r="Q2175" t="str">
            <v>Asignacion del instrumento financiero a las familias ocupantes del predio que hayan superado la fase de verificacion dentro  del marco del Decreto 457 de 2017. LOCALIDAD: KENNEDY; BARRIO: VEREDITAS; ID: 2017-8-383781</v>
          </cell>
          <cell r="R2175">
            <v>54686940</v>
          </cell>
          <cell r="S2175">
            <v>0</v>
          </cell>
          <cell r="T2175">
            <v>0</v>
          </cell>
          <cell r="U2175">
            <v>54686940</v>
          </cell>
          <cell r="V2175">
            <v>54686940</v>
          </cell>
        </row>
        <row r="2176">
          <cell r="J2176">
            <v>1853</v>
          </cell>
          <cell r="K2176">
            <v>43223</v>
          </cell>
          <cell r="L2176" t="str">
            <v>EDGAR NAYID BELLO NAVARRETE</v>
          </cell>
          <cell r="M2176">
            <v>31</v>
          </cell>
          <cell r="N2176" t="str">
            <v>RESOLUCION</v>
          </cell>
          <cell r="O2176">
            <v>1965</v>
          </cell>
          <cell r="P2176">
            <v>43223</v>
          </cell>
          <cell r="Q2176" t="str">
            <v>Asignacion del instrumento financiero a las familias ocupantes del predio que hayan superado la fase de verificacion dentro  del marco del Decreto 457 de 2017. LOCALIDAD: KENNEDY; BARRIO: VEREDITAS; ID: 2017-8-383680</v>
          </cell>
          <cell r="R2176">
            <v>54686940</v>
          </cell>
          <cell r="S2176">
            <v>0</v>
          </cell>
          <cell r="T2176">
            <v>0</v>
          </cell>
          <cell r="U2176">
            <v>54686940</v>
          </cell>
          <cell r="V2176">
            <v>54686940</v>
          </cell>
        </row>
        <row r="2177">
          <cell r="J2177">
            <v>1854</v>
          </cell>
          <cell r="K2177">
            <v>43223</v>
          </cell>
          <cell r="L2177" t="str">
            <v>CLAUDIA PATRICIA BLANCO GARCIA</v>
          </cell>
          <cell r="M2177">
            <v>31</v>
          </cell>
          <cell r="N2177" t="str">
            <v>RESOLUCION</v>
          </cell>
          <cell r="O2177">
            <v>1964</v>
          </cell>
          <cell r="P2177">
            <v>43223</v>
          </cell>
          <cell r="Q2177" t="str">
            <v>Asignacion del instrumento financiero a las familias ocupantes del predio que hayan superado la fase de verificacion dentro  del marco del Decreto 457 de 2017. LOCALIDAD: KENNEDY; BARRIO: VEREDITAS; ID: 2018-8-384360</v>
          </cell>
          <cell r="R2177">
            <v>54686940</v>
          </cell>
          <cell r="S2177">
            <v>0</v>
          </cell>
          <cell r="T2177">
            <v>0</v>
          </cell>
          <cell r="U2177">
            <v>54686940</v>
          </cell>
          <cell r="V2177">
            <v>54686940</v>
          </cell>
        </row>
        <row r="2178">
          <cell r="J2178">
            <v>1855</v>
          </cell>
          <cell r="K2178">
            <v>43224</v>
          </cell>
          <cell r="L2178" t="str">
            <v>FRANCELINA  DIAZ RINCON</v>
          </cell>
          <cell r="M2178">
            <v>31</v>
          </cell>
          <cell r="N2178" t="str">
            <v>RESOLUCION</v>
          </cell>
          <cell r="O2178">
            <v>1969</v>
          </cell>
          <cell r="P2178">
            <v>43224</v>
          </cell>
          <cell r="Q2178" t="str">
            <v>VUR DE LA ACTUAL VIGENCIA.DTO 255 DE 2013. LOCALIDAD:CIUDAD BOLIVAR; BARRIO:EL MOCHUELO II NORTE; ID:2015-Q09-03262</v>
          </cell>
          <cell r="R2178">
            <v>39062100</v>
          </cell>
          <cell r="S2178">
            <v>0</v>
          </cell>
          <cell r="T2178">
            <v>0</v>
          </cell>
          <cell r="U2178">
            <v>39062100</v>
          </cell>
          <cell r="V2178">
            <v>0</v>
          </cell>
        </row>
        <row r="2179">
          <cell r="J2179">
            <v>1857</v>
          </cell>
          <cell r="K2179">
            <v>43227</v>
          </cell>
          <cell r="L2179" t="str">
            <v>JAIRO  BARRERO DIAZ</v>
          </cell>
          <cell r="M2179">
            <v>31</v>
          </cell>
          <cell r="N2179" t="str">
            <v>RESOLUCION</v>
          </cell>
          <cell r="O2179">
            <v>2008</v>
          </cell>
          <cell r="P2179">
            <v>43227</v>
          </cell>
          <cell r="Q2179" t="str">
            <v>adquisición de mejoras por Dto. 511 de 2010. LOCALIDAD:CIUDAD BOLIVAR ; BARRIO:LOS TRES REYES I ETAPA;ID:2003-19-4556</v>
          </cell>
          <cell r="R2179">
            <v>7392000</v>
          </cell>
          <cell r="S2179">
            <v>0</v>
          </cell>
          <cell r="T2179">
            <v>0</v>
          </cell>
          <cell r="U2179">
            <v>7392000</v>
          </cell>
          <cell r="V2179">
            <v>0</v>
          </cell>
        </row>
        <row r="2180">
          <cell r="J2180">
            <v>1858</v>
          </cell>
          <cell r="K2180">
            <v>43227</v>
          </cell>
          <cell r="L2180" t="str">
            <v>JENNY CATALINA PINZON ZEA</v>
          </cell>
          <cell r="M2180">
            <v>31</v>
          </cell>
          <cell r="N2180" t="str">
            <v>RESOLUCION</v>
          </cell>
          <cell r="O2180">
            <v>1963</v>
          </cell>
          <cell r="P2180">
            <v>43227</v>
          </cell>
          <cell r="Q2180" t="str">
            <v>Asignacion del instrumento financiero a las familias ocupantes del predio que hayan superado la fase de verificacion dentro  del marco del Decreto 457 de 2017. LOCALIDAD: KENNEDY; BARRIO: VEREDITAS; ID: 2018-08-384319</v>
          </cell>
          <cell r="R2180">
            <v>54686940</v>
          </cell>
          <cell r="S2180">
            <v>0</v>
          </cell>
          <cell r="T2180">
            <v>0</v>
          </cell>
          <cell r="U2180">
            <v>54686940</v>
          </cell>
          <cell r="V2180">
            <v>54686940</v>
          </cell>
        </row>
        <row r="2181">
          <cell r="J2181">
            <v>1859</v>
          </cell>
          <cell r="K2181">
            <v>43227</v>
          </cell>
          <cell r="L2181" t="str">
            <v>MARIA FANNY PERDOMO AMAYA</v>
          </cell>
          <cell r="M2181">
            <v>31</v>
          </cell>
          <cell r="N2181" t="str">
            <v>RESOLUCION</v>
          </cell>
          <cell r="O2181">
            <v>2010</v>
          </cell>
          <cell r="P2181">
            <v>43227</v>
          </cell>
          <cell r="Q2181" t="str">
            <v>adquisición de mejoras por Dto. 511 de 2010. LOCALIDAD:CIUDAD BOLIVAR; BARRIO:PARAISO QUIBA; ID:2015-Q04-03691.</v>
          </cell>
          <cell r="R2181">
            <v>65920800</v>
          </cell>
          <cell r="S2181">
            <v>0</v>
          </cell>
          <cell r="T2181">
            <v>0</v>
          </cell>
          <cell r="U2181">
            <v>65920800</v>
          </cell>
          <cell r="V2181">
            <v>0</v>
          </cell>
        </row>
        <row r="2182">
          <cell r="J2182">
            <v>1860</v>
          </cell>
          <cell r="K2182">
            <v>43227</v>
          </cell>
          <cell r="L2182" t="str">
            <v>OVIDIO  MORALES MONSALVE</v>
          </cell>
          <cell r="M2182">
            <v>31</v>
          </cell>
          <cell r="N2182" t="str">
            <v>RESOLUCION</v>
          </cell>
          <cell r="O2182">
            <v>2005</v>
          </cell>
          <cell r="P2182">
            <v>43227</v>
          </cell>
          <cell r="Q2182" t="str">
            <v>Adquisición predial por Dto. 511 de 2010. LOCALIDAD:SAN CRISTOBAL; BARRIO:VILLA DEL CERRO; ID: 2015-Q20-01356</v>
          </cell>
          <cell r="R2182">
            <v>95276430</v>
          </cell>
          <cell r="S2182">
            <v>0</v>
          </cell>
          <cell r="T2182">
            <v>0</v>
          </cell>
          <cell r="U2182">
            <v>95276430</v>
          </cell>
          <cell r="V2182">
            <v>28582929</v>
          </cell>
        </row>
        <row r="2183">
          <cell r="J2183">
            <v>1861</v>
          </cell>
          <cell r="K2183">
            <v>43227</v>
          </cell>
          <cell r="L2183" t="str">
            <v>GONZALO  MUÑOZ GORDILLO</v>
          </cell>
          <cell r="M2183">
            <v>31</v>
          </cell>
          <cell r="N2183" t="str">
            <v>RESOLUCION</v>
          </cell>
          <cell r="O2183">
            <v>2009</v>
          </cell>
          <cell r="P2183">
            <v>43227</v>
          </cell>
          <cell r="Q2183" t="str">
            <v>Adquisición de mejoras por Dto. 511 de 2010. LOCALIDAD:CIUDAD BOLIVAR; BARRIO:ESPINO III; ID: 2012-ALES-198</v>
          </cell>
          <cell r="R2183">
            <v>4536000</v>
          </cell>
          <cell r="S2183">
            <v>0</v>
          </cell>
          <cell r="T2183">
            <v>0</v>
          </cell>
          <cell r="U2183">
            <v>4536000</v>
          </cell>
          <cell r="V2183">
            <v>0</v>
          </cell>
        </row>
        <row r="2184">
          <cell r="J2184">
            <v>1862</v>
          </cell>
          <cell r="K2184">
            <v>43227</v>
          </cell>
          <cell r="L2184" t="str">
            <v>BERNARDO  PALOMINO</v>
          </cell>
          <cell r="M2184">
            <v>31</v>
          </cell>
          <cell r="N2184" t="str">
            <v>RESOLUCION</v>
          </cell>
          <cell r="O2184">
            <v>2004</v>
          </cell>
          <cell r="P2184">
            <v>43227</v>
          </cell>
          <cell r="Q2184" t="str">
            <v>VUR de la actual vigencia.Dto 255 de 2013. LOCALIDAD:USME; BARRIO:ARRAYANES V; ID:2016-Q05-00003</v>
          </cell>
          <cell r="R2184">
            <v>39062100</v>
          </cell>
          <cell r="S2184">
            <v>0</v>
          </cell>
          <cell r="T2184">
            <v>0</v>
          </cell>
          <cell r="U2184">
            <v>39062100</v>
          </cell>
          <cell r="V2184">
            <v>0</v>
          </cell>
        </row>
        <row r="2185">
          <cell r="J2185">
            <v>1864</v>
          </cell>
          <cell r="K2185">
            <v>43227</v>
          </cell>
          <cell r="L2185" t="str">
            <v>SANTIAGO ELIAS CARDONA LOMDOÑO</v>
          </cell>
          <cell r="M2185">
            <v>31</v>
          </cell>
          <cell r="N2185" t="str">
            <v>RESOLUCION</v>
          </cell>
          <cell r="O2185">
            <v>2007</v>
          </cell>
          <cell r="P2185">
            <v>43227</v>
          </cell>
          <cell r="Q2185" t="str">
            <v>adquisición predial por Dto. 511 de 2010. LOCALIDAD:CIUDAD BOLIVAR; BARRIO:PARAISO QUIBA; ID:2013-Q04-00540.</v>
          </cell>
          <cell r="R2185">
            <v>30953090</v>
          </cell>
          <cell r="S2185">
            <v>0</v>
          </cell>
          <cell r="T2185">
            <v>0</v>
          </cell>
          <cell r="U2185">
            <v>30953090</v>
          </cell>
          <cell r="V2185">
            <v>0</v>
          </cell>
        </row>
        <row r="2186">
          <cell r="J2186">
            <v>1865</v>
          </cell>
          <cell r="K2186">
            <v>43228</v>
          </cell>
          <cell r="L2186" t="str">
            <v>TAILOR  MOYA OPUA</v>
          </cell>
          <cell r="M2186">
            <v>31</v>
          </cell>
          <cell r="N2186" t="str">
            <v>RESOLUCION</v>
          </cell>
          <cell r="O2186">
            <v>1943</v>
          </cell>
          <cell r="P2186">
            <v>43228</v>
          </cell>
          <cell r="Q2186" t="str">
            <v>AYUDA TEMPORAL A LAS FAMILIAS DE VARIAS LOCALIDADES, PARA LA RELOCALIZACIÓN DE HOGARES LOCALIZADOS EN ZONAS DE ALTO RIESGO NO MITIGABLE ID:2015-W166-302, LOCALIDAD:19 CIUDAD BOLÍVAR, UPZ:67 LUCERO, SECTOR:WOUNAAN</v>
          </cell>
          <cell r="R2186">
            <v>4574630</v>
          </cell>
          <cell r="S2186">
            <v>0</v>
          </cell>
          <cell r="T2186">
            <v>0</v>
          </cell>
          <cell r="U2186">
            <v>4574630</v>
          </cell>
          <cell r="V2186">
            <v>1372389</v>
          </cell>
        </row>
        <row r="2187">
          <cell r="J2187">
            <v>1866</v>
          </cell>
          <cell r="K2187">
            <v>43228</v>
          </cell>
          <cell r="L2187" t="str">
            <v>CIRO ALBERTO OVALLE SAAVEDRA</v>
          </cell>
          <cell r="M2187">
            <v>31</v>
          </cell>
          <cell r="N2187" t="str">
            <v>RESOLUCION</v>
          </cell>
          <cell r="O2187">
            <v>1953</v>
          </cell>
          <cell r="P2187">
            <v>43228</v>
          </cell>
          <cell r="Q2187" t="str">
            <v>AYUDA TEMPORAL A LAS FAMILIAS DE VARIAS LOCALIDADES, PARA LA RELOCALIZACIÓN DE HOGARES LOCALIZADOS EN ZONAS DE ALTO RIESGO NO MITIGABLE ID:2010-1-11304, LOCALIDAD:01 USAQUÉN, UPZ:11 SAN CRISTÓBAL NORTE, SECTOR:OLA INVERNAL 2010 FOPAE</v>
          </cell>
          <cell r="R2187">
            <v>3874960</v>
          </cell>
          <cell r="S2187">
            <v>0</v>
          </cell>
          <cell r="T2187">
            <v>0</v>
          </cell>
          <cell r="U2187">
            <v>3874960</v>
          </cell>
          <cell r="V2187">
            <v>1453110</v>
          </cell>
        </row>
        <row r="2188">
          <cell r="J2188">
            <v>1867</v>
          </cell>
          <cell r="K2188">
            <v>43228</v>
          </cell>
          <cell r="L2188" t="str">
            <v>MARCO TULIO AVILA GARCIA</v>
          </cell>
          <cell r="M2188">
            <v>31</v>
          </cell>
          <cell r="N2188" t="str">
            <v>RESOLUCION</v>
          </cell>
          <cell r="O2188">
            <v>1954</v>
          </cell>
          <cell r="P2188">
            <v>43228</v>
          </cell>
          <cell r="Q2188" t="str">
            <v>AYUDA TEMPORAL A LAS FAMILIAS DE VARIAS LOCALIDADES, PARA LA RELOCALIZACIÓN DE HOGARES LOCALIZADOS EN ZONAS DE ALTO RIESGO NO MITIGABLE ID:2012-19-13889, LOCALIDAD:19 CIUDAD BOLÍVAR, UPZ:67 LUCERO, SECTOR:</v>
          </cell>
          <cell r="R2188">
            <v>3124968</v>
          </cell>
          <cell r="S2188">
            <v>0</v>
          </cell>
          <cell r="T2188">
            <v>0</v>
          </cell>
          <cell r="U2188">
            <v>3124968</v>
          </cell>
          <cell r="V2188">
            <v>1171863</v>
          </cell>
        </row>
        <row r="2189">
          <cell r="J2189">
            <v>1868</v>
          </cell>
          <cell r="K2189">
            <v>43228</v>
          </cell>
          <cell r="L2189" t="str">
            <v>CINDY PAOLA MARTINEZ ECHEVERRY</v>
          </cell>
          <cell r="M2189">
            <v>31</v>
          </cell>
          <cell r="N2189" t="str">
            <v>RESOLUCION</v>
          </cell>
          <cell r="O2189">
            <v>1980</v>
          </cell>
          <cell r="P2189">
            <v>43228</v>
          </cell>
          <cell r="Q2189" t="str">
            <v>AYUDA TEMPORAL A LAS FAMILIAS DE VARIAS LOCALIDADES, PARA LA RELOCALIZACIÓN DE HOGARES LOCALIZADOS EN ZONAS DE ALTO RIESGO NO MITIGABLE ID:2016-08-14805, LOCALIDAD:08 KENNEDY, UPZ:82 PATIO BONITO, SECTOR:PALMITAS</v>
          </cell>
          <cell r="R2189">
            <v>1829540</v>
          </cell>
          <cell r="S2189">
            <v>0</v>
          </cell>
          <cell r="T2189">
            <v>0</v>
          </cell>
          <cell r="U2189">
            <v>1829540</v>
          </cell>
          <cell r="V2189">
            <v>1372155</v>
          </cell>
        </row>
        <row r="2190">
          <cell r="J2190">
            <v>1869</v>
          </cell>
          <cell r="K2190">
            <v>43228</v>
          </cell>
          <cell r="L2190" t="str">
            <v>MARIA NUBIA CALERO CORRALES</v>
          </cell>
          <cell r="M2190">
            <v>31</v>
          </cell>
          <cell r="N2190" t="str">
            <v>RESOLUCION</v>
          </cell>
          <cell r="O2190">
            <v>1481</v>
          </cell>
          <cell r="P2190">
            <v>43228</v>
          </cell>
          <cell r="Q2190" t="str">
            <v>AYUDA TEMPORAL A LAS FAMILIAS DE VARIAS LOCALIDADES, PARA RELOCALIZACIÓN DE HOGARES LOCALIZADOS EN ZONAS DE ALTO RIESGO NO MITIGABLE ID:2011-19-12582, LOCALIDAD:19 CIUDAD BOLÍVAR, UPZ:67 LUCERO, SECTOR:LIMAS</v>
          </cell>
          <cell r="R2190">
            <v>3383254</v>
          </cell>
          <cell r="S2190">
            <v>0</v>
          </cell>
          <cell r="T2190">
            <v>0</v>
          </cell>
          <cell r="U2190">
            <v>3383254</v>
          </cell>
          <cell r="V2190">
            <v>966644</v>
          </cell>
        </row>
        <row r="2191">
          <cell r="J2191">
            <v>1870</v>
          </cell>
          <cell r="K2191">
            <v>43228</v>
          </cell>
          <cell r="L2191" t="str">
            <v>JOSE MIGUEL SANABRIA ZAPATA</v>
          </cell>
          <cell r="M2191">
            <v>31</v>
          </cell>
          <cell r="N2191" t="str">
            <v>RESOLUCION</v>
          </cell>
          <cell r="O2191">
            <v>1984</v>
          </cell>
          <cell r="P2191">
            <v>43228</v>
          </cell>
          <cell r="Q2191" t="str">
            <v>AYUDA TEMPORAL A LAS FAMILIAS DE VARIAS LOCALIDADES, PARA LA RELOCALIZACIÓN DE HOGARES LOCALIZADOS EN ZONAS DE ALTO RIESGO NO MITIGABLE ID:2014-OTR-00960, LOCALIDAD:19 CIUDAD BOLÍVAR, UPZ:67 LUCERO, SECTOR:TABOR ALTALOMA</v>
          </cell>
          <cell r="R2191">
            <v>4562456</v>
          </cell>
          <cell r="S2191">
            <v>0</v>
          </cell>
          <cell r="T2191">
            <v>0</v>
          </cell>
          <cell r="U2191">
            <v>4562456</v>
          </cell>
          <cell r="V2191">
            <v>1710921</v>
          </cell>
        </row>
        <row r="2192">
          <cell r="J2192">
            <v>1871</v>
          </cell>
          <cell r="K2192">
            <v>43228</v>
          </cell>
          <cell r="L2192" t="str">
            <v>MARLEN  RUBIO AYA</v>
          </cell>
          <cell r="M2192">
            <v>31</v>
          </cell>
          <cell r="N2192" t="str">
            <v>RESOLUCION</v>
          </cell>
          <cell r="O2192">
            <v>1910</v>
          </cell>
          <cell r="P2192">
            <v>43228</v>
          </cell>
          <cell r="Q2192" t="str">
            <v>AYUDA TEMPORAL A LAS FAMILIAS DE VARIAS LOCALIDADES, PARA LA RELOCALIZACIÓN DE HOGARES LOCALIZADOS EN ZONAS DE ALTO RIESGO NO MITIGABLE ID:2012-4-14335, LOCALIDAD:04 SAN CRISTÓBAL, UPZ:50 LA GLORIA.</v>
          </cell>
          <cell r="R2192">
            <v>3659080</v>
          </cell>
          <cell r="S2192">
            <v>0</v>
          </cell>
          <cell r="T2192">
            <v>0</v>
          </cell>
          <cell r="U2192">
            <v>3659080</v>
          </cell>
          <cell r="V2192">
            <v>1372155</v>
          </cell>
        </row>
        <row r="2193">
          <cell r="J2193">
            <v>1872</v>
          </cell>
          <cell r="K2193">
            <v>43228</v>
          </cell>
          <cell r="L2193" t="str">
            <v>HENRY  ALVAREZ</v>
          </cell>
          <cell r="M2193">
            <v>31</v>
          </cell>
          <cell r="N2193" t="str">
            <v>RESOLUCION</v>
          </cell>
          <cell r="O2193">
            <v>1911</v>
          </cell>
          <cell r="P2193">
            <v>43228</v>
          </cell>
          <cell r="Q2193" t="str">
            <v>AYUDA TEMPORAL A LAS FAMILIAS DE VARIAS LOCALIDADES, PARA LA RELOCALIZACIÓN DE HOGARES LOCALIZADOS EN ZONAS DE ALTO RIESGO NO MITIGABLE ID:2015-D227-00060, LOCALIDAD:04 SAN CRISTÓBAL, UPZ:51 LOS LIBERTADORES, SECTOR:SANTA TERESITA</v>
          </cell>
          <cell r="R2193">
            <v>2213148</v>
          </cell>
          <cell r="S2193">
            <v>0</v>
          </cell>
          <cell r="T2193">
            <v>0</v>
          </cell>
          <cell r="U2193">
            <v>2213148</v>
          </cell>
          <cell r="V2193">
            <v>1106574</v>
          </cell>
        </row>
        <row r="2194">
          <cell r="J2194">
            <v>1873</v>
          </cell>
          <cell r="K2194">
            <v>43228</v>
          </cell>
          <cell r="L2194" t="str">
            <v>ADRIAN MARCELO ESPITIA SAGANOME</v>
          </cell>
          <cell r="M2194">
            <v>31</v>
          </cell>
          <cell r="N2194" t="str">
            <v>RESOLUCION</v>
          </cell>
          <cell r="O2194">
            <v>2015</v>
          </cell>
          <cell r="P2194">
            <v>43228</v>
          </cell>
          <cell r="Q2194" t="str">
            <v>AYUDA TEMPORAL A LAS FAMILIAS DE VARIAS LOCALIDADES, PARA LA RELOCALIZACIÓN DE HOGARES LOCALIZADOS EN ZONAS DE ALTO RIESGO NO MITIGABLE ID:2014-OTR-01256, LOCALIDAD:11 SUBA, UPZ:71 TIBABUYES, SECTOR:GAVILANES</v>
          </cell>
          <cell r="R2194">
            <v>3143912</v>
          </cell>
          <cell r="S2194">
            <v>0</v>
          </cell>
          <cell r="T2194">
            <v>0</v>
          </cell>
          <cell r="U2194">
            <v>3143912</v>
          </cell>
          <cell r="V2194">
            <v>1178967</v>
          </cell>
        </row>
        <row r="2195">
          <cell r="J2195">
            <v>1874</v>
          </cell>
          <cell r="K2195">
            <v>43228</v>
          </cell>
          <cell r="L2195" t="str">
            <v>RUTH ZAFIR ROJAS CASTILLO</v>
          </cell>
          <cell r="M2195">
            <v>31</v>
          </cell>
          <cell r="N2195" t="str">
            <v>RESOLUCION</v>
          </cell>
          <cell r="O2195">
            <v>2016</v>
          </cell>
          <cell r="P2195">
            <v>43228</v>
          </cell>
          <cell r="Q2195" t="str">
            <v>AYUDA TEMPORAL A LAS FAMILIAS DE VARIAS LOCALIDADES, PARA LA RELOCALIZACIÓN DE HOGARES LOCALIZADOS EN ZONAS DE ALTO RIESGO NO MITIGABLE ID:2015-Q20-01326, LOCALIDAD:04 SAN CRISTÓBAL, UPZ:50 LA GLORIA, SECTOR:LA CHIGUAZA</v>
          </cell>
          <cell r="R2195">
            <v>4499952</v>
          </cell>
          <cell r="S2195">
            <v>0</v>
          </cell>
          <cell r="T2195">
            <v>0</v>
          </cell>
          <cell r="U2195">
            <v>4499952</v>
          </cell>
          <cell r="V2195">
            <v>1687482</v>
          </cell>
        </row>
        <row r="2196">
          <cell r="J2196">
            <v>1875</v>
          </cell>
          <cell r="K2196">
            <v>43228</v>
          </cell>
          <cell r="L2196" t="str">
            <v>CLAUDIA CATALINA CASTILLO</v>
          </cell>
          <cell r="M2196">
            <v>31</v>
          </cell>
          <cell r="N2196" t="str">
            <v>RESOLUCION</v>
          </cell>
          <cell r="O2196">
            <v>1913</v>
          </cell>
          <cell r="P2196">
            <v>43228</v>
          </cell>
          <cell r="Q2196" t="str">
            <v>AYUDA TEMPORAL A LAS FAMILIAS DE VARIAS LOCALIDADES, PARA LA RELOCALIZACIÓN DE HOGARES LOCALIZADOS EN ZONAS DE ALTO RIESGO NO MITIGABLE ID:2013-Q21-00594, LOCALIDAD: 19 CIUDAD BOLIVAR, UPZ: 67 LUCERO, SECTOR: BRAZO DERECHO DE LIMAS</v>
          </cell>
          <cell r="R2196">
            <v>2744310</v>
          </cell>
          <cell r="S2196">
            <v>0</v>
          </cell>
          <cell r="T2196">
            <v>0</v>
          </cell>
          <cell r="U2196">
            <v>2744310</v>
          </cell>
          <cell r="V2196">
            <v>914770</v>
          </cell>
        </row>
        <row r="2197">
          <cell r="J2197">
            <v>1876</v>
          </cell>
          <cell r="K2197">
            <v>43228</v>
          </cell>
          <cell r="L2197" t="str">
            <v>JESUS MARIO MERCAZA CHAMAPURO</v>
          </cell>
          <cell r="M2197">
            <v>31</v>
          </cell>
          <cell r="N2197" t="str">
            <v>RESOLUCION</v>
          </cell>
          <cell r="O2197">
            <v>1914</v>
          </cell>
          <cell r="P2197">
            <v>43228</v>
          </cell>
          <cell r="Q2197" t="str">
            <v>AYUDA TEMPORAL A LAS FAMILIAS DE VARIAS LOCALIDADES, PARA LA RELOCALIZACIÓN DE HOGARES LOCALIZADOS EN ZONAS DE ALTO RIESGO NO MITIGABLE ID:2015-W166-422, LOCALIDAD:19 CIUDAD BOLÍVAR, UPZ:67 LUCERO, SECTOR:WOUNAAN</v>
          </cell>
          <cell r="R2197">
            <v>1082528</v>
          </cell>
          <cell r="S2197">
            <v>541264</v>
          </cell>
          <cell r="T2197">
            <v>0</v>
          </cell>
          <cell r="U2197">
            <v>541264</v>
          </cell>
          <cell r="V2197">
            <v>541264</v>
          </cell>
        </row>
        <row r="2198">
          <cell r="J2198">
            <v>1877</v>
          </cell>
          <cell r="K2198">
            <v>43228</v>
          </cell>
          <cell r="L2198" t="str">
            <v>YEIMMY AIDEE MOYANO ESPINOSA</v>
          </cell>
          <cell r="M2198">
            <v>31</v>
          </cell>
          <cell r="N2198" t="str">
            <v>RESOLUCION</v>
          </cell>
          <cell r="O2198">
            <v>2017</v>
          </cell>
          <cell r="P2198">
            <v>43228</v>
          </cell>
          <cell r="Q2198" t="str">
            <v>AYUDA TEMPORAL A LAS FAMILIAS DE VARIAS LOCALIDADES, PARA LA RELOCALIZACIÓN DE HOGARES LOCALIZADOS EN ZONAS DE ALTO RIESGO NO MITIGABLE ID:2011-4-13626, LOCALIDAD:04 SAN CRISTÓBAL, UPZ:32 SAN BLAS,</v>
          </cell>
          <cell r="R2198">
            <v>3515589</v>
          </cell>
          <cell r="S2198">
            <v>0</v>
          </cell>
          <cell r="T2198">
            <v>0</v>
          </cell>
          <cell r="U2198">
            <v>3515589</v>
          </cell>
          <cell r="V2198">
            <v>1171863</v>
          </cell>
        </row>
        <row r="2199">
          <cell r="J2199">
            <v>1878</v>
          </cell>
          <cell r="K2199">
            <v>43228</v>
          </cell>
          <cell r="L2199" t="str">
            <v>DOSITEO  MORENO</v>
          </cell>
          <cell r="M2199">
            <v>31</v>
          </cell>
          <cell r="N2199" t="str">
            <v>RESOLUCION</v>
          </cell>
          <cell r="O2199">
            <v>1915</v>
          </cell>
          <cell r="P2199">
            <v>43228</v>
          </cell>
          <cell r="Q2199" t="str">
            <v>AYUDA TEMPORAL A LAS FAMILIAS DE VARIAS LOCALIDADES, PARA LA RELOCALIZACIÓN DE HOGARES LOCALIZADOS EN ZONAS DE ALTO RIESGO NO MITIGABLE ID:2013000131, LOCALIDAD:04 SAN CRISTÓBAL, UPZ:51 LOS LIBERTADORES, SECTOR:QUEBRADA VEREJONES</v>
          </cell>
          <cell r="R2199">
            <v>4429638</v>
          </cell>
          <cell r="S2199">
            <v>0</v>
          </cell>
          <cell r="T2199">
            <v>0</v>
          </cell>
          <cell r="U2199">
            <v>4429638</v>
          </cell>
          <cell r="V2199">
            <v>1476546</v>
          </cell>
        </row>
        <row r="2200">
          <cell r="J2200">
            <v>1879</v>
          </cell>
          <cell r="K2200">
            <v>43228</v>
          </cell>
          <cell r="L2200" t="str">
            <v>JAVIER  CORTES SANCHEZ</v>
          </cell>
          <cell r="M2200">
            <v>31</v>
          </cell>
          <cell r="N2200" t="str">
            <v>RESOLUCION</v>
          </cell>
          <cell r="O2200">
            <v>1916</v>
          </cell>
          <cell r="P2200">
            <v>43228</v>
          </cell>
          <cell r="Q2200" t="str">
            <v>AYUDA TEMPORAL A LAS FAMILIAS DE VARIAS LOCALIDADES, PARA LA RELOCALIZACIÓN DE HOGARES LOCALIZADOS EN ZONAS DE ALTO RIESGO NO MITIGABLE ID:2011-18-13403, LOCALIDAD:18 RAFAEL URIBE URIBE, UPZ:55 DIANA TURBAY</v>
          </cell>
          <cell r="R2200">
            <v>4001913</v>
          </cell>
          <cell r="S2200">
            <v>0</v>
          </cell>
          <cell r="T2200">
            <v>0</v>
          </cell>
          <cell r="U2200">
            <v>4001913</v>
          </cell>
          <cell r="V2200">
            <v>1778628</v>
          </cell>
        </row>
        <row r="2201">
          <cell r="J2201">
            <v>1880</v>
          </cell>
          <cell r="K2201">
            <v>43229</v>
          </cell>
          <cell r="L2201" t="str">
            <v>JENNY MARITZA JAJOY JANSASOY</v>
          </cell>
          <cell r="M2201">
            <v>31</v>
          </cell>
          <cell r="N2201" t="str">
            <v>RESOLUCION</v>
          </cell>
          <cell r="O2201">
            <v>1917</v>
          </cell>
          <cell r="P2201">
            <v>43229</v>
          </cell>
          <cell r="Q2201" t="str">
            <v>AYUDA TEMPORAL A LAS FAMILIAS DE VARIAS LOCALIDADES, PARA LA RELOCALIZACIÓN DE HOGARES LOCALIZADOS EN ZONAS DE ALTO RIESGO NO MITIGABLE ID:2014-C01-00689, LOCALIDAD:19 CIUDAD BOLÍVAR, UPZ:68 EL TESORO, SECTOR:</v>
          </cell>
          <cell r="R2201">
            <v>4324509</v>
          </cell>
          <cell r="S2201">
            <v>0</v>
          </cell>
          <cell r="T2201">
            <v>0</v>
          </cell>
          <cell r="U2201">
            <v>4324509</v>
          </cell>
          <cell r="V2201">
            <v>1441503</v>
          </cell>
        </row>
        <row r="2202">
          <cell r="J2202">
            <v>1881</v>
          </cell>
          <cell r="K2202">
            <v>43229</v>
          </cell>
          <cell r="L2202" t="str">
            <v>SARA MABEL CASTILLO NUÑEZ</v>
          </cell>
          <cell r="M2202">
            <v>31</v>
          </cell>
          <cell r="N2202" t="str">
            <v>RESOLUCION</v>
          </cell>
          <cell r="O2202">
            <v>1918</v>
          </cell>
          <cell r="P2202">
            <v>43229</v>
          </cell>
          <cell r="Q2202" t="str">
            <v>AYUDA TEMPORAL A LAS FAMILIAS DE VARIAS LOCALIDADES, PARA LA RELOCALIZACIÓN DE HOGARES LOCALIZADOS EN ZONAS DE ALTO RIESGO NO MITIGABLE ID:2016-08-14885, LOCALIDAD:08 KENNEDY, UPZ:82 PATIO BONITO, SECTOR:PALMITAS</v>
          </cell>
          <cell r="R2202">
            <v>3836128</v>
          </cell>
          <cell r="S2202">
            <v>0</v>
          </cell>
          <cell r="T2202">
            <v>0</v>
          </cell>
          <cell r="U2202">
            <v>3836128</v>
          </cell>
          <cell r="V2202">
            <v>1438548</v>
          </cell>
        </row>
        <row r="2203">
          <cell r="J2203">
            <v>1882</v>
          </cell>
          <cell r="K2203">
            <v>43229</v>
          </cell>
          <cell r="L2203" t="str">
            <v>MAGOLA  VALENCIA ARIAS</v>
          </cell>
          <cell r="M2203">
            <v>31</v>
          </cell>
          <cell r="N2203" t="str">
            <v>RESOLUCION</v>
          </cell>
          <cell r="O2203">
            <v>1919</v>
          </cell>
          <cell r="P2203">
            <v>43229</v>
          </cell>
          <cell r="Q2203" t="str">
            <v>AYUDA TEMPORAL A LAS FAMILIAS DE VARIAS LOCALIDADES, PARA LA RELOCALIZACIÓN DE HOGARES LOCALIZADOS EN ZONAS DE ALTO RIESGO NO MITIGABLE ID:2011-18-13455, LOCALIDAD:18 RAFAEL URIBE URIBE, UPZ:55 DIANA TURBAY, SECTOR:</v>
          </cell>
          <cell r="R2203">
            <v>3124968</v>
          </cell>
          <cell r="S2203">
            <v>0</v>
          </cell>
          <cell r="T2203">
            <v>0</v>
          </cell>
          <cell r="U2203">
            <v>3124968</v>
          </cell>
          <cell r="V2203">
            <v>1171863</v>
          </cell>
        </row>
        <row r="2204">
          <cell r="J2204">
            <v>1883</v>
          </cell>
          <cell r="K2204">
            <v>43229</v>
          </cell>
          <cell r="L2204" t="str">
            <v>SANDRA PATRICIA MENDEZ VELANDIA</v>
          </cell>
          <cell r="M2204">
            <v>31</v>
          </cell>
          <cell r="N2204" t="str">
            <v>RESOLUCION</v>
          </cell>
          <cell r="O2204">
            <v>1920</v>
          </cell>
          <cell r="P2204">
            <v>43229</v>
          </cell>
          <cell r="Q2204" t="str">
            <v>AYUDA TEMPORAL A LAS FAMILIAS DE VARIAS LOCALIDADES, PARA LA RELOCALIZACIÓN DE HOGARES LOCALIZADOS EN ZONAS DE ALTO RIESGO NO MITIGABLE ID:2011-4-12650, LOCALIDAD:04 SAN CRISTÓBAL, UPZ:32 SAN BLAS, SECTOR:</v>
          </cell>
          <cell r="R2204">
            <v>3659080</v>
          </cell>
          <cell r="S2204">
            <v>0</v>
          </cell>
          <cell r="T2204">
            <v>0</v>
          </cell>
          <cell r="U2204">
            <v>3659080</v>
          </cell>
          <cell r="V2204">
            <v>1372155</v>
          </cell>
        </row>
        <row r="2205">
          <cell r="J2205">
            <v>1884</v>
          </cell>
          <cell r="K2205">
            <v>43229</v>
          </cell>
          <cell r="L2205" t="str">
            <v>MARIA RITA ESPEJO DIAZ</v>
          </cell>
          <cell r="M2205">
            <v>31</v>
          </cell>
          <cell r="N2205" t="str">
            <v>RESOLUCION</v>
          </cell>
          <cell r="O2205">
            <v>1936</v>
          </cell>
          <cell r="P2205">
            <v>43229</v>
          </cell>
          <cell r="Q2205" t="str">
            <v>AYUDA TEMPORAL A LAS FAMILIAS DE VARIAS LOCALIDADES, PARA LA RELOCALIZACIÓN DE HOGARES LOCALIZADOS EN ZONAS DE ALTO RIESGO NO MITIGABLE ID:2013-Q21-00663, LOCALIDAD:19 CIUDAD BOLÍVAR, UPZ:67 LUCERO, SECTOR:BRAZO DERECHO DE LIMAS</v>
          </cell>
          <cell r="R2205">
            <v>3374968</v>
          </cell>
          <cell r="S2205">
            <v>0</v>
          </cell>
          <cell r="T2205">
            <v>0</v>
          </cell>
          <cell r="U2205">
            <v>3374968</v>
          </cell>
          <cell r="V2205">
            <v>1265613</v>
          </cell>
        </row>
        <row r="2206">
          <cell r="J2206">
            <v>1885</v>
          </cell>
          <cell r="K2206">
            <v>43229</v>
          </cell>
          <cell r="L2206" t="str">
            <v>KENDRY ROBERT MIRANDA</v>
          </cell>
          <cell r="M2206">
            <v>31</v>
          </cell>
          <cell r="N2206" t="str">
            <v>RESOLUCION</v>
          </cell>
          <cell r="O2206">
            <v>1937</v>
          </cell>
          <cell r="P2206">
            <v>43229</v>
          </cell>
          <cell r="Q2206" t="str">
            <v>AYUDA TEMPORAL A LAS FAMILIAS DE VARIAS LOCALIDADES, PARA LA RELOCALIZACIÓN DE HOGARES LOCALIZADOS EN ZONAS DE ALTO RIESGO NO MITIGABLE ID:2014-OTR-01100, LOCALIDAD:19 CIUDAD BOLÍVAR, UPZ:67 LUCERO, SECTOR:TABOR ALTALOMA</v>
          </cell>
          <cell r="R2206">
            <v>2734347</v>
          </cell>
          <cell r="S2206">
            <v>0</v>
          </cell>
          <cell r="T2206">
            <v>0</v>
          </cell>
          <cell r="U2206">
            <v>2734347</v>
          </cell>
          <cell r="V2206">
            <v>1171863</v>
          </cell>
        </row>
        <row r="2207">
          <cell r="J2207">
            <v>1886</v>
          </cell>
          <cell r="K2207">
            <v>43229</v>
          </cell>
          <cell r="L2207" t="str">
            <v>WILLIAM GERMAN ROJAS RUIZ</v>
          </cell>
          <cell r="M2207">
            <v>31</v>
          </cell>
          <cell r="N2207" t="str">
            <v>RESOLUCION</v>
          </cell>
          <cell r="O2207">
            <v>1938</v>
          </cell>
          <cell r="P2207">
            <v>43229</v>
          </cell>
          <cell r="Q2207" t="str">
            <v>AYUDA TEMPORAL A LAS FAMILIAS DE VARIAS LOCALIDADES, PARA LA RELOCALIZACIÓN DE HOGARES LOCALIZADOS EN ZONAS DE ALTO RIESGO NO MITIGABLE ID:2013-Q17-00041, LOCALIDAD:19 CIUDAD BOLÍVAR, UPZ:67 LUCERO, SECTOR:QUEBRADA EL INFIERNO</v>
          </cell>
          <cell r="R2207">
            <v>3448000</v>
          </cell>
          <cell r="S2207">
            <v>0</v>
          </cell>
          <cell r="T2207">
            <v>0</v>
          </cell>
          <cell r="U2207">
            <v>3448000</v>
          </cell>
          <cell r="V2207">
            <v>1293000</v>
          </cell>
        </row>
        <row r="2208">
          <cell r="J2208">
            <v>1887</v>
          </cell>
          <cell r="K2208">
            <v>43229</v>
          </cell>
          <cell r="L2208" t="str">
            <v>MARIA GLADYS MONTERO LEON</v>
          </cell>
          <cell r="M2208">
            <v>31</v>
          </cell>
          <cell r="N2208" t="str">
            <v>RESOLUCION</v>
          </cell>
          <cell r="O2208">
            <v>1939</v>
          </cell>
          <cell r="P2208">
            <v>43229</v>
          </cell>
          <cell r="Q2208" t="str">
            <v>AYUDA TEMPORAL A LAS FAMILIAS DE VARIAS LOCALIDADES, PARA LA RELOCALIZACIÓN DE HOGARES LOCALIZADOS EN ZONAS DE ALTO RIESGO NO MITIGABLE ID:2012-5-14015, LOCALIDAD:05 USME, UPZ:56 DANUBIO, SECTOR:</v>
          </cell>
          <cell r="R2208">
            <v>3342144</v>
          </cell>
          <cell r="S2208">
            <v>0</v>
          </cell>
          <cell r="T2208">
            <v>0</v>
          </cell>
          <cell r="U2208">
            <v>3342144</v>
          </cell>
          <cell r="V2208">
            <v>1253304</v>
          </cell>
        </row>
        <row r="2209">
          <cell r="J2209">
            <v>1888</v>
          </cell>
          <cell r="K2209">
            <v>43229</v>
          </cell>
          <cell r="L2209" t="str">
            <v>LUIS CARLOS RESTREPO TORRES</v>
          </cell>
          <cell r="M2209">
            <v>31</v>
          </cell>
          <cell r="N2209" t="str">
            <v>RESOLUCION</v>
          </cell>
          <cell r="O2209">
            <v>1940</v>
          </cell>
          <cell r="P2209">
            <v>43229</v>
          </cell>
          <cell r="Q2209" t="str">
            <v>AYUDA TEMPORAL A LAS FAMILIAS DE VARIAS LOCALIDADES, PARA LA RELOCALIZACIÓN DE HOGARES LOCALIZADOS EN ZONAS DE ALTO RIESGO NO MITIGABLE ID:2011-19-13702, LOCALIDAD:19 CIUDAD BOLÍVAR, UPZ:67 LUCERO, SECTOR:</v>
          </cell>
          <cell r="R2209">
            <v>3557256</v>
          </cell>
          <cell r="S2209">
            <v>0</v>
          </cell>
          <cell r="T2209">
            <v>0</v>
          </cell>
          <cell r="U2209">
            <v>3557256</v>
          </cell>
          <cell r="V2209">
            <v>1333971</v>
          </cell>
        </row>
        <row r="2210">
          <cell r="J2210">
            <v>1890</v>
          </cell>
          <cell r="K2210">
            <v>43229</v>
          </cell>
          <cell r="L2210" t="str">
            <v>TELMO  ISMARE PIRAZA</v>
          </cell>
          <cell r="M2210">
            <v>31</v>
          </cell>
          <cell r="N2210" t="str">
            <v>RESOLUCION</v>
          </cell>
          <cell r="O2210">
            <v>2027</v>
          </cell>
          <cell r="P2210">
            <v>43229</v>
          </cell>
          <cell r="Q2210" t="str">
            <v>AYUDA TEMPORAL A LAS FAMILIAS DE VARIAS LOCALIDADES, PARA LA RELOCALIZACIÓN DE HOGARES LOCALIZADOS EN ZONAS DE ALTO RIESGO NO MITIGABLE ID:2014-W166-093, LOCALIDAD:19 CIUDAD BOLÍVAR, UPZ:68 EL TESORO, SECTOR:WOUNAAN</v>
          </cell>
          <cell r="R2210">
            <v>5754190</v>
          </cell>
          <cell r="S2210">
            <v>0</v>
          </cell>
          <cell r="T2210">
            <v>0</v>
          </cell>
          <cell r="U2210">
            <v>5754190</v>
          </cell>
          <cell r="V2210">
            <v>2301676</v>
          </cell>
        </row>
        <row r="2211">
          <cell r="J2211">
            <v>1891</v>
          </cell>
          <cell r="K2211">
            <v>43230</v>
          </cell>
          <cell r="L2211" t="str">
            <v>SANDRA YANET PARRA RODRIGUEZ</v>
          </cell>
          <cell r="M2211">
            <v>31</v>
          </cell>
          <cell r="N2211" t="str">
            <v>RESOLUCION</v>
          </cell>
          <cell r="O2211">
            <v>1968</v>
          </cell>
          <cell r="P2211">
            <v>43230</v>
          </cell>
          <cell r="Q2211" t="str">
            <v>VUR de la actual vigencia (Asignacion primera vez).Dto 255 de 2013. LOCALIDAD:CIUDAD BOLIVAR; BARRIO:PARAISO QUIBA; ID:2014-Q21-00711</v>
          </cell>
          <cell r="R2211">
            <v>39062100</v>
          </cell>
          <cell r="S2211">
            <v>0</v>
          </cell>
          <cell r="T2211">
            <v>0</v>
          </cell>
          <cell r="U2211">
            <v>39062100</v>
          </cell>
          <cell r="V2211">
            <v>0</v>
          </cell>
        </row>
        <row r="2212">
          <cell r="J2212">
            <v>1892</v>
          </cell>
          <cell r="K2212">
            <v>43230</v>
          </cell>
          <cell r="L2212" t="str">
            <v>MARIA ISABEL MORENO GARZON</v>
          </cell>
          <cell r="M2212">
            <v>31</v>
          </cell>
          <cell r="N2212" t="str">
            <v>RESOLUCION</v>
          </cell>
          <cell r="O2212">
            <v>2032</v>
          </cell>
          <cell r="P2212">
            <v>43230</v>
          </cell>
          <cell r="Q2212" t="str">
            <v>AYUDA TEMPORAL A LAS FAMILIAS DE VARIAS LOCALIDADES, PARA LA RELOCALIZACIÓN DE HOGARES LOCALIZADOS EN ZONAS DE ALTO RIESGO NO MITIGABLE ID:2013-Q06-00011, LOCALIDAD:19 CIUDAD BOLÍVAR, UPZ:67 LUCERO, SECTOR:QUEBRADA CAÑO BAÚL</v>
          </cell>
          <cell r="R2212">
            <v>3448000</v>
          </cell>
          <cell r="S2212">
            <v>0</v>
          </cell>
          <cell r="T2212">
            <v>0</v>
          </cell>
          <cell r="U2212">
            <v>3448000</v>
          </cell>
          <cell r="V2212">
            <v>1293000</v>
          </cell>
        </row>
        <row r="2213">
          <cell r="J2213">
            <v>1893</v>
          </cell>
          <cell r="K2213">
            <v>43230</v>
          </cell>
          <cell r="L2213" t="str">
            <v>SANDRA YANETH CASANOVA LOPEZ</v>
          </cell>
          <cell r="M2213">
            <v>31</v>
          </cell>
          <cell r="N2213" t="str">
            <v>RESOLUCION</v>
          </cell>
          <cell r="O2213">
            <v>1853</v>
          </cell>
          <cell r="P2213">
            <v>43230</v>
          </cell>
          <cell r="Q2213" t="str">
            <v>AYUDA TEMPORAL A LAS FAMILIAS DE VARIAS LOCALIDADES, PARA LA RELOCALIZACIÓN DE HOGARES LOCALIZADOS EN ZONAS DE ALTO RIESGO NO MITIGABLE ID:2011-4-12681, LOCALIDAD:04 SAN CRISTÓBAL, UPZ:32 SAN BLAS</v>
          </cell>
          <cell r="R2213">
            <v>4679092</v>
          </cell>
          <cell r="S2213">
            <v>0</v>
          </cell>
          <cell r="T2213">
            <v>0</v>
          </cell>
          <cell r="U2213">
            <v>4679092</v>
          </cell>
          <cell r="V2213">
            <v>1276116</v>
          </cell>
        </row>
        <row r="2214">
          <cell r="J2214">
            <v>1894</v>
          </cell>
          <cell r="K2214">
            <v>43230</v>
          </cell>
          <cell r="L2214" t="str">
            <v>JULY JOHANNA USMA USMA</v>
          </cell>
          <cell r="M2214">
            <v>31</v>
          </cell>
          <cell r="N2214" t="str">
            <v>RESOLUCION</v>
          </cell>
          <cell r="O2214">
            <v>1912</v>
          </cell>
          <cell r="P2214">
            <v>43230</v>
          </cell>
          <cell r="Q2214" t="str">
            <v>AYUDA TEMPORAL A LAS FAMILIAS DE VARIAS LOCALIDADES, PARA LA RELOCALIZACIÓN DE HOGARES LOCALIZADOS EN ZONAS DE ALTO RIESGO NO MITIGABLE ID:2017-04-14980, LOCALIDAD:04 SAN CRISTÓBAL, UPZ:32 SAN BLAS</v>
          </cell>
          <cell r="R2214">
            <v>5468690</v>
          </cell>
          <cell r="S2214">
            <v>0</v>
          </cell>
          <cell r="T2214">
            <v>0</v>
          </cell>
          <cell r="U2214">
            <v>5468690</v>
          </cell>
          <cell r="V2214">
            <v>1640607</v>
          </cell>
        </row>
        <row r="2215">
          <cell r="J2215">
            <v>1908</v>
          </cell>
          <cell r="K2215">
            <v>43235</v>
          </cell>
          <cell r="L2215" t="str">
            <v>DIOMILA  SUAREZ MUINANE</v>
          </cell>
          <cell r="M2215">
            <v>31</v>
          </cell>
          <cell r="N2215" t="str">
            <v>RESOLUCION</v>
          </cell>
          <cell r="O2215">
            <v>2035</v>
          </cell>
          <cell r="P2215">
            <v>43235</v>
          </cell>
          <cell r="Q2215" t="str">
            <v>AYUDA TEMPORAL A LAS FAMILIAS DE VARIAS LOCALIDADES, PARA LA RELOCALIZACIÓN DE HOGARES LOCALIZADOS EN ZONAS DE ALTO RIESGO NO MITIGABLE ID:2015-W166-506, LOCALIDAD:03 SANTA FE, UPZ:92 LA MACARENA, SECTOR:UITOTO</v>
          </cell>
          <cell r="R2215">
            <v>5283690</v>
          </cell>
          <cell r="S2215">
            <v>0</v>
          </cell>
          <cell r="T2215">
            <v>0</v>
          </cell>
          <cell r="U2215">
            <v>5283690</v>
          </cell>
          <cell r="V2215">
            <v>1585107</v>
          </cell>
        </row>
        <row r="2216">
          <cell r="J2216">
            <v>1909</v>
          </cell>
          <cell r="K2216">
            <v>43235</v>
          </cell>
          <cell r="L2216" t="str">
            <v>ANA FLOR MARIN MEDELLIN</v>
          </cell>
          <cell r="M2216">
            <v>31</v>
          </cell>
          <cell r="N2216" t="str">
            <v>RESOLUCION</v>
          </cell>
          <cell r="O2216">
            <v>2034</v>
          </cell>
          <cell r="P2216">
            <v>43235</v>
          </cell>
          <cell r="Q2216" t="str">
            <v>AYUDA TEMPORAL A LAS FAMILIAS DE VARIAS LOCALIDADES, PARA LA RELOCALIZACIÓN DE HOGARES LOCALIZADOS EN ZONAS DE ALTO RIESGO NO MITIGABLE ID:2013-Q10-00425, LOCALIDAD:04 SAN CRISTÓBAL, UPZ:51 LOS LIBERTADORES, SECTOR:QUEBRADA VEREJONES</v>
          </cell>
          <cell r="R2216">
            <v>3249968</v>
          </cell>
          <cell r="S2216">
            <v>0</v>
          </cell>
          <cell r="T2216">
            <v>0</v>
          </cell>
          <cell r="U2216">
            <v>3249968</v>
          </cell>
          <cell r="V2216">
            <v>1218738</v>
          </cell>
        </row>
        <row r="2217">
          <cell r="J2217">
            <v>1913</v>
          </cell>
          <cell r="K2217">
            <v>43237</v>
          </cell>
          <cell r="L2217" t="str">
            <v>OSCAR MAURICIO MEDINA VARGAS</v>
          </cell>
          <cell r="M2217">
            <v>31</v>
          </cell>
          <cell r="N2217" t="str">
            <v>RESOLUCION</v>
          </cell>
          <cell r="O2217">
            <v>2072</v>
          </cell>
          <cell r="P2217">
            <v>43237</v>
          </cell>
          <cell r="Q2217" t="str">
            <v>Vur conforme al avalúo comercial.Dto 255 de 2013 . LOCALIDAD:USAQUEN; BARRIO:TIBABITA RURAL; ID: 2006-1-7963</v>
          </cell>
          <cell r="R2217">
            <v>8741700</v>
          </cell>
          <cell r="S2217">
            <v>0</v>
          </cell>
          <cell r="T2217">
            <v>0</v>
          </cell>
          <cell r="U2217">
            <v>8741700</v>
          </cell>
          <cell r="V2217">
            <v>0</v>
          </cell>
        </row>
        <row r="2218">
          <cell r="J2218">
            <v>1914</v>
          </cell>
          <cell r="K2218">
            <v>43237</v>
          </cell>
          <cell r="L2218" t="str">
            <v>ISABEL CRISTINA VARGAS CRISTANCHO</v>
          </cell>
          <cell r="M2218">
            <v>31</v>
          </cell>
          <cell r="N2218" t="str">
            <v>RESOLUCION</v>
          </cell>
          <cell r="O2218">
            <v>2070</v>
          </cell>
          <cell r="P2218">
            <v>43237</v>
          </cell>
          <cell r="Q2218" t="str">
            <v>adquisición predial por Dto. 511 de 2010. LOCALIDAD:SAN CRISTOBAL; BARRIO:MONTEBELLO; ID:2010-4-11874</v>
          </cell>
          <cell r="R2218">
            <v>240679600</v>
          </cell>
          <cell r="S2218">
            <v>0</v>
          </cell>
          <cell r="T2218">
            <v>0</v>
          </cell>
          <cell r="U2218">
            <v>240679600</v>
          </cell>
          <cell r="V2218">
            <v>72203880</v>
          </cell>
        </row>
        <row r="2219">
          <cell r="J2219">
            <v>1915</v>
          </cell>
          <cell r="K2219">
            <v>43237</v>
          </cell>
          <cell r="L2219" t="str">
            <v>DIOSELINA  ARIAS DE TOVAR</v>
          </cell>
          <cell r="M2219">
            <v>31</v>
          </cell>
          <cell r="N2219" t="str">
            <v>RESOLUCION</v>
          </cell>
          <cell r="O2219">
            <v>2069</v>
          </cell>
          <cell r="P2219">
            <v>43237</v>
          </cell>
          <cell r="Q2219" t="str">
            <v>VUR de la actual vigencia.Dto 255 de 2013. LOCALIDAD:USAQUEN; BARRIO:EL CODITO; ID: 2007-1-10589</v>
          </cell>
          <cell r="R2219">
            <v>39062100</v>
          </cell>
          <cell r="S2219">
            <v>0</v>
          </cell>
          <cell r="T2219">
            <v>0</v>
          </cell>
          <cell r="U2219">
            <v>39062100</v>
          </cell>
          <cell r="V2219">
            <v>0</v>
          </cell>
        </row>
        <row r="2220">
          <cell r="J2220">
            <v>1916</v>
          </cell>
          <cell r="K2220">
            <v>43237</v>
          </cell>
          <cell r="L2220" t="str">
            <v>MIGUEL JOSE DELGADO</v>
          </cell>
          <cell r="M2220">
            <v>31</v>
          </cell>
          <cell r="N2220" t="str">
            <v>RESOLUCION</v>
          </cell>
          <cell r="O2220">
            <v>2065</v>
          </cell>
          <cell r="P2220">
            <v>43237</v>
          </cell>
          <cell r="Q2220" t="str">
            <v>Asignacion del instrumento financiero a las familias ocupantes del predio que hayan superado la fase de verificacion dentro  del marco del Decreto 457 de 2017. LOCALIDAD: KENNEDY; BARRIO: VEREDITAS; ID: 2017-8-383649</v>
          </cell>
          <cell r="R2220">
            <v>54686940</v>
          </cell>
          <cell r="S2220">
            <v>0</v>
          </cell>
          <cell r="T2220">
            <v>0</v>
          </cell>
          <cell r="U2220">
            <v>54686940</v>
          </cell>
          <cell r="V2220">
            <v>54686940</v>
          </cell>
        </row>
        <row r="2221">
          <cell r="J2221">
            <v>1932</v>
          </cell>
          <cell r="K2221">
            <v>43242</v>
          </cell>
          <cell r="L2221" t="str">
            <v>LUIS ALBERTO ZAMBRANO LOPEZ</v>
          </cell>
          <cell r="M2221">
            <v>31</v>
          </cell>
          <cell r="N2221" t="str">
            <v>RESOLUCION</v>
          </cell>
          <cell r="O2221">
            <v>2079</v>
          </cell>
          <cell r="P2221">
            <v>43242</v>
          </cell>
          <cell r="Q2221" t="str">
            <v>Adquisicion predial por Dto. 511 de 2010. LOCALIDAD:USME; BARRIO:ARRAYANES V; ID: 2015-Q01-04328.</v>
          </cell>
          <cell r="R2221">
            <v>22194000</v>
          </cell>
          <cell r="S2221">
            <v>0</v>
          </cell>
          <cell r="T2221">
            <v>0</v>
          </cell>
          <cell r="U2221">
            <v>22194000</v>
          </cell>
          <cell r="V2221">
            <v>0</v>
          </cell>
        </row>
        <row r="2222">
          <cell r="J2222">
            <v>1933</v>
          </cell>
          <cell r="K2222">
            <v>43242</v>
          </cell>
          <cell r="L2222" t="str">
            <v>LEONOR  CHAUTA DE BOHORQUEZ</v>
          </cell>
          <cell r="M2222">
            <v>31</v>
          </cell>
          <cell r="N2222" t="str">
            <v>RESOLUCION</v>
          </cell>
          <cell r="O2222">
            <v>2082</v>
          </cell>
          <cell r="P2222">
            <v>43242</v>
          </cell>
          <cell r="Q2222" t="str">
            <v>Vur conforme al avalúo comercial.Dto 255 de 2013 . LOCALIDAD:CIUDAD BOLIVAR: BARRIO:RINCON DEL PORVENIR; ID: 2005-19-7498</v>
          </cell>
          <cell r="R2222">
            <v>480610</v>
          </cell>
          <cell r="S2222">
            <v>0</v>
          </cell>
          <cell r="T2222">
            <v>0</v>
          </cell>
          <cell r="U2222">
            <v>480610</v>
          </cell>
          <cell r="V2222">
            <v>0</v>
          </cell>
        </row>
        <row r="2223">
          <cell r="J2223">
            <v>1935</v>
          </cell>
          <cell r="K2223">
            <v>43242</v>
          </cell>
          <cell r="L2223" t="str">
            <v>GUSTAVO  LOBATON VARGAS</v>
          </cell>
          <cell r="M2223">
            <v>31</v>
          </cell>
          <cell r="N2223" t="str">
            <v>RESOLUCION</v>
          </cell>
          <cell r="O2223">
            <v>2083</v>
          </cell>
          <cell r="P2223">
            <v>43242</v>
          </cell>
          <cell r="Q2223" t="str">
            <v>VUR conforme a avalúo comercial.Dto 255 de 2013. LOCALIDAD:USAQUEN; BARRIO:SANTA CECILA BAJA; ID: 2005-1-7523</v>
          </cell>
          <cell r="R2223">
            <v>62779330</v>
          </cell>
          <cell r="S2223">
            <v>0</v>
          </cell>
          <cell r="T2223">
            <v>0</v>
          </cell>
          <cell r="U2223">
            <v>62779330</v>
          </cell>
          <cell r="V2223">
            <v>0</v>
          </cell>
        </row>
        <row r="2224">
          <cell r="J2224">
            <v>1937</v>
          </cell>
          <cell r="K2224">
            <v>43242</v>
          </cell>
          <cell r="L2224" t="str">
            <v>LUIS PABLO GARZON RAMIREZ</v>
          </cell>
          <cell r="M2224">
            <v>31</v>
          </cell>
          <cell r="N2224" t="str">
            <v>RESOLUCION</v>
          </cell>
          <cell r="O2224">
            <v>2080</v>
          </cell>
          <cell r="P2224">
            <v>43242</v>
          </cell>
          <cell r="Q2224" t="str">
            <v>Adquisición de mejoras por Dto. 511 de 2010. LOCALIDAD:SANTA FE; BARRIO:SAN FRANCISCO RURAL;ID: 2015-Q24-01531</v>
          </cell>
          <cell r="R2224">
            <v>7733250</v>
          </cell>
          <cell r="S2224">
            <v>0</v>
          </cell>
          <cell r="T2224">
            <v>0</v>
          </cell>
          <cell r="U2224">
            <v>7733250</v>
          </cell>
          <cell r="V2224">
            <v>7733250</v>
          </cell>
        </row>
        <row r="2225">
          <cell r="J2225">
            <v>1942</v>
          </cell>
          <cell r="K2225">
            <v>43243</v>
          </cell>
          <cell r="L2225" t="str">
            <v>LUIS ALFONSO PARRA BENAVIDES</v>
          </cell>
          <cell r="M2225">
            <v>31</v>
          </cell>
          <cell r="N2225" t="str">
            <v>RESOLUCION</v>
          </cell>
          <cell r="O2225">
            <v>2077</v>
          </cell>
          <cell r="P2225">
            <v>43243</v>
          </cell>
          <cell r="Q2225" t="str">
            <v>VUR de conformidad con el avalúo comercial (Asignación Primera Vez).Dto 255 de 2013. LOCALIDAD:RAFAEL URIBE URIBE; BARRIO:GRANJAS DE SAN PABLO; ID:2006-18-8886</v>
          </cell>
          <cell r="R2225">
            <v>138036400</v>
          </cell>
          <cell r="S2225">
            <v>0</v>
          </cell>
          <cell r="T2225">
            <v>0</v>
          </cell>
          <cell r="U2225">
            <v>138036400</v>
          </cell>
          <cell r="V2225">
            <v>0</v>
          </cell>
        </row>
        <row r="2226">
          <cell r="J2226">
            <v>1956</v>
          </cell>
          <cell r="K2226">
            <v>43245</v>
          </cell>
          <cell r="L2226" t="str">
            <v>JESUS ENRIQUE BERGAÑO MARTINEZ</v>
          </cell>
          <cell r="M2226">
            <v>31</v>
          </cell>
          <cell r="N2226" t="str">
            <v>RESOLUCION</v>
          </cell>
          <cell r="O2226">
            <v>2098</v>
          </cell>
          <cell r="P2226">
            <v>43245</v>
          </cell>
          <cell r="Q2226" t="str">
            <v>Asignacion del instrumento financiero a las familias ocupantes del predio que hayan superado la fase de verificacion dentro  del marco del Decreto 457 de 2017. LOCALIDAD: KENNEDY; BARRIO: VEREDITAS; ID: 2018-8-384292</v>
          </cell>
          <cell r="R2226">
            <v>54686940</v>
          </cell>
          <cell r="S2226">
            <v>0</v>
          </cell>
          <cell r="T2226">
            <v>0</v>
          </cell>
          <cell r="U2226">
            <v>54686940</v>
          </cell>
          <cell r="V2226">
            <v>54686940</v>
          </cell>
        </row>
        <row r="2227">
          <cell r="J2227">
            <v>1957</v>
          </cell>
          <cell r="K2227">
            <v>43245</v>
          </cell>
          <cell r="L2227" t="str">
            <v>ARMANDO  LOPERA SANCHEZ</v>
          </cell>
          <cell r="M2227">
            <v>31</v>
          </cell>
          <cell r="N2227" t="str">
            <v>RESOLUCION</v>
          </cell>
          <cell r="O2227">
            <v>2119</v>
          </cell>
          <cell r="P2227">
            <v>43245</v>
          </cell>
          <cell r="Q2227" t="str">
            <v>adquisición predial Dto. 511 de 2010. LOCALIDAD: CIUDAD BOLIVAR; BARRIO:BUENOS AIRES;ID: 2014-Q06-00865</v>
          </cell>
          <cell r="R2227">
            <v>64571600</v>
          </cell>
          <cell r="S2227">
            <v>0</v>
          </cell>
          <cell r="T2227">
            <v>0</v>
          </cell>
          <cell r="U2227">
            <v>64571600</v>
          </cell>
          <cell r="V2227">
            <v>0</v>
          </cell>
        </row>
        <row r="2228">
          <cell r="J2228">
            <v>1963</v>
          </cell>
          <cell r="K2228">
            <v>43252</v>
          </cell>
          <cell r="L2228" t="str">
            <v>YURY BRADY TORRES CARVAJAL</v>
          </cell>
          <cell r="M2228">
            <v>31</v>
          </cell>
          <cell r="N2228" t="str">
            <v>RESOLUCION</v>
          </cell>
          <cell r="O2228">
            <v>2148</v>
          </cell>
          <cell r="P2228">
            <v>43252</v>
          </cell>
          <cell r="Q2228" t="str">
            <v>AYUDA TEMPORAL A LAS FAMILIAS DE VARIAS LOCALIDADES, PARA LA RELOCALIZACIÓN DE HOGARES LOCALIZADOS EN ZONAS DE ALTO RIESGO NO MITIGABLE ID:2002-4-2648, LOCALIDAD:04 SAN CRISTÓBAL, UPZ:32 SAN BLAS</v>
          </cell>
          <cell r="R2228">
            <v>3749960</v>
          </cell>
          <cell r="S2228">
            <v>0</v>
          </cell>
          <cell r="T2228">
            <v>0</v>
          </cell>
          <cell r="U2228">
            <v>3749960</v>
          </cell>
          <cell r="V2228">
            <v>937490</v>
          </cell>
        </row>
        <row r="2229">
          <cell r="J2229">
            <v>1964</v>
          </cell>
          <cell r="K2229">
            <v>43252</v>
          </cell>
          <cell r="L2229" t="str">
            <v>JORGE ELIECER AGUILAR CUTIVA</v>
          </cell>
          <cell r="M2229">
            <v>31</v>
          </cell>
          <cell r="N2229" t="str">
            <v>RESOLUCION</v>
          </cell>
          <cell r="O2229">
            <v>2149</v>
          </cell>
          <cell r="P2229">
            <v>43252</v>
          </cell>
          <cell r="Q2229" t="str">
            <v>AYUDA TEMPORAL A LAS FAMILIAS DE VARIAS LOCALIDADES, PARA LA RELOCALIZACIÓN DE HOGARES LOCALIZADOS EN ZONAS DE ALTO RIESGO NO MITIGABLE ID:2018-Q03-15047, LOCALIDAD:19 CIUDAD BOLÍVAR, UPZ:66 SAN FRANCISCO, SECTOR:LIMAS</v>
          </cell>
          <cell r="R2229">
            <v>3999960</v>
          </cell>
          <cell r="S2229">
            <v>0</v>
          </cell>
          <cell r="T2229">
            <v>0</v>
          </cell>
          <cell r="U2229">
            <v>3999960</v>
          </cell>
          <cell r="V2229">
            <v>999990</v>
          </cell>
        </row>
        <row r="2230">
          <cell r="J2230">
            <v>1965</v>
          </cell>
          <cell r="K2230">
            <v>43252</v>
          </cell>
          <cell r="L2230" t="str">
            <v>EVELYN  MOLINA MAHECHA</v>
          </cell>
          <cell r="M2230">
            <v>31</v>
          </cell>
          <cell r="N2230" t="str">
            <v>RESOLUCION</v>
          </cell>
          <cell r="O2230">
            <v>2150</v>
          </cell>
          <cell r="P2230">
            <v>43252</v>
          </cell>
          <cell r="Q2230" t="str">
            <v>AYUDA TEMPORAL A LAS FAMILIAS DE VARIAS LOCALIDADES, PARA LA RELOCALIZACIÓN DE HOGARES LOCALIZADOS EN ZONAS DE ALTO RIESGO NO MITIGABLE ID:2012-19-14244, LOCALIDAD:19 CIUDAD BOLÍVAR, UPZ:67 LUCERO</v>
          </cell>
          <cell r="R2230">
            <v>3374968</v>
          </cell>
          <cell r="S2230">
            <v>0</v>
          </cell>
          <cell r="T2230">
            <v>0</v>
          </cell>
          <cell r="U2230">
            <v>3374968</v>
          </cell>
          <cell r="V2230">
            <v>843742</v>
          </cell>
        </row>
        <row r="2231">
          <cell r="J2231">
            <v>1966</v>
          </cell>
          <cell r="K2231">
            <v>43252</v>
          </cell>
          <cell r="L2231" t="str">
            <v>MARIA NANCY GAITAN GALAN</v>
          </cell>
          <cell r="M2231">
            <v>31</v>
          </cell>
          <cell r="N2231" t="str">
            <v>RESOLUCION</v>
          </cell>
          <cell r="O2231">
            <v>2151</v>
          </cell>
          <cell r="P2231">
            <v>43252</v>
          </cell>
          <cell r="Q2231" t="str">
            <v>AYUDA TEMPORAL A LAS FAMILIAS DE VARIAS LOCALIDADES, PARA LA RELOCALIZACIÓN DE HOGARES LOCALIZADOS EN ZONAS DE ALTO RIESGO NO MITIGABLE ID:2013000189, LOCALIDAD:19 CIUDAD BOLÍVAR, UPZ:67 LUCERO, SECTOR:QUEBRADA TROMPETA</v>
          </cell>
          <cell r="R2231">
            <v>3124968</v>
          </cell>
          <cell r="S2231">
            <v>0</v>
          </cell>
          <cell r="T2231">
            <v>0</v>
          </cell>
          <cell r="U2231">
            <v>3124968</v>
          </cell>
          <cell r="V2231">
            <v>781242</v>
          </cell>
        </row>
        <row r="2232">
          <cell r="J2232">
            <v>1967</v>
          </cell>
          <cell r="K2232">
            <v>43252</v>
          </cell>
          <cell r="L2232" t="str">
            <v>MARIA NELCY SASTOQUE VARGAS</v>
          </cell>
          <cell r="M2232">
            <v>31</v>
          </cell>
          <cell r="N2232" t="str">
            <v>RESOLUCION</v>
          </cell>
          <cell r="O2232">
            <v>2153</v>
          </cell>
          <cell r="P2232">
            <v>43252</v>
          </cell>
          <cell r="Q2232" t="str">
            <v>AYUDA TEMPORAL A LAS FAMILIAS DE VARIAS LOCALIDADES, PARA LA RELOCALIZACIÓN DE HOGARES LOCALIZADOS EN ZONAS DE ALTO RIESGO NO MITIGABLE ID:2015-Q03-03557, LOCALIDAD:19 CIUDAD BOLÍVAR, UPZ:66 SAN FRANCISCO, SECTOR:LIMAS</v>
          </cell>
          <cell r="R2232">
            <v>3374968</v>
          </cell>
          <cell r="S2232">
            <v>0</v>
          </cell>
          <cell r="T2232">
            <v>0</v>
          </cell>
          <cell r="U2232">
            <v>3374968</v>
          </cell>
          <cell r="V2232">
            <v>843742</v>
          </cell>
        </row>
        <row r="2233">
          <cell r="J2233">
            <v>1968</v>
          </cell>
          <cell r="K2233">
            <v>43252</v>
          </cell>
          <cell r="L2233" t="str">
            <v>EMIR  CARPIO LUVIEZA</v>
          </cell>
          <cell r="M2233">
            <v>31</v>
          </cell>
          <cell r="N2233" t="str">
            <v>RESOLUCION</v>
          </cell>
          <cell r="O2233">
            <v>2156</v>
          </cell>
          <cell r="P2233">
            <v>43252</v>
          </cell>
          <cell r="Q2233" t="str">
            <v>AYUDA TEMPORAL A LAS FAMILIAS DE VARIAS LOCALIDADES, PARA LA RELOCALIZACIÓN DE HOGARES LOCALIZADOS EN ZONAS DE ALTO RIESGO NO MITIGABLE ID:2014-W166-038, LOCALIDAD:19 CIUDAD BOLÍVAR, UPZ:68 EL TESORO, SECTOR:WOUNAAN</v>
          </cell>
          <cell r="R2233">
            <v>2878200</v>
          </cell>
          <cell r="S2233">
            <v>0</v>
          </cell>
          <cell r="T2233">
            <v>0</v>
          </cell>
          <cell r="U2233">
            <v>2878200</v>
          </cell>
          <cell r="V2233">
            <v>959400</v>
          </cell>
        </row>
        <row r="2234">
          <cell r="J2234">
            <v>1969</v>
          </cell>
          <cell r="K2234">
            <v>43252</v>
          </cell>
          <cell r="L2234" t="str">
            <v>JUAN DAVID LOPEZ</v>
          </cell>
          <cell r="M2234">
            <v>31</v>
          </cell>
          <cell r="N2234" t="str">
            <v>RESOLUCION</v>
          </cell>
          <cell r="O2234">
            <v>2157</v>
          </cell>
          <cell r="P2234">
            <v>43252</v>
          </cell>
          <cell r="Q2234" t="str">
            <v>AYUDA TEMPORAL A LAS FAMILIAS DE VARIAS LOCALIDADES, PARA LA RELOCALIZACIÓN DE HOGARES LOCALIZADOS EN ZONAS DE ALTO RIESGO NO MITIGABLE ID:2012-19-13786, LOCALIDAD:19 CIUDAD BOLÍVAR, UPZ:67 LUCERO</v>
          </cell>
          <cell r="R2234">
            <v>2924376</v>
          </cell>
          <cell r="S2234">
            <v>0</v>
          </cell>
          <cell r="T2234">
            <v>0</v>
          </cell>
          <cell r="U2234">
            <v>2924376</v>
          </cell>
          <cell r="V2234">
            <v>417768</v>
          </cell>
        </row>
        <row r="2235">
          <cell r="J2235">
            <v>1970</v>
          </cell>
          <cell r="K2235">
            <v>43252</v>
          </cell>
          <cell r="L2235" t="str">
            <v>BLANCA CECILIA FERNANDEZ ULLOA</v>
          </cell>
          <cell r="M2235">
            <v>31</v>
          </cell>
          <cell r="N2235" t="str">
            <v>RESOLUCION</v>
          </cell>
          <cell r="O2235">
            <v>2159</v>
          </cell>
          <cell r="P2235">
            <v>43252</v>
          </cell>
          <cell r="Q2235" t="str">
            <v>AYUDA TEMPORAL A LAS FAMILIAS DE VARIAS LOCALIDADES, PARA LA RELOCALIZACIÓN DE HOGARES LOCALIZADOS EN ZONAS DE ALTO RIESGO NO MITIGABLE ID:2013-Q09-00469, LOCALIDAD:19 CIUDAD BOLÍVAR, UPZ:67 LUCERO, SECTOR:QUEBRADA TROMPETA</v>
          </cell>
          <cell r="R2235">
            <v>4812448</v>
          </cell>
          <cell r="S2235">
            <v>0</v>
          </cell>
          <cell r="T2235">
            <v>0</v>
          </cell>
          <cell r="U2235">
            <v>4812448</v>
          </cell>
          <cell r="V2235">
            <v>601556</v>
          </cell>
        </row>
        <row r="2236">
          <cell r="J2236">
            <v>1971</v>
          </cell>
          <cell r="K2236">
            <v>43252</v>
          </cell>
          <cell r="L2236" t="str">
            <v>ELVIRA  VANEGAS MONTAÑO</v>
          </cell>
          <cell r="M2236">
            <v>31</v>
          </cell>
          <cell r="N2236" t="str">
            <v>RESOLUCION</v>
          </cell>
          <cell r="O2236">
            <v>2160</v>
          </cell>
          <cell r="P2236">
            <v>43252</v>
          </cell>
          <cell r="Q2236" t="str">
            <v>AYUDA TEMPORAL A LAS FAMILIAS DE VARIAS LOCALIDADES, PARA LA RELOCALIZACIÓN DE HOGARES LOCALIZADOS EN ZONAS DE ALTO RIESGO NO MITIGABLE ID:2011-4-12629, LOCALIDAD:04 SAN CRISTÓBAL, UPZ:32 SAN BLAS</v>
          </cell>
          <cell r="R2236">
            <v>4226944</v>
          </cell>
          <cell r="S2236">
            <v>0</v>
          </cell>
          <cell r="T2236">
            <v>0</v>
          </cell>
          <cell r="U2236">
            <v>4226944</v>
          </cell>
          <cell r="V2236">
            <v>1056736</v>
          </cell>
        </row>
        <row r="2237">
          <cell r="J2237">
            <v>1972</v>
          </cell>
          <cell r="K2237">
            <v>43252</v>
          </cell>
          <cell r="L2237" t="str">
            <v>ABRAHAM  CABEZON MERCAZA</v>
          </cell>
          <cell r="M2237">
            <v>31</v>
          </cell>
          <cell r="N2237" t="str">
            <v>RESOLUCION</v>
          </cell>
          <cell r="O2237">
            <v>2177</v>
          </cell>
          <cell r="P2237">
            <v>43252</v>
          </cell>
          <cell r="Q2237" t="str">
            <v>AYUDA TEMPORAL A LAS FAMILIAS DE VARIAS LOCALIDADES, PARA LA RELOCALIZACIÓN DE HOGARES LOCALIZADOS EN ZONAS DE ALTO RIESGO NO MITIGABLE ID:2014-W166-014, LOCALIDAD:19 CIUDAD BOLÍVAR, UPZ:68 EL TESORO, SECTOR:WOUNAAN</v>
          </cell>
          <cell r="R2237">
            <v>4059510</v>
          </cell>
          <cell r="S2237">
            <v>0</v>
          </cell>
          <cell r="T2237">
            <v>0</v>
          </cell>
          <cell r="U2237">
            <v>4059510</v>
          </cell>
          <cell r="V2237">
            <v>1159860</v>
          </cell>
        </row>
        <row r="2238">
          <cell r="J2238">
            <v>1973</v>
          </cell>
          <cell r="K2238">
            <v>43252</v>
          </cell>
          <cell r="L2238" t="str">
            <v>OFELIA  TIQUE OYOLA</v>
          </cell>
          <cell r="M2238">
            <v>31</v>
          </cell>
          <cell r="N2238" t="str">
            <v>RESOLUCION</v>
          </cell>
          <cell r="O2238">
            <v>2178</v>
          </cell>
          <cell r="P2238">
            <v>43252</v>
          </cell>
          <cell r="Q2238" t="str">
            <v>AYUDA TEMPORAL A LAS FAMILIAS DE VARIAS LOCALIDADES, PARA LA RELOCALIZACIÓN DE HOGARES LOCALIZADOS EN ZONAS DE ALTO RIESGO NO MITIGABLE ID:2012-ALES-436, LOCALIDAD:19 CIUDAD BOLÍVAR, UPZ:69 ISMAEL PERDOMO, SECTOR:ALTOS DE LA ESTANCIA</v>
          </cell>
          <cell r="R2238">
            <v>5863585</v>
          </cell>
          <cell r="S2238">
            <v>0</v>
          </cell>
          <cell r="T2238">
            <v>0</v>
          </cell>
          <cell r="U2238">
            <v>5863585</v>
          </cell>
          <cell r="V2238">
            <v>902090</v>
          </cell>
        </row>
        <row r="2239">
          <cell r="J2239">
            <v>1974</v>
          </cell>
          <cell r="K2239">
            <v>43252</v>
          </cell>
          <cell r="L2239" t="str">
            <v>JOHAN STIVEN DIAZ POSADA</v>
          </cell>
          <cell r="M2239">
            <v>31</v>
          </cell>
          <cell r="N2239" t="str">
            <v>RESOLUCION</v>
          </cell>
          <cell r="O2239">
            <v>2179</v>
          </cell>
          <cell r="P2239">
            <v>43252</v>
          </cell>
          <cell r="Q2239" t="str">
            <v>AYUDA TEMPORAL A LAS FAMILIAS DE VARIAS LOCALIDADES, PARA LA RELOCALIZACIÓN DE HOGARES LOCALIZADOS EN ZONAS DE ALTO RIESGO NO MITIGABLE ID:2012-18-14525, LOCALIDAD:18 RAFAEL URIBE URIBE, UPZ:55 DIANA TURBAY</v>
          </cell>
          <cell r="R2239">
            <v>3022327</v>
          </cell>
          <cell r="S2239">
            <v>0</v>
          </cell>
          <cell r="T2239">
            <v>0</v>
          </cell>
          <cell r="U2239">
            <v>3022327</v>
          </cell>
          <cell r="V2239">
            <v>431761</v>
          </cell>
        </row>
        <row r="2240">
          <cell r="J2240">
            <v>1975</v>
          </cell>
          <cell r="K2240">
            <v>43252</v>
          </cell>
          <cell r="L2240" t="str">
            <v>EMMA  NUNEZ DE DURAN</v>
          </cell>
          <cell r="M2240">
            <v>31</v>
          </cell>
          <cell r="N2240" t="str">
            <v>RESOLUCION</v>
          </cell>
          <cell r="O2240">
            <v>2180</v>
          </cell>
          <cell r="P2240">
            <v>43252</v>
          </cell>
          <cell r="Q2240" t="str">
            <v>AYUDA TEMPORAL A LAS FAMILIAS DE VARIAS LOCALIDADES, PARA LA RELOCALIZACIÓN DE HOGARES LOCALIZADOS EN ZONAS DE ALTO RIESGO NO MITIGABLE ID:2009-3-11228, LOCALIDAD:03 SANTA FE, UPZ:96 LOURDES</v>
          </cell>
          <cell r="R2240">
            <v>4812448</v>
          </cell>
          <cell r="S2240">
            <v>0</v>
          </cell>
          <cell r="T2240">
            <v>0</v>
          </cell>
          <cell r="U2240">
            <v>4812448</v>
          </cell>
          <cell r="V2240">
            <v>1203112</v>
          </cell>
        </row>
        <row r="2241">
          <cell r="J2241">
            <v>1976</v>
          </cell>
          <cell r="K2241">
            <v>43252</v>
          </cell>
          <cell r="L2241" t="str">
            <v>LUIS ANTONIO CELIS SANCHEZ</v>
          </cell>
          <cell r="M2241">
            <v>31</v>
          </cell>
          <cell r="N2241" t="str">
            <v>RESOLUCION</v>
          </cell>
          <cell r="O2241">
            <v>2181</v>
          </cell>
          <cell r="P2241">
            <v>43252</v>
          </cell>
          <cell r="Q2241" t="str">
            <v>AYUDA TEMPORAL A LAS FAMILIAS DE VARIAS LOCALIDADES, PARA LA RELOCALIZACIÓN DE HOGARES LOCALIZADOS EN ZONAS DE ALTO RIESGO NO MITIGABLE ID:2012-ALES-312, LOCALIDAD:19 CIUDAD BOLÍVAR, UPZ:69 ISMAEL PERDOMO</v>
          </cell>
          <cell r="R2241">
            <v>3448000</v>
          </cell>
          <cell r="S2241">
            <v>0</v>
          </cell>
          <cell r="T2241">
            <v>0</v>
          </cell>
          <cell r="U2241">
            <v>3448000</v>
          </cell>
          <cell r="V2241">
            <v>1293000</v>
          </cell>
        </row>
        <row r="2242">
          <cell r="J2242">
            <v>1980</v>
          </cell>
          <cell r="K2242">
            <v>43252</v>
          </cell>
          <cell r="L2242" t="str">
            <v>MARTHA INES ZIPACON ROSAS</v>
          </cell>
          <cell r="M2242">
            <v>31</v>
          </cell>
          <cell r="N2242" t="str">
            <v>RESOLUCION</v>
          </cell>
          <cell r="O2242">
            <v>2154</v>
          </cell>
          <cell r="P2242">
            <v>43252</v>
          </cell>
          <cell r="Q2242" t="str">
            <v>AYUDA TEMPORAL A LAS FAMILIAS DE VARIAS LOCALIDADES, PARA LA RELOCALIZACIÓN DE HOGARES LOCALIZADOS EN ZONAS DE ALTO RIESGO NO MITIGABLE ID:2010-5-11626, LOCALIDAD:05 USME, UPZ:57 GRAN YOMASA, SECTOR:OLA INVERNAL 2010 FOPAE</v>
          </cell>
          <cell r="R2242">
            <v>3992149</v>
          </cell>
          <cell r="S2242">
            <v>0</v>
          </cell>
          <cell r="T2242">
            <v>0</v>
          </cell>
          <cell r="U2242">
            <v>3992149</v>
          </cell>
          <cell r="V2242">
            <v>1140614</v>
          </cell>
        </row>
        <row r="2243">
          <cell r="J2243">
            <v>1982</v>
          </cell>
          <cell r="K2243">
            <v>43252</v>
          </cell>
          <cell r="L2243" t="str">
            <v>STEVENS  CASTAÑEDA MORENO</v>
          </cell>
          <cell r="M2243">
            <v>31</v>
          </cell>
          <cell r="N2243" t="str">
            <v>RESOLUCION</v>
          </cell>
          <cell r="O2243">
            <v>2155</v>
          </cell>
          <cell r="P2243">
            <v>43252</v>
          </cell>
          <cell r="Q2243" t="str">
            <v>AYUDA TEMPORAL A LAS FAMILIAS DE VARIAS LOCALIDADES, PARA LA RELOCALIZACIÓN DE HOGARES LOCALIZADOS EN ZONAS DE ALTO RIESGO NO MITIGABLE ID:2015-D227-00055, LOCALIDAD:04 SAN CRISTÓBAL, UPZ:51 LOS LIBERTADORES, SECTOR:SANTA TERESITA</v>
          </cell>
          <cell r="R2243">
            <v>2886919</v>
          </cell>
          <cell r="S2243">
            <v>0</v>
          </cell>
          <cell r="T2243">
            <v>0</v>
          </cell>
          <cell r="U2243">
            <v>2886919</v>
          </cell>
          <cell r="V2243">
            <v>824834</v>
          </cell>
        </row>
        <row r="2244">
          <cell r="J2244">
            <v>1984</v>
          </cell>
          <cell r="K2244">
            <v>43252</v>
          </cell>
          <cell r="L2244" t="str">
            <v>SEGUNDO MIGUEL DE LA CRUZ MONCAYO</v>
          </cell>
          <cell r="M2244">
            <v>31</v>
          </cell>
          <cell r="N2244" t="str">
            <v>RESOLUCION</v>
          </cell>
          <cell r="O2244">
            <v>2139</v>
          </cell>
          <cell r="P2244">
            <v>43252</v>
          </cell>
          <cell r="Q2244" t="str">
            <v>AYUDA TEMPORAL A LAS FAMILIAS DE VARIAS LOCALIDADES, PARA LA RELOCALIZACIÓN DE HOGARES LOCALIZADOS EN ZONAS DE ALTO RIESGO NO MITIGABLE ID:2015-D227-00036, LOCALIDAD:04 SAN CRISTÓBAL, UPZ:51 LOS LIBERTADORES, SECTOR:SANTA TERESITA</v>
          </cell>
          <cell r="R2244">
            <v>3098410</v>
          </cell>
          <cell r="S2244">
            <v>0</v>
          </cell>
          <cell r="T2244">
            <v>0</v>
          </cell>
          <cell r="U2244">
            <v>3098410</v>
          </cell>
          <cell r="V2244">
            <v>885260</v>
          </cell>
        </row>
        <row r="2245">
          <cell r="J2245">
            <v>1986</v>
          </cell>
          <cell r="K2245">
            <v>43252</v>
          </cell>
          <cell r="L2245" t="str">
            <v>MARIBEL  PARRADO CABEZAS</v>
          </cell>
          <cell r="M2245">
            <v>31</v>
          </cell>
          <cell r="N2245" t="str">
            <v>RESOLUCION</v>
          </cell>
          <cell r="O2245">
            <v>2142</v>
          </cell>
          <cell r="P2245">
            <v>43252</v>
          </cell>
          <cell r="Q2245" t="str">
            <v>AYUDA TEMPORAL A LAS FAMILIAS DE VARIAS LOCALIDADES, PARA LA RELOCALIZACIÓN DE HOGARES LOCALIZADOS EN ZONAS DE ALTO RIESGO NO MITIGABLE ID:2011-19-13515, LOCALIDAD:19 CIUDAD BOLÍVAR, UPZ:68 EL TESORO</v>
          </cell>
          <cell r="R2245">
            <v>2439360</v>
          </cell>
          <cell r="S2245">
            <v>0</v>
          </cell>
          <cell r="T2245">
            <v>0</v>
          </cell>
          <cell r="U2245">
            <v>2439360</v>
          </cell>
          <cell r="V2245">
            <v>813120</v>
          </cell>
        </row>
        <row r="2246">
          <cell r="J2246">
            <v>1987</v>
          </cell>
          <cell r="K2246">
            <v>43252</v>
          </cell>
          <cell r="L2246" t="str">
            <v>HECTOR  CIFUENTES</v>
          </cell>
          <cell r="M2246">
            <v>31</v>
          </cell>
          <cell r="N2246" t="str">
            <v>RESOLUCION</v>
          </cell>
          <cell r="O2246">
            <v>2144</v>
          </cell>
          <cell r="P2246">
            <v>43252</v>
          </cell>
          <cell r="Q2246" t="str">
            <v>AYUDA TEMPORAL A LAS FAMILIAS DE VARIAS LOCALIDADES, PARA LA RELOCALIZACIÓN DE HOGARES LOCALIZADOS EN ZONAS DE ALTO RIESGO NO MITIGABLE ID:2012-19-13865, LOCALIDAD:19 CIUDAD BOLÍVAR, UPZ:67 LUCERO</v>
          </cell>
          <cell r="R2246">
            <v>2849392</v>
          </cell>
          <cell r="S2246">
            <v>0</v>
          </cell>
          <cell r="T2246">
            <v>0</v>
          </cell>
          <cell r="U2246">
            <v>2849392</v>
          </cell>
          <cell r="V2246">
            <v>814112</v>
          </cell>
        </row>
        <row r="2247">
          <cell r="J2247">
            <v>1989</v>
          </cell>
          <cell r="K2247">
            <v>43252</v>
          </cell>
          <cell r="L2247" t="str">
            <v>JOSE SIGIFREDO CASTELLANOS MONTILLA</v>
          </cell>
          <cell r="M2247">
            <v>31</v>
          </cell>
          <cell r="N2247" t="str">
            <v>RESOLUCION</v>
          </cell>
          <cell r="O2247">
            <v>2146</v>
          </cell>
          <cell r="P2247">
            <v>43252</v>
          </cell>
          <cell r="Q2247" t="str">
            <v>AYUDA TEMPORAL A LAS FAMILIAS DE VARIAS LOCALIDADES, PARA LA RELOCALIZACIÓN DE HOGARES LOCALIZADOS EN ZONAS DE ALTO RIESGO NO MITIGABLE ID:2010-19-11685, LOCALIDAD:19 CIUDAD BOLÍVAR, UPZ:69 ISMAEL PERDOMO, SECTOR:OLA INVERNAL 2010 FOPAE</v>
          </cell>
          <cell r="R2247">
            <v>3098410</v>
          </cell>
          <cell r="S2247">
            <v>0</v>
          </cell>
          <cell r="T2247">
            <v>0</v>
          </cell>
          <cell r="U2247">
            <v>3098410</v>
          </cell>
          <cell r="V2247">
            <v>442630</v>
          </cell>
        </row>
        <row r="2248">
          <cell r="J2248">
            <v>1992</v>
          </cell>
          <cell r="K2248">
            <v>43256</v>
          </cell>
          <cell r="L2248" t="str">
            <v>LUZ KATHERINE TAMAYO HERNANDEZ</v>
          </cell>
          <cell r="M2248">
            <v>31</v>
          </cell>
          <cell r="N2248" t="str">
            <v>RESOLUCION</v>
          </cell>
          <cell r="O2248">
            <v>2196</v>
          </cell>
          <cell r="P2248">
            <v>43256</v>
          </cell>
          <cell r="Q2248" t="str">
            <v>Asignacion del instrumento financiero a las familias ocupantes del predio que hayan superado la fase de verificacion dentro  del marco del Decreto 457 de 2017. LOCALIDAD: KENNEDY; BARRIO: VEREDITAS; ID: 2018-08-384308</v>
          </cell>
          <cell r="R2248">
            <v>54686940</v>
          </cell>
          <cell r="S2248">
            <v>0</v>
          </cell>
          <cell r="T2248">
            <v>0</v>
          </cell>
          <cell r="U2248">
            <v>54686940</v>
          </cell>
          <cell r="V2248">
            <v>54686940</v>
          </cell>
        </row>
        <row r="2249">
          <cell r="J2249">
            <v>1993</v>
          </cell>
          <cell r="K2249">
            <v>43256</v>
          </cell>
          <cell r="L2249" t="str">
            <v>EDNA MARGARITA JIMENEZ VEGA</v>
          </cell>
          <cell r="M2249">
            <v>31</v>
          </cell>
          <cell r="N2249" t="str">
            <v>RESOLUCION</v>
          </cell>
          <cell r="O2249">
            <v>2191</v>
          </cell>
          <cell r="P2249">
            <v>43256</v>
          </cell>
          <cell r="Q2249" t="str">
            <v>adquisición predial Dto. 511 de 2010. LOCALIDAD: USME; BARRIO: EL MOCHUELO;ID: 2013-Q09-00437</v>
          </cell>
          <cell r="R2249">
            <v>59034400</v>
          </cell>
          <cell r="S2249">
            <v>0</v>
          </cell>
          <cell r="T2249">
            <v>0</v>
          </cell>
          <cell r="U2249">
            <v>59034400</v>
          </cell>
          <cell r="V2249">
            <v>59034400</v>
          </cell>
        </row>
        <row r="2250">
          <cell r="J2250">
            <v>1996</v>
          </cell>
          <cell r="K2250">
            <v>43257</v>
          </cell>
          <cell r="L2250" t="str">
            <v>YENNY PAOLA ROJAS PARRA</v>
          </cell>
          <cell r="M2250">
            <v>31</v>
          </cell>
          <cell r="N2250" t="str">
            <v>RESOLUCION</v>
          </cell>
          <cell r="O2250">
            <v>2145</v>
          </cell>
          <cell r="P2250">
            <v>43257</v>
          </cell>
          <cell r="Q2250" t="str">
            <v>AYUDA TEMPORAL A LAS FAMILIAS DE VARIAS LOCALIDADES, PARA LA RELOCALIZACIÓN DE HOGARES LOCALIZADOS EN ZONAS DE ALTO RIESGO NO MITIGABLE ID:2016-Q04-00016, LOCALIDAD:19 CIUDAD BOLÍVAR, UPZ:67 LUCERO, SECTOR:PEÑA COLORADA</v>
          </cell>
          <cell r="R2250">
            <v>4374952</v>
          </cell>
          <cell r="S2250">
            <v>0</v>
          </cell>
          <cell r="T2250">
            <v>0</v>
          </cell>
          <cell r="U2250">
            <v>4374952</v>
          </cell>
          <cell r="V2250">
            <v>1093738</v>
          </cell>
        </row>
        <row r="2251">
          <cell r="J2251">
            <v>1997</v>
          </cell>
          <cell r="K2251">
            <v>43257</v>
          </cell>
          <cell r="L2251" t="str">
            <v>WILLIAM ALEXANDER GONZALEZ SASTOQUE</v>
          </cell>
          <cell r="M2251">
            <v>31</v>
          </cell>
          <cell r="N2251" t="str">
            <v>RESOLUCION</v>
          </cell>
          <cell r="O2251">
            <v>2143</v>
          </cell>
          <cell r="P2251">
            <v>43257</v>
          </cell>
          <cell r="Q2251" t="str">
            <v>AYUDA TEMPORAL A LAS FAMILIAS DE VARIAS LOCALIDADES, PARA LA RELOCALIZACIÓN DE HOGARES LOCALIZADOS EN ZONAS DE ALTO RIESGO NO MITIGABLE ID:2018-Q03-15552, LOCALIDAD:19 CIUDAD BOLÍVAR, UPZ: 66 SAN FRANCISCO, SECTOR:LIMAS</v>
          </cell>
          <cell r="R2251">
            <v>3874960</v>
          </cell>
          <cell r="S2251">
            <v>0</v>
          </cell>
          <cell r="T2251">
            <v>0</v>
          </cell>
          <cell r="U2251">
            <v>3874960</v>
          </cell>
          <cell r="V2251">
            <v>968740</v>
          </cell>
        </row>
        <row r="2252">
          <cell r="J2252">
            <v>1998</v>
          </cell>
          <cell r="K2252">
            <v>43257</v>
          </cell>
          <cell r="L2252" t="str">
            <v>BLANCA EMMA SANTANA CIFUENTES</v>
          </cell>
          <cell r="M2252">
            <v>31</v>
          </cell>
          <cell r="N2252" t="str">
            <v>RESOLUCION</v>
          </cell>
          <cell r="O2252">
            <v>2147</v>
          </cell>
          <cell r="P2252">
            <v>43257</v>
          </cell>
          <cell r="Q2252" t="str">
            <v>AYUDA TEMPORAL A LAS FAMILIAS DE VARIAS LOCALIDADES, PARA LA RELOCALIZACIÓN DE HOGARES LOCALIZADOS EN ZONAS DE ALTO RIESGO NO MITIGABLE ID:2016-20-00008, LOCALIDAD:20 SUMAPAZ, SECTOR:NAZARETH</v>
          </cell>
          <cell r="R2252">
            <v>4999952</v>
          </cell>
          <cell r="S2252">
            <v>0</v>
          </cell>
          <cell r="T2252">
            <v>0</v>
          </cell>
          <cell r="U2252">
            <v>4999952</v>
          </cell>
          <cell r="V2252">
            <v>1249988</v>
          </cell>
        </row>
        <row r="2253">
          <cell r="J2253">
            <v>1999</v>
          </cell>
          <cell r="K2253">
            <v>43257</v>
          </cell>
          <cell r="L2253" t="str">
            <v>SEGUNDO  PARRA VARGAS</v>
          </cell>
          <cell r="M2253">
            <v>31</v>
          </cell>
          <cell r="N2253" t="str">
            <v>RESOLUCION</v>
          </cell>
          <cell r="O2253">
            <v>2141</v>
          </cell>
          <cell r="P2253">
            <v>43257</v>
          </cell>
          <cell r="Q2253" t="str">
            <v>AYUDA TEMPORAL A LAS FAMILIAS DE VARIAS LOCALIDADES, PARA LA RELOCALIZACIÓN DE HOGARES LOCALIZADOS EN ZONAS DE ALTO RIESGO NO MITIGABLE ID:2013000241, LOCALIDAD:04 SAN CRISTÓBAL, UPZ:51 LOS LIBERTADORES, SECTOR:QUEBRADA VEREJONES</v>
          </cell>
          <cell r="R2253">
            <v>4499952</v>
          </cell>
          <cell r="S2253">
            <v>0</v>
          </cell>
          <cell r="T2253">
            <v>0</v>
          </cell>
          <cell r="U2253">
            <v>4499952</v>
          </cell>
          <cell r="V2253">
            <v>1124988</v>
          </cell>
        </row>
        <row r="2254">
          <cell r="J2254">
            <v>2000</v>
          </cell>
          <cell r="K2254">
            <v>43257</v>
          </cell>
          <cell r="L2254" t="str">
            <v>CARLOS JOSE VELASQUEZ ROJAS</v>
          </cell>
          <cell r="M2254">
            <v>31</v>
          </cell>
          <cell r="N2254" t="str">
            <v>RESOLUCION</v>
          </cell>
          <cell r="O2254">
            <v>2201</v>
          </cell>
          <cell r="P2254">
            <v>43257</v>
          </cell>
          <cell r="Q2254" t="str">
            <v>AYUDA TEMPORAL A LAS FAMILIAS DE VARIAS LOCALIDADES, PARA LA RELOCALIZACIÓN DE HOGARES LOCALIZADOS EN ZONAS DE ALTO RIESGO NO MITIGABLE ID:2015-Q03-01394, LOCALIDAD:19 CIUDAD BOLÍVAR, UPZ:66 SAN FRANCISCO, SECTOR:LIMAS</v>
          </cell>
          <cell r="R2254">
            <v>2734347</v>
          </cell>
          <cell r="S2254">
            <v>0</v>
          </cell>
          <cell r="T2254">
            <v>0</v>
          </cell>
          <cell r="U2254">
            <v>2734347</v>
          </cell>
          <cell r="V2254">
            <v>781242</v>
          </cell>
        </row>
        <row r="2255">
          <cell r="J2255">
            <v>2001</v>
          </cell>
          <cell r="K2255">
            <v>43257</v>
          </cell>
          <cell r="L2255" t="str">
            <v>LUZ CELLY DIAZ GALLEGO</v>
          </cell>
          <cell r="M2255">
            <v>31</v>
          </cell>
          <cell r="N2255" t="str">
            <v>RESOLUCION</v>
          </cell>
          <cell r="O2255">
            <v>2200</v>
          </cell>
          <cell r="P2255">
            <v>43257</v>
          </cell>
          <cell r="Q2255" t="str">
            <v>AYUDA TEMPORAL A LAS FAMILIAS DE VARIAS LOCALIDADES, PARA LA RELOCALIZACIÓN DE HOGARES LOCALIZADOS EN ZONAS DE ALTO RIESGO NO MITIGABLE ID:2006-3-8369, LOCALIDAD:03 SANTA FE, UPZ:96 LOURDES</v>
          </cell>
          <cell r="R2255">
            <v>3718092</v>
          </cell>
          <cell r="S2255">
            <v>0</v>
          </cell>
          <cell r="T2255">
            <v>0</v>
          </cell>
          <cell r="U2255">
            <v>3718092</v>
          </cell>
          <cell r="V2255">
            <v>1062312</v>
          </cell>
        </row>
        <row r="2256">
          <cell r="J2256">
            <v>2002</v>
          </cell>
          <cell r="K2256">
            <v>43257</v>
          </cell>
          <cell r="L2256" t="str">
            <v>MIGUEL ANGEL CANTILLO GUTIERREZ</v>
          </cell>
          <cell r="M2256">
            <v>31</v>
          </cell>
          <cell r="N2256" t="str">
            <v>RESOLUCION</v>
          </cell>
          <cell r="O2256">
            <v>2199</v>
          </cell>
          <cell r="P2256">
            <v>43257</v>
          </cell>
          <cell r="Q2256" t="str">
            <v>AYUDA TEMPORAL A LAS FAMILIAS DE VARIAS LOCALIDADES, PARA LA RELOCALIZACIÓN DE HOGARES LOCALIZADOS EN ZONAS DE ALTO RIESGO NO MITIGABLE ID:2012-ALES-409, LOCALIDAD:19 CIUDAD BOLÍVAR, UPZ:69 ISMAEL PERDOMO, SECTOR:ALTOS DE LA ESTANCIA</v>
          </cell>
          <cell r="R2256">
            <v>3017000</v>
          </cell>
          <cell r="S2256">
            <v>0</v>
          </cell>
          <cell r="T2256">
            <v>0</v>
          </cell>
          <cell r="U2256">
            <v>3017000</v>
          </cell>
          <cell r="V2256">
            <v>862000</v>
          </cell>
        </row>
        <row r="2257">
          <cell r="J2257">
            <v>2003</v>
          </cell>
          <cell r="K2257">
            <v>43257</v>
          </cell>
          <cell r="L2257" t="str">
            <v>ANGIE MARCELA GONZALEZ SASTOQUE</v>
          </cell>
          <cell r="M2257">
            <v>31</v>
          </cell>
          <cell r="N2257" t="str">
            <v>RESOLUCION</v>
          </cell>
          <cell r="O2257">
            <v>2152</v>
          </cell>
          <cell r="P2257">
            <v>43257</v>
          </cell>
          <cell r="Q2257" t="str">
            <v>AYUDA TEMPORAL A LAS FAMILIAS DE VARIAS LOCALIDADES, PARA LA RELOCALIZACIÓN DE HOGARES LOCALIZADOS EN ZONAS DE ALTO RIESGO NO MITIGABLE ID:2018-Q03-15550, LOCALIDAD:19 CIUDAD BOLÍVAR, UPZ: 66 SAN FRANCISCO, SECTOR:LIMAS</v>
          </cell>
          <cell r="R2257">
            <v>4101524</v>
          </cell>
          <cell r="S2257">
            <v>0</v>
          </cell>
          <cell r="T2257">
            <v>0</v>
          </cell>
          <cell r="U2257">
            <v>4101524</v>
          </cell>
          <cell r="V2257">
            <v>1171864</v>
          </cell>
        </row>
        <row r="2258">
          <cell r="J2258">
            <v>2004</v>
          </cell>
          <cell r="K2258">
            <v>43257</v>
          </cell>
          <cell r="L2258" t="str">
            <v>ROSA ELENA GUEVARA MORENO</v>
          </cell>
          <cell r="M2258">
            <v>31</v>
          </cell>
          <cell r="N2258" t="str">
            <v>RESOLUCION</v>
          </cell>
          <cell r="O2258">
            <v>2158</v>
          </cell>
          <cell r="P2258">
            <v>43257</v>
          </cell>
          <cell r="Q2258" t="str">
            <v>AYUDA TEMPORAL A LAS FAMILIAS DE VARIAS LOCALIDADES, PARA LA RELOCALIZACIÓN DE HOGARES LOCALIZADOS EN ZONAS DE ALTO RIESGO NO MITIGABLE ID:2013-Q10-00497, LOCALIDAD:04 SAN CRISTÓBAL, UPZ:51 LOS LIBERTADORES, SECTOR:QUEBRADA VEREJONES</v>
          </cell>
          <cell r="R2258">
            <v>4874952</v>
          </cell>
          <cell r="S2258">
            <v>0</v>
          </cell>
          <cell r="T2258">
            <v>0</v>
          </cell>
          <cell r="U2258">
            <v>4874952</v>
          </cell>
          <cell r="V2258">
            <v>1218738</v>
          </cell>
        </row>
        <row r="2259">
          <cell r="J2259">
            <v>2009</v>
          </cell>
          <cell r="K2259">
            <v>43263</v>
          </cell>
          <cell r="L2259" t="str">
            <v>YENIFER GABRIELA ORJUELA PACHECO</v>
          </cell>
          <cell r="M2259">
            <v>31</v>
          </cell>
          <cell r="N2259" t="str">
            <v>RESOLUCION</v>
          </cell>
          <cell r="O2259">
            <v>2221</v>
          </cell>
          <cell r="P2259">
            <v>43263</v>
          </cell>
          <cell r="Q2259" t="str">
            <v>asignacion de recursos equivalentes a 70 salarios minimos mensuales legales vigentes, conforme a lo estipulado en el decreto 227 de 2015. LOCALIDAD: KENEDY; BARRIO: LAS PALMITAS; ID: 2016-08-14912.</v>
          </cell>
          <cell r="R2259">
            <v>54686940</v>
          </cell>
          <cell r="S2259">
            <v>0</v>
          </cell>
          <cell r="T2259">
            <v>0</v>
          </cell>
          <cell r="U2259">
            <v>54686940</v>
          </cell>
          <cell r="V2259">
            <v>0</v>
          </cell>
        </row>
        <row r="2260">
          <cell r="J2260">
            <v>2010</v>
          </cell>
          <cell r="K2260">
            <v>43263</v>
          </cell>
          <cell r="L2260" t="str">
            <v>LEONOR  LEON DE GALINDO</v>
          </cell>
          <cell r="M2260">
            <v>31</v>
          </cell>
          <cell r="N2260" t="str">
            <v>RESOLUCION</v>
          </cell>
          <cell r="O2260">
            <v>2204</v>
          </cell>
          <cell r="P2260">
            <v>43263</v>
          </cell>
          <cell r="Q2260" t="str">
            <v>VUR de la actual vigencia Dto. 255 de 2013. LOCALIDAD: SUBA; BARRIO:SAN PEDRO DE TIBABUYES; ID:2018-11-15274</v>
          </cell>
          <cell r="R2260">
            <v>34911092</v>
          </cell>
          <cell r="S2260">
            <v>0</v>
          </cell>
          <cell r="T2260">
            <v>0</v>
          </cell>
          <cell r="U2260">
            <v>34911092</v>
          </cell>
          <cell r="V2260">
            <v>0</v>
          </cell>
        </row>
        <row r="2261">
          <cell r="J2261">
            <v>2011</v>
          </cell>
          <cell r="K2261">
            <v>43263</v>
          </cell>
          <cell r="L2261" t="str">
            <v>LEONOR  LEON DE GALINDO</v>
          </cell>
          <cell r="M2261">
            <v>31</v>
          </cell>
          <cell r="N2261" t="str">
            <v>RESOLUCION</v>
          </cell>
          <cell r="O2261">
            <v>2204</v>
          </cell>
          <cell r="P2261">
            <v>43263</v>
          </cell>
          <cell r="Q2261" t="str">
            <v>VUR de la actual vigencia Dto. 255 de 2013. LOCALIDAD: SUBA; BARRIO:SAN PEDRO DE TIBABUYES; ID:2018-11-15274</v>
          </cell>
          <cell r="R2261">
            <v>4151008</v>
          </cell>
          <cell r="S2261">
            <v>0</v>
          </cell>
          <cell r="T2261">
            <v>0</v>
          </cell>
          <cell r="U2261">
            <v>4151008</v>
          </cell>
          <cell r="V2261">
            <v>0</v>
          </cell>
        </row>
        <row r="2262">
          <cell r="J2262">
            <v>2012</v>
          </cell>
          <cell r="K2262">
            <v>43263</v>
          </cell>
          <cell r="L2262" t="str">
            <v>EDUIN ALBERTO HERNANDEZ SANCHEZ</v>
          </cell>
          <cell r="M2262">
            <v>31</v>
          </cell>
          <cell r="N2262" t="str">
            <v>RESOLUCION</v>
          </cell>
          <cell r="O2262">
            <v>2222</v>
          </cell>
          <cell r="P2262">
            <v>43263</v>
          </cell>
          <cell r="Q2262" t="str">
            <v>Asignacion de recursos equivalentes a 70 salarios minimos mensuales legales vigentes, conforme a lo estipulado en el decreto 227 de 2015. LOCALIDAD: KENEDY; BARRIO: LAS PALMITAS; ID: 2016-08-14844</v>
          </cell>
          <cell r="R2262">
            <v>54686940</v>
          </cell>
          <cell r="S2262">
            <v>0</v>
          </cell>
          <cell r="T2262">
            <v>0</v>
          </cell>
          <cell r="U2262">
            <v>54686940</v>
          </cell>
          <cell r="V2262">
            <v>0</v>
          </cell>
        </row>
        <row r="2263">
          <cell r="J2263">
            <v>2013</v>
          </cell>
          <cell r="K2263">
            <v>43263</v>
          </cell>
          <cell r="L2263" t="str">
            <v>JUAN CARLOS GARCIA</v>
          </cell>
          <cell r="M2263">
            <v>31</v>
          </cell>
          <cell r="N2263" t="str">
            <v>RESOLUCION</v>
          </cell>
          <cell r="O2263">
            <v>2223</v>
          </cell>
          <cell r="P2263">
            <v>43263</v>
          </cell>
          <cell r="Q2263" t="str">
            <v>Asignacion de recursos equivalentes a 70 salarios minimos mensuales legales vigentes, conforme a lo estipulado en el decreto 227 de 2015. LOCALIDAD: KENEDY; BARRIO: LAS PALMITAS; ID: 2017-08-14939</v>
          </cell>
          <cell r="R2263">
            <v>54686940</v>
          </cell>
          <cell r="S2263">
            <v>0</v>
          </cell>
          <cell r="T2263">
            <v>0</v>
          </cell>
          <cell r="U2263">
            <v>54686940</v>
          </cell>
          <cell r="V2263">
            <v>0</v>
          </cell>
        </row>
        <row r="2264">
          <cell r="J2264">
            <v>2024</v>
          </cell>
          <cell r="K2264">
            <v>43266</v>
          </cell>
          <cell r="L2264" t="str">
            <v>ARQUIMEDES  RODRIGUEZ OVIEDO</v>
          </cell>
          <cell r="M2264">
            <v>31</v>
          </cell>
          <cell r="N2264" t="str">
            <v>RESOLUCION</v>
          </cell>
          <cell r="O2264">
            <v>2220</v>
          </cell>
          <cell r="P2264">
            <v>43266</v>
          </cell>
          <cell r="Q2264" t="str">
            <v>adquisicón predial por Dto. 511 de 2010. LOCALIDAD:SAN CRISTOBAL; BARRIO:LA BELLEZA; ID:2013-Q10-00424</v>
          </cell>
          <cell r="R2264">
            <v>52944200</v>
          </cell>
          <cell r="S2264">
            <v>0</v>
          </cell>
          <cell r="T2264">
            <v>0</v>
          </cell>
          <cell r="U2264">
            <v>52944200</v>
          </cell>
          <cell r="V2264">
            <v>0</v>
          </cell>
        </row>
        <row r="2265">
          <cell r="J2265">
            <v>2026</v>
          </cell>
          <cell r="K2265">
            <v>43269</v>
          </cell>
          <cell r="L2265" t="str">
            <v>VICTOR MANUEL TORRES AMAYA</v>
          </cell>
          <cell r="M2265">
            <v>31</v>
          </cell>
          <cell r="N2265" t="str">
            <v>RESOLUCION</v>
          </cell>
          <cell r="O2265">
            <v>2279</v>
          </cell>
          <cell r="P2265">
            <v>43269</v>
          </cell>
          <cell r="Q2265" t="str">
            <v>AYUDA TEMPORAL A LAS FAMILIAS DE VARIAS LOCALIDADES, PARA LA RELOCALIZACIÓN DE HOGARES LOCALIZADOS EN ZONAS DE ALTO RIESGO NO MITIGABLE ID:2011-19-12561, LOCALIDAD:19 CIUDAD BOLÍVAR, UPZ:69 ISMAEL PERDOMO, SECTOR:OLA INVERNAL 2010 FOPAE</v>
          </cell>
          <cell r="R2265">
            <v>3490872</v>
          </cell>
          <cell r="S2265">
            <v>0</v>
          </cell>
          <cell r="T2265">
            <v>0</v>
          </cell>
          <cell r="U2265">
            <v>3490872</v>
          </cell>
          <cell r="V2265">
            <v>498696</v>
          </cell>
        </row>
        <row r="2266">
          <cell r="J2266">
            <v>2027</v>
          </cell>
          <cell r="K2266">
            <v>43269</v>
          </cell>
          <cell r="L2266" t="str">
            <v>MARTHA LUCIA AREVALO SALINAS</v>
          </cell>
          <cell r="M2266">
            <v>31</v>
          </cell>
          <cell r="N2266" t="str">
            <v>RESOLUCION</v>
          </cell>
          <cell r="O2266">
            <v>2280</v>
          </cell>
          <cell r="P2266">
            <v>43269</v>
          </cell>
          <cell r="Q2266" t="str">
            <v>AYUDA TEMPORAL A LAS FAMILIAS DE VARIAS LOCALIDADES, PARA LA RELOCALIZACIÓN DE HOGARES LOCALIZADOS EN ZONAS DE ALTO RIESGO NO MITIGABLE ID:2012-4-14199, LOCALIDAD:04 SAN CRISTÓBAL, UPZ:32 SAN BLAS</v>
          </cell>
          <cell r="R2266">
            <v>3515589</v>
          </cell>
          <cell r="S2266">
            <v>0</v>
          </cell>
          <cell r="T2266">
            <v>0</v>
          </cell>
          <cell r="U2266">
            <v>3515589</v>
          </cell>
          <cell r="V2266">
            <v>390621</v>
          </cell>
        </row>
        <row r="2267">
          <cell r="J2267">
            <v>2028</v>
          </cell>
          <cell r="K2267">
            <v>43269</v>
          </cell>
          <cell r="L2267" t="str">
            <v>RAFAEL  BEDOYA</v>
          </cell>
          <cell r="M2267">
            <v>31</v>
          </cell>
          <cell r="N2267" t="str">
            <v>RESOLUCION</v>
          </cell>
          <cell r="O2267">
            <v>2275</v>
          </cell>
          <cell r="P2267">
            <v>43269</v>
          </cell>
          <cell r="Q2267" t="str">
            <v>AYUDA TEMPORAL A LAS FAMILIAS DE VARIAS LOCALIDADES, PARA LA RELOCALIZACIÓN DE HOGARES LOCALIZADOS EN ZONAS DE ALTO RIESGO NO MITIGABLE ID:2012-18-14316, LOCALIDAD:18 RAFAEL URIBE URIBE, UPZ:55 DIANA TURBAY</v>
          </cell>
          <cell r="R2267">
            <v>3812464</v>
          </cell>
          <cell r="S2267">
            <v>0</v>
          </cell>
          <cell r="T2267">
            <v>0</v>
          </cell>
          <cell r="U2267">
            <v>3812464</v>
          </cell>
          <cell r="V2267">
            <v>476558</v>
          </cell>
        </row>
        <row r="2268">
          <cell r="J2268">
            <v>2029</v>
          </cell>
          <cell r="K2268">
            <v>43269</v>
          </cell>
          <cell r="L2268" t="str">
            <v>OLGA PATRICIA ZAMORA SALAMANCA</v>
          </cell>
          <cell r="M2268">
            <v>31</v>
          </cell>
          <cell r="N2268" t="str">
            <v>RESOLUCION</v>
          </cell>
          <cell r="O2268">
            <v>2276</v>
          </cell>
          <cell r="P2268">
            <v>43269</v>
          </cell>
          <cell r="Q2268" t="str">
            <v>AYUDA TEMPORAL A LAS FAMILIAS DE VARIAS LOCALIDADES, PARA LA RELOCALIZACIÓN DE HOGARES LOCALIZADOS EN ZONAS DE ALTO RIESGO NO MITIGABLE ID:2006-4-7956, LOCALIDAD:04 SAN CRISTÓBAL, UPZ:32 SAN BLAS</v>
          </cell>
          <cell r="R2268">
            <v>3124968</v>
          </cell>
          <cell r="S2268">
            <v>0</v>
          </cell>
          <cell r="T2268">
            <v>0</v>
          </cell>
          <cell r="U2268">
            <v>3124968</v>
          </cell>
          <cell r="V2268">
            <v>390621</v>
          </cell>
        </row>
        <row r="2269">
          <cell r="J2269">
            <v>2030</v>
          </cell>
          <cell r="K2269">
            <v>43269</v>
          </cell>
          <cell r="L2269" t="str">
            <v>JOSE ALFONSO BETANCUR MORA</v>
          </cell>
          <cell r="M2269">
            <v>31</v>
          </cell>
          <cell r="N2269" t="str">
            <v>RESOLUCION</v>
          </cell>
          <cell r="O2269">
            <v>2278</v>
          </cell>
          <cell r="P2269">
            <v>43269</v>
          </cell>
          <cell r="Q2269" t="str">
            <v>AYUDA TEMPORAL A LAS FAMILIAS DE VARIAS LOCALIDADES, PARA LA RELOCALIZACIÓN DE HOGARES LOCALIZADOS EN ZONAS DE ALTO RIESGO NO MITIGABLE ID:2013000228, LOCALIDAD:19 CIUDAD BOLÍVAR, UPZ:67 LUCERO, SECTOR:QUEBRADA TROMPETA</v>
          </cell>
          <cell r="R2269">
            <v>3608360</v>
          </cell>
          <cell r="S2269">
            <v>0</v>
          </cell>
          <cell r="T2269">
            <v>0</v>
          </cell>
          <cell r="U2269">
            <v>3608360</v>
          </cell>
          <cell r="V2269">
            <v>451045</v>
          </cell>
        </row>
        <row r="2270">
          <cell r="J2270">
            <v>2032</v>
          </cell>
          <cell r="K2270">
            <v>43270</v>
          </cell>
          <cell r="L2270" t="str">
            <v>JOSE MIGUEL CONTRERAS ROA</v>
          </cell>
          <cell r="M2270">
            <v>31</v>
          </cell>
          <cell r="N2270" t="str">
            <v>RESOLUCION</v>
          </cell>
          <cell r="O2270">
            <v>2274</v>
          </cell>
          <cell r="P2270">
            <v>43270</v>
          </cell>
          <cell r="Q2270" t="str">
            <v>AYUDA TEMPORAL A LAS FAMILIAS DE VARIAS LOCALIDADES, PARA LA RELOCALIZACIÓN DE HOGARES LOCALIZADOS EN ZONAS DE ALTO RIESGO NO MITIGABLE ID:2015-D227-00025, LOCALIDAD:04 SAN CRISTÓBAL, UPZ:51 LOS LIBERTADORES, SECTOR:SANTA TERESITA</v>
          </cell>
          <cell r="R2270">
            <v>3659080</v>
          </cell>
          <cell r="S2270">
            <v>0</v>
          </cell>
          <cell r="T2270">
            <v>0</v>
          </cell>
          <cell r="U2270">
            <v>3659080</v>
          </cell>
          <cell r="V2270">
            <v>457385</v>
          </cell>
        </row>
        <row r="2271">
          <cell r="J2271">
            <v>2033</v>
          </cell>
          <cell r="K2271">
            <v>43270</v>
          </cell>
          <cell r="L2271" t="str">
            <v>LUIS ALBERTO MIRANDA MORELO</v>
          </cell>
          <cell r="M2271">
            <v>31</v>
          </cell>
          <cell r="N2271" t="str">
            <v>RESOLUCION</v>
          </cell>
          <cell r="O2271">
            <v>2277</v>
          </cell>
          <cell r="P2271">
            <v>43270</v>
          </cell>
          <cell r="Q2271" t="str">
            <v>AYUDA TEMPORAL A LAS FAMILIAS DE VARIAS LOCALIDADES, PARA LA RELOCALIZACIÓN DE HOGARES LOCALIZADOS EN ZONAS DE ALTO RIESGO NO MITIGABLE ID:2012-T314-08, LOCALIDAD:04 SAN CRISTÓBAL, UPZ:50 LA GLORIA</v>
          </cell>
          <cell r="R2271">
            <v>3536208</v>
          </cell>
          <cell r="S2271">
            <v>0</v>
          </cell>
          <cell r="T2271">
            <v>0</v>
          </cell>
          <cell r="U2271">
            <v>3536208</v>
          </cell>
          <cell r="V2271">
            <v>442026</v>
          </cell>
        </row>
        <row r="2272">
          <cell r="J2272">
            <v>2034</v>
          </cell>
          <cell r="K2272">
            <v>43270</v>
          </cell>
          <cell r="L2272" t="str">
            <v>LUIS CARLOS RAMIREZ</v>
          </cell>
          <cell r="M2272">
            <v>31</v>
          </cell>
          <cell r="N2272" t="str">
            <v>RESOLUCION</v>
          </cell>
          <cell r="O2272">
            <v>2237</v>
          </cell>
          <cell r="P2272">
            <v>43270</v>
          </cell>
          <cell r="Q2272" t="str">
            <v>VUR DE LA ACTUAL VIGENCIA. LA ASIGNACIÓN SE REALIZA PARA DAR CUMPLIMIENTO AL FALLO DE ACCIÓN POPULAR 2002-00152- SUBA GAVILANES. DECRETO 255 DE 2013.LOCALIDAD: SUBA (GAVILANES); BARRIO: BILBAO; ID: 2018-11-15060</v>
          </cell>
          <cell r="R2272">
            <v>39062100</v>
          </cell>
          <cell r="S2272">
            <v>0</v>
          </cell>
          <cell r="T2272">
            <v>0</v>
          </cell>
          <cell r="U2272">
            <v>39062100</v>
          </cell>
          <cell r="V2272">
            <v>0</v>
          </cell>
        </row>
        <row r="2273">
          <cell r="J2273">
            <v>2035</v>
          </cell>
          <cell r="K2273">
            <v>43270</v>
          </cell>
          <cell r="L2273" t="str">
            <v>JHOAN ESNEIDER SAMACA ROSERO</v>
          </cell>
          <cell r="M2273">
            <v>31</v>
          </cell>
          <cell r="N2273" t="str">
            <v>RESOLUCION</v>
          </cell>
          <cell r="O2273">
            <v>2298</v>
          </cell>
          <cell r="P2273">
            <v>43270</v>
          </cell>
          <cell r="Q2273" t="str">
            <v>Asignacion del instrumento financiero a las familias ocupantes del predio que hayan superado la fase de verificacion dentro  del marco del Decreto 457 de 2017. LOCALIDAD: KENNEDY; BARRIO: VEREDITAS; ID: 2018-08-384584</v>
          </cell>
          <cell r="R2273">
            <v>54686940</v>
          </cell>
          <cell r="S2273">
            <v>0</v>
          </cell>
          <cell r="T2273">
            <v>0</v>
          </cell>
          <cell r="U2273">
            <v>54686940</v>
          </cell>
          <cell r="V2273">
            <v>54686940</v>
          </cell>
        </row>
        <row r="2274">
          <cell r="J2274">
            <v>2036</v>
          </cell>
          <cell r="K2274">
            <v>43270</v>
          </cell>
          <cell r="L2274" t="str">
            <v>CESAR ANDRES BARON LESMES</v>
          </cell>
          <cell r="M2274">
            <v>31</v>
          </cell>
          <cell r="N2274" t="str">
            <v>RESOLUCION</v>
          </cell>
          <cell r="O2274">
            <v>2299</v>
          </cell>
          <cell r="P2274">
            <v>43270</v>
          </cell>
          <cell r="Q2274" t="str">
            <v>Asignacion del instrumento financiero a las familias ocupantes del predio que hayan superado la fase de verificacion dentro  del marco del Decreto 457 de 2017. LOCALIDAD: KENNEDY; BARRIO: VEREDITAS; ID: 2018-8-384317</v>
          </cell>
          <cell r="R2274">
            <v>54686940</v>
          </cell>
          <cell r="S2274">
            <v>0</v>
          </cell>
          <cell r="T2274">
            <v>0</v>
          </cell>
          <cell r="U2274">
            <v>54686940</v>
          </cell>
          <cell r="V2274">
            <v>54686940</v>
          </cell>
        </row>
        <row r="2275">
          <cell r="J2275">
            <v>2040</v>
          </cell>
          <cell r="K2275">
            <v>43271</v>
          </cell>
          <cell r="L2275" t="str">
            <v>JOHN DIDIER TIRADO ROSERO</v>
          </cell>
          <cell r="M2275">
            <v>31</v>
          </cell>
          <cell r="N2275" t="str">
            <v>RESOLUCION</v>
          </cell>
          <cell r="O2275">
            <v>2296</v>
          </cell>
          <cell r="P2275">
            <v>43271</v>
          </cell>
          <cell r="Q2275" t="str">
            <v>Asignacion del instrumento financiero a las familias ocupantes del predio que hayan superado la fase de verificacion dentro  del marco del Decreto 457 de 2017. LOCALIDAD: KENNEDY; BARRIO: VEREDITAS; ID: 2017-8-383653</v>
          </cell>
          <cell r="R2275">
            <v>54686940</v>
          </cell>
          <cell r="S2275">
            <v>0</v>
          </cell>
          <cell r="T2275">
            <v>0</v>
          </cell>
          <cell r="U2275">
            <v>54686940</v>
          </cell>
          <cell r="V2275">
            <v>54686940</v>
          </cell>
        </row>
        <row r="2276">
          <cell r="J2276">
            <v>2041</v>
          </cell>
          <cell r="K2276">
            <v>43271</v>
          </cell>
          <cell r="L2276" t="str">
            <v>NIDIA BIBIANA LESMES SANCHEZ</v>
          </cell>
          <cell r="M2276">
            <v>31</v>
          </cell>
          <cell r="N2276" t="str">
            <v>RESOLUCION</v>
          </cell>
          <cell r="O2276">
            <v>2297</v>
          </cell>
          <cell r="P2276">
            <v>43271</v>
          </cell>
          <cell r="Q2276" t="str">
            <v>Asignacion del instrumento financiero a las familias ocupantes del predio que hayan superado la fase de verificacion dentro  del marco del Decreto 457 de 2017. LOCALIDAD: KENNEDY; BARRIO: VEREDITAS; ID: 2018-8-384318</v>
          </cell>
          <cell r="R2276">
            <v>54686940</v>
          </cell>
          <cell r="S2276">
            <v>0</v>
          </cell>
          <cell r="T2276">
            <v>0</v>
          </cell>
          <cell r="U2276">
            <v>54686940</v>
          </cell>
          <cell r="V2276">
            <v>54686940</v>
          </cell>
        </row>
        <row r="2277">
          <cell r="J2277">
            <v>2047</v>
          </cell>
          <cell r="K2277">
            <v>43271</v>
          </cell>
          <cell r="L2277" t="str">
            <v>BLANCA NORA MONTENEGRO</v>
          </cell>
          <cell r="M2277">
            <v>31</v>
          </cell>
          <cell r="N2277" t="str">
            <v>RESOLUCION</v>
          </cell>
          <cell r="O2277">
            <v>2236</v>
          </cell>
          <cell r="P2277">
            <v>43271</v>
          </cell>
          <cell r="Q2277" t="str">
            <v>VUR DE LA ACTUAL VIGENCIA. LA ASIGNACIÓN SE REALIZA PARA DAR CUMPLIMIENTO AL FALLO DE ACCIÓN POPULAR 2002-00152- SUBA GAVILANES. DECRETO 255 DE 2013.LOCALIDAD: SUBA (GAVILANES); BARRIO: SANTA CECILIA; ID: 2018-11-15214</v>
          </cell>
          <cell r="R2277">
            <v>39062100</v>
          </cell>
          <cell r="S2277">
            <v>0</v>
          </cell>
          <cell r="T2277">
            <v>0</v>
          </cell>
          <cell r="U2277">
            <v>39062100</v>
          </cell>
          <cell r="V2277">
            <v>0</v>
          </cell>
        </row>
        <row r="2278">
          <cell r="J2278">
            <v>2057</v>
          </cell>
          <cell r="K2278">
            <v>43273</v>
          </cell>
          <cell r="L2278" t="str">
            <v>FRANCISCO LUIS LOPEZ OROZCO</v>
          </cell>
          <cell r="M2278">
            <v>31</v>
          </cell>
          <cell r="N2278" t="str">
            <v>RESOLUCION</v>
          </cell>
          <cell r="O2278">
            <v>2387</v>
          </cell>
          <cell r="P2278">
            <v>43273</v>
          </cell>
          <cell r="Q2278" t="str">
            <v>AYUDA TEMPORAL A LAS FAMILIAS DE VARIAS LOCALIDADES, PARA LA RELOCALIZACIÓN DE HOGARES LOCALIZADOS EN ZONAS DE ALTO RIESGO NO MITIGABLE ID:2011-19-12882, LOCALIDAD:19 CIUDAD BOLÍVAR, UPZ:67 LUCERO</v>
          </cell>
          <cell r="R2278">
            <v>2788562</v>
          </cell>
          <cell r="S2278">
            <v>0</v>
          </cell>
          <cell r="T2278">
            <v>0</v>
          </cell>
          <cell r="U2278">
            <v>2788562</v>
          </cell>
          <cell r="V2278">
            <v>398366</v>
          </cell>
        </row>
        <row r="2279">
          <cell r="J2279">
            <v>2058</v>
          </cell>
          <cell r="K2279">
            <v>43273</v>
          </cell>
          <cell r="L2279" t="str">
            <v>LUIS ELIZARDO QUIROGA PEÑA</v>
          </cell>
          <cell r="M2279">
            <v>31</v>
          </cell>
          <cell r="N2279" t="str">
            <v>RESOLUCION</v>
          </cell>
          <cell r="O2279">
            <v>2386</v>
          </cell>
          <cell r="P2279">
            <v>43273</v>
          </cell>
          <cell r="Q2279" t="str">
            <v>AYUDA TEMPORAL A LAS FAMILIAS DE VARIAS LOCALIDADES, PARA LA RELOCALIZACIÓN DE HOGARES LOCALIZADOS EN ZONAS DE ALTO RIESGO NO MITIGABLE ID:2012-18-14355, LOCALIDAD:18 RAFAEL URIBE URIBE, UPZ:55 DIANA TURBAY</v>
          </cell>
          <cell r="R2279">
            <v>2618154</v>
          </cell>
          <cell r="S2279">
            <v>0</v>
          </cell>
          <cell r="T2279">
            <v>0</v>
          </cell>
          <cell r="U2279">
            <v>2618154</v>
          </cell>
          <cell r="V2279">
            <v>374022</v>
          </cell>
        </row>
        <row r="2280">
          <cell r="J2280">
            <v>2059</v>
          </cell>
          <cell r="K2280">
            <v>43273</v>
          </cell>
          <cell r="L2280" t="str">
            <v>MARIELA  CHARRY PINTO</v>
          </cell>
          <cell r="M2280">
            <v>31</v>
          </cell>
          <cell r="N2280" t="str">
            <v>RESOLUCION</v>
          </cell>
          <cell r="O2280">
            <v>2385</v>
          </cell>
          <cell r="P2280">
            <v>43273</v>
          </cell>
          <cell r="Q2280" t="str">
            <v>AYUDA TEMPORAL A LAS FAMILIAS DE VARIAS LOCALIDADES, PARA LA RELOCALIZACIÓN DE HOGARES LOCALIZADOS EN ZONAS DE ALTO RIESGO NO MITIGABLE ID:2012-18-14360, LOCALIDAD:18 RAFAEL URIBE URIBE, UPZ:55 DIANA TURBAY</v>
          </cell>
          <cell r="R2280">
            <v>3752413</v>
          </cell>
          <cell r="S2280">
            <v>0</v>
          </cell>
          <cell r="T2280">
            <v>0</v>
          </cell>
          <cell r="U2280">
            <v>3752413</v>
          </cell>
          <cell r="V2280">
            <v>536059</v>
          </cell>
        </row>
        <row r="2281">
          <cell r="J2281">
            <v>2060</v>
          </cell>
          <cell r="K2281">
            <v>43273</v>
          </cell>
          <cell r="L2281" t="str">
            <v>MARIA HILDA PRIETO SALAMANCA</v>
          </cell>
          <cell r="M2281">
            <v>31</v>
          </cell>
          <cell r="N2281" t="str">
            <v>RESOLUCION</v>
          </cell>
          <cell r="O2281">
            <v>2384</v>
          </cell>
          <cell r="P2281">
            <v>43273</v>
          </cell>
          <cell r="Q2281" t="str">
            <v>AYUDA TEMPORAL A LAS FAMILIAS DE VARIAS LOCALIDADES, PARA LA RELOCALIZACIÓN DE HOGARES LOCALIZADOS EN ZONAS DE ALTO RIESGO NO MITIGABLE ID:2011-4-13355, LOCALIDAD:04 SAN CRISTÓBAL, UPZ:32 SAN BLAS</v>
          </cell>
          <cell r="R2281">
            <v>3363507</v>
          </cell>
          <cell r="S2281">
            <v>0</v>
          </cell>
          <cell r="T2281">
            <v>0</v>
          </cell>
          <cell r="U2281">
            <v>3363507</v>
          </cell>
          <cell r="V2281">
            <v>480501</v>
          </cell>
        </row>
        <row r="2282">
          <cell r="J2282">
            <v>2061</v>
          </cell>
          <cell r="K2282">
            <v>43273</v>
          </cell>
          <cell r="L2282" t="str">
            <v>MARIA ELVIRA TOVAR</v>
          </cell>
          <cell r="M2282">
            <v>31</v>
          </cell>
          <cell r="N2282" t="str">
            <v>RESOLUCION</v>
          </cell>
          <cell r="O2282">
            <v>2409</v>
          </cell>
          <cell r="P2282">
            <v>43273</v>
          </cell>
          <cell r="Q2282" t="str">
            <v>AYUDA TEMPORAL A LAS FAMILIAS DE VARIAS LOCALIDADES, PARA RELOCALIZACIÓN DE HOGARES LOCALIZADOS EN ZONAS DE ALTO RIESGO NO MITIGABLE ID:2013000328, LOCALIDAD:19 CIUDAD BOLÍVAR, UPZ:67 LUCERO, SECTOR:PEÑA COLORADA</v>
          </cell>
          <cell r="R2282">
            <v>3157315</v>
          </cell>
          <cell r="S2282">
            <v>0</v>
          </cell>
          <cell r="T2282">
            <v>0</v>
          </cell>
          <cell r="U2282">
            <v>3157315</v>
          </cell>
          <cell r="V2282">
            <v>451045</v>
          </cell>
        </row>
        <row r="2283">
          <cell r="J2283">
            <v>2062</v>
          </cell>
          <cell r="K2283">
            <v>43273</v>
          </cell>
          <cell r="L2283" t="str">
            <v>MARINELA  GAONA GONZALEZ</v>
          </cell>
          <cell r="M2283">
            <v>31</v>
          </cell>
          <cell r="N2283" t="str">
            <v>RESOLUCION</v>
          </cell>
          <cell r="O2283">
            <v>2383</v>
          </cell>
          <cell r="P2283">
            <v>43273</v>
          </cell>
          <cell r="Q2283" t="str">
            <v>AYUDA TEMPORAL A LAS FAMILIAS DE VARIAS LOCALIDADES, PARA LA RELOCALIZACIÓN DE HOGARES LOCALIZADOS EN ZONAS DE ALTO RIESGO NO MITIGABLE ID:2012-4-14293, LOCALIDAD:04 SAN CRISTÓBAL, UPZ:50 LA GLORIA</v>
          </cell>
          <cell r="R2283">
            <v>3017000</v>
          </cell>
          <cell r="S2283">
            <v>0</v>
          </cell>
          <cell r="T2283">
            <v>0</v>
          </cell>
          <cell r="U2283">
            <v>3017000</v>
          </cell>
          <cell r="V2283">
            <v>431000</v>
          </cell>
        </row>
        <row r="2284">
          <cell r="J2284">
            <v>2063</v>
          </cell>
          <cell r="K2284">
            <v>43273</v>
          </cell>
          <cell r="L2284" t="str">
            <v>YAMILE  MENDEZ</v>
          </cell>
          <cell r="M2284">
            <v>31</v>
          </cell>
          <cell r="N2284" t="str">
            <v>RESOLUCION</v>
          </cell>
          <cell r="O2284">
            <v>2382</v>
          </cell>
          <cell r="P2284">
            <v>43273</v>
          </cell>
          <cell r="Q2284" t="str">
            <v>AYUDA TEMPORAL A LAS FAMILIAS DE VARIAS LOCALIDADES, PARA LA RELOCALIZACIÓN DE HOGARES LOCALIZADOS EN ZONAS DE ALTO RIESGO NO MITIGABLE ID:2012-ALES-132, LOCALIDAD:19 CIUDAD BOLÍVAR, UPZ:69 ISMAEL PERDOMO, SECTOR:ALTOS DE LA ESTANCIA</v>
          </cell>
          <cell r="R2284">
            <v>3017000</v>
          </cell>
          <cell r="S2284">
            <v>0</v>
          </cell>
          <cell r="T2284">
            <v>0</v>
          </cell>
          <cell r="U2284">
            <v>3017000</v>
          </cell>
          <cell r="V2284">
            <v>431000</v>
          </cell>
        </row>
        <row r="2285">
          <cell r="J2285">
            <v>2064</v>
          </cell>
          <cell r="K2285">
            <v>43273</v>
          </cell>
          <cell r="L2285" t="str">
            <v>CONCEPCION  TOVAR MUÑOZ</v>
          </cell>
          <cell r="M2285">
            <v>31</v>
          </cell>
          <cell r="N2285" t="str">
            <v>RESOLUCION</v>
          </cell>
          <cell r="O2285">
            <v>2381</v>
          </cell>
          <cell r="P2285">
            <v>43273</v>
          </cell>
          <cell r="Q2285" t="str">
            <v>AYUDA TEMPORAL A LAS FAMILIAS DE VARIAS LOCALIDADES, PARA LA RELOCALIZACIÓN DE HOGARES LOCALIZADOS EN ZONAS DE ALTO RIESGO NO MITIGABLE ID:2011-5-12895, LOCALIDAD:05 USME, UPZ:61 CIUDAD DE USME</v>
          </cell>
          <cell r="R2285">
            <v>3374280</v>
          </cell>
          <cell r="S2285">
            <v>0</v>
          </cell>
          <cell r="T2285">
            <v>0</v>
          </cell>
          <cell r="U2285">
            <v>3374280</v>
          </cell>
          <cell r="V2285">
            <v>482040</v>
          </cell>
        </row>
        <row r="2286">
          <cell r="J2286">
            <v>2065</v>
          </cell>
          <cell r="K2286">
            <v>43273</v>
          </cell>
          <cell r="L2286" t="str">
            <v>ARAMINTA  PIÑEROS MARTIN</v>
          </cell>
          <cell r="M2286">
            <v>31</v>
          </cell>
          <cell r="N2286" t="str">
            <v>RESOLUCION</v>
          </cell>
          <cell r="O2286">
            <v>2380</v>
          </cell>
          <cell r="P2286">
            <v>43273</v>
          </cell>
          <cell r="Q2286" t="str">
            <v>AYUDA TEMPORAL A LAS FAMILIAS DE VARIAS LOCALIDADES, PARA LA RELOCALIZACIÓN DE HOGARES LOCALIZADOS EN ZONAS DE ALTO RIESGO NO MITIGABLE ID:2011-5-13039, LOCALIDAD:05 USME, UPZ:56 DANUBIO</v>
          </cell>
          <cell r="R2286">
            <v>3201695</v>
          </cell>
          <cell r="S2286">
            <v>0</v>
          </cell>
          <cell r="T2286">
            <v>0</v>
          </cell>
          <cell r="U2286">
            <v>3201695</v>
          </cell>
          <cell r="V2286">
            <v>457385</v>
          </cell>
        </row>
        <row r="2287">
          <cell r="J2287">
            <v>2066</v>
          </cell>
          <cell r="K2287">
            <v>43273</v>
          </cell>
          <cell r="L2287" t="str">
            <v>ANA ISABEL FORERO SOTO</v>
          </cell>
          <cell r="M2287">
            <v>31</v>
          </cell>
          <cell r="N2287" t="str">
            <v>RESOLUCION</v>
          </cell>
          <cell r="O2287">
            <v>2408</v>
          </cell>
          <cell r="P2287">
            <v>43273</v>
          </cell>
          <cell r="Q2287" t="str">
            <v>AYUDA TEMPORAL A LAS FAMILIAS DE VARIAS LOCALIDADES, PARA LA RELOCALIZACIÓN DE HOGARES LOCALIZADOS EN ZONAS DE ALTO RIESGO NO MITIGABLE ID:2014-OTR-00879, LOCALIDAD:03 SANTA FE, UPZ:96 LOURDES, SECTOR:CASA 2</v>
          </cell>
          <cell r="R2287">
            <v>3516527</v>
          </cell>
          <cell r="S2287">
            <v>0</v>
          </cell>
          <cell r="T2287">
            <v>0</v>
          </cell>
          <cell r="U2287">
            <v>3516527</v>
          </cell>
          <cell r="V2287">
            <v>502361</v>
          </cell>
        </row>
        <row r="2288">
          <cell r="J2288">
            <v>2067</v>
          </cell>
          <cell r="K2288">
            <v>43273</v>
          </cell>
          <cell r="L2288" t="str">
            <v>MARIA DE LOS ANGELES LOPEZ RUIZ</v>
          </cell>
          <cell r="M2288">
            <v>31</v>
          </cell>
          <cell r="N2288" t="str">
            <v>RESOLUCION</v>
          </cell>
          <cell r="O2288">
            <v>2379</v>
          </cell>
          <cell r="P2288">
            <v>43273</v>
          </cell>
          <cell r="Q2288" t="str">
            <v>AYUDA TEMPORAL A LAS FAMILIAS DE VARIAS LOCALIDADES, PARA LA RELOCALIZACIÓN DE HOGARES LOCALIZADOS EN ZONAS DE ALTO RIESGO NO MITIGABLE ID:2012-ALES-131, LOCALIDAD:19 CIUDAD BOLÍVAR, UPZ:69 ISMAEL PERDOMO</v>
          </cell>
          <cell r="R2288">
            <v>3619000</v>
          </cell>
          <cell r="S2288">
            <v>0</v>
          </cell>
          <cell r="T2288">
            <v>0</v>
          </cell>
          <cell r="U2288">
            <v>3619000</v>
          </cell>
          <cell r="V2288">
            <v>517000</v>
          </cell>
        </row>
        <row r="2289">
          <cell r="J2289">
            <v>2068</v>
          </cell>
          <cell r="K2289">
            <v>43273</v>
          </cell>
          <cell r="L2289" t="str">
            <v>GLORIA  NIÑO VILLALBA</v>
          </cell>
          <cell r="M2289">
            <v>31</v>
          </cell>
          <cell r="N2289" t="str">
            <v>RESOLUCION</v>
          </cell>
          <cell r="O2289">
            <v>2407</v>
          </cell>
          <cell r="P2289">
            <v>43273</v>
          </cell>
          <cell r="Q2289" t="str">
            <v>AYUDA TEMPORAL A LAS FAMILIAS DE VARIAS LOCALIDADES, PARA LA RELOCALIZACIÓN DE HOGARES LOCALIZADOS EN ZONAS DE ALTO RIESGO NO MITIGABLE ID:2014-OTR-00897, LOCALIDAD:03 SANTA FE, UPZ:96 LOURDES, SECTOR:CASA 3</v>
          </cell>
          <cell r="R2289">
            <v>2976771</v>
          </cell>
          <cell r="S2289">
            <v>0</v>
          </cell>
          <cell r="T2289">
            <v>0</v>
          </cell>
          <cell r="U2289">
            <v>2976771</v>
          </cell>
          <cell r="V2289">
            <v>425253</v>
          </cell>
        </row>
        <row r="2290">
          <cell r="J2290">
            <v>2069</v>
          </cell>
          <cell r="K2290">
            <v>43273</v>
          </cell>
          <cell r="L2290" t="str">
            <v>YUDI KATERINE RAMIREZ RODRIGUEZ</v>
          </cell>
          <cell r="M2290">
            <v>31</v>
          </cell>
          <cell r="N2290" t="str">
            <v>RESOLUCION</v>
          </cell>
          <cell r="O2290">
            <v>2406</v>
          </cell>
          <cell r="P2290">
            <v>43273</v>
          </cell>
          <cell r="Q2290" t="str">
            <v>AYUDA TEMPORAL A LAS FAMILIAS DE VARIAS LOCALIDADES, PARA LA RELOCALIZACIÓN DE HOGARES LOCALIZADOS EN ZONAS DE ALTO RIESGO NO MITIGABLE ID:2014-OTR-00882, LOCALIDAD:03 SANTA FE, UPZ:96 LOURDES, SECTOR:CASA 2</v>
          </cell>
          <cell r="R2290">
            <v>3518186</v>
          </cell>
          <cell r="S2290">
            <v>0</v>
          </cell>
          <cell r="T2290">
            <v>0</v>
          </cell>
          <cell r="U2290">
            <v>3518186</v>
          </cell>
          <cell r="V2290">
            <v>502598</v>
          </cell>
        </row>
        <row r="2291">
          <cell r="J2291">
            <v>2070</v>
          </cell>
          <cell r="K2291">
            <v>43273</v>
          </cell>
          <cell r="L2291" t="str">
            <v>NELLY  SUA OJEDA</v>
          </cell>
          <cell r="M2291">
            <v>31</v>
          </cell>
          <cell r="N2291" t="str">
            <v>RESOLUCION</v>
          </cell>
          <cell r="O2291">
            <v>2377</v>
          </cell>
          <cell r="P2291">
            <v>43273</v>
          </cell>
          <cell r="Q2291" t="str">
            <v>AYUDA TEMPORAL A LAS FAMILIAS DE VARIAS LOCALIDADES, PARA LA RELOCALIZACIÓN DE HOGARES LOCALIZADOS EN ZONAS DE ALTO RIESGO NO MITIGABLE ID:2012-19-14068, LOCALIDAD:19 CIUDAD BOLÍVAR, UPZ:68 EL TESORO, SECTOR:QUEBRADA TROMPETA</v>
          </cell>
          <cell r="R2291">
            <v>3570210</v>
          </cell>
          <cell r="S2291">
            <v>0</v>
          </cell>
          <cell r="T2291">
            <v>0</v>
          </cell>
          <cell r="U2291">
            <v>3570210</v>
          </cell>
          <cell r="V2291">
            <v>510030</v>
          </cell>
        </row>
        <row r="2292">
          <cell r="J2292">
            <v>2071</v>
          </cell>
          <cell r="K2292">
            <v>43273</v>
          </cell>
          <cell r="L2292" t="str">
            <v>EVANGELISTA  ARDILA QUIROGA</v>
          </cell>
          <cell r="M2292">
            <v>31</v>
          </cell>
          <cell r="N2292" t="str">
            <v>RESOLUCION</v>
          </cell>
          <cell r="O2292">
            <v>2376</v>
          </cell>
          <cell r="P2292">
            <v>43273</v>
          </cell>
          <cell r="Q2292" t="str">
            <v>AYUDA TEMPORAL A LAS FAMILIAS DE VARIAS LOCALIDADES, PARA LA RELOCALIZACIÓN DE HOGARES LOCALIZADOS EN ZONAS DE ALTO RIESGO NO MITIGABLE ID:2012-19-14220, LOCALIDAD:19 CIUDAD BOLÍVAR, UPZ:68 EL TESORO, SECTOR:QUEBRADA TROMPETA</v>
          </cell>
          <cell r="R2292">
            <v>2685291</v>
          </cell>
          <cell r="S2292">
            <v>0</v>
          </cell>
          <cell r="T2292">
            <v>0</v>
          </cell>
          <cell r="U2292">
            <v>2685291</v>
          </cell>
          <cell r="V2292">
            <v>383613</v>
          </cell>
        </row>
        <row r="2293">
          <cell r="J2293">
            <v>2072</v>
          </cell>
          <cell r="K2293">
            <v>43273</v>
          </cell>
          <cell r="L2293" t="str">
            <v>NATALI  RODRIGUEZ GONZALEZ</v>
          </cell>
          <cell r="M2293">
            <v>31</v>
          </cell>
          <cell r="N2293" t="str">
            <v>RESOLUCION</v>
          </cell>
          <cell r="O2293">
            <v>2405</v>
          </cell>
          <cell r="P2293">
            <v>43273</v>
          </cell>
          <cell r="Q2293" t="str">
            <v>AYUDA TEMPORAL A LAS FAMILIAS DE VARIAS LOCALIDADES, PARA LA RELOCALIZACIÓN DE HOGARES LOCALIZADOS EN ZONAS DE ALTO RIESGO NO MITIGABLE ID:2014-OTR-01001, LOCALIDAD:19 CIUDAD BOLÍVAR, UPZ:67 LUCERO, SECTOR:TABOR ALTALOMA</v>
          </cell>
          <cell r="R2293">
            <v>2582006</v>
          </cell>
          <cell r="S2293">
            <v>0</v>
          </cell>
          <cell r="T2293">
            <v>0</v>
          </cell>
          <cell r="U2293">
            <v>2582006</v>
          </cell>
          <cell r="V2293">
            <v>368858</v>
          </cell>
        </row>
        <row r="2294">
          <cell r="J2294">
            <v>2073</v>
          </cell>
          <cell r="K2294">
            <v>43273</v>
          </cell>
          <cell r="L2294" t="str">
            <v>ANDREA ESMERALDA FRANCO ALGECIRA</v>
          </cell>
          <cell r="M2294">
            <v>31</v>
          </cell>
          <cell r="N2294" t="str">
            <v>RESOLUCION</v>
          </cell>
          <cell r="O2294">
            <v>2375</v>
          </cell>
          <cell r="P2294">
            <v>43273</v>
          </cell>
          <cell r="Q2294" t="str">
            <v>AYUDA TEMPORAL A LAS FAMILIAS DE VARIAS LOCALIDADES, PARA LA RELOCALIZACIÓN DE HOGARES LOCALIZADOS EN ZONAS DE ALTO RIESGO NO MITIGABLE ID:2014-18-14706, LOCALIDAD:18 RAFAEL URIBE URIBE, UPZ:53 MARCO FIDEL SUÁREZ</v>
          </cell>
          <cell r="R2294">
            <v>2893681</v>
          </cell>
          <cell r="S2294">
            <v>0</v>
          </cell>
          <cell r="T2294">
            <v>0</v>
          </cell>
          <cell r="U2294">
            <v>2893681</v>
          </cell>
          <cell r="V2294">
            <v>413383</v>
          </cell>
        </row>
        <row r="2295">
          <cell r="J2295">
            <v>2074</v>
          </cell>
          <cell r="K2295">
            <v>43273</v>
          </cell>
          <cell r="L2295" t="str">
            <v>MORELIA  CANO</v>
          </cell>
          <cell r="M2295">
            <v>31</v>
          </cell>
          <cell r="N2295" t="str">
            <v>RESOLUCION</v>
          </cell>
          <cell r="O2295">
            <v>2374</v>
          </cell>
          <cell r="P2295">
            <v>43273</v>
          </cell>
          <cell r="Q2295" t="str">
            <v>AYUDA TEMPORAL A LAS FAMILIAS DE VARIAS LOCALIDADES, PARA LA RELOCALIZACIÓN DE HOGARES LOCALIZADOS EN ZONAS DE ALTO RIESGO NO MITIGABLE ID:2011-4-12639, LOCALIDAD:04 SAN CRISTÓBAL, UPZ:32 SAN BLAS</v>
          </cell>
          <cell r="R2295">
            <v>2582006</v>
          </cell>
          <cell r="S2295">
            <v>0</v>
          </cell>
          <cell r="T2295">
            <v>0</v>
          </cell>
          <cell r="U2295">
            <v>2582006</v>
          </cell>
          <cell r="V2295">
            <v>368858</v>
          </cell>
        </row>
        <row r="2296">
          <cell r="J2296">
            <v>2075</v>
          </cell>
          <cell r="K2296">
            <v>43273</v>
          </cell>
          <cell r="L2296" t="str">
            <v>DIANA MARCELA OSORIO MORALES</v>
          </cell>
          <cell r="M2296">
            <v>31</v>
          </cell>
          <cell r="N2296" t="str">
            <v>RESOLUCION</v>
          </cell>
          <cell r="O2296">
            <v>2404</v>
          </cell>
          <cell r="P2296">
            <v>43273</v>
          </cell>
          <cell r="Q2296" t="str">
            <v>AYUDA TEMPORAL A LAS FAMILIAS DE VARIAS LOCALIDADES, PARA LA RELOCALIZACIÓN DE HOGARES LOCALIZADOS EN ZONAS DE ALTO RIESGO NO MITIGABLE ID:2014-LC-00791, LOCALIDAD:19 CIUDAD BOLÍVAR, UPZ:69 ISMAEL PERDOMO</v>
          </cell>
          <cell r="R2296">
            <v>2845920</v>
          </cell>
          <cell r="S2296">
            <v>0</v>
          </cell>
          <cell r="T2296">
            <v>0</v>
          </cell>
          <cell r="U2296">
            <v>2845920</v>
          </cell>
          <cell r="V2296">
            <v>406560</v>
          </cell>
        </row>
        <row r="2297">
          <cell r="J2297">
            <v>2076</v>
          </cell>
          <cell r="K2297">
            <v>43273</v>
          </cell>
          <cell r="L2297" t="str">
            <v>VICTOR ANTONIO RIVERO SEVILLA</v>
          </cell>
          <cell r="M2297">
            <v>31</v>
          </cell>
          <cell r="N2297" t="str">
            <v>RESOLUCION</v>
          </cell>
          <cell r="O2297">
            <v>2373</v>
          </cell>
          <cell r="P2297">
            <v>43273</v>
          </cell>
          <cell r="Q2297" t="str">
            <v>AYUDA TEMPORAL A LAS FAMILIAS DE VARIAS LOCALIDADES, PARA LA RELOCALIZACIÓN DE HOGARES LOCALIZADOS EN ZONAS DE ALTO RIESGO NO MITIGABLE ID:2011-4-12657, LOCALIDAD:04 SAN CRISTÓBAL, UPZ:32 SAN BLAS</v>
          </cell>
          <cell r="R2297">
            <v>3367686</v>
          </cell>
          <cell r="S2297">
            <v>0</v>
          </cell>
          <cell r="T2297">
            <v>0</v>
          </cell>
          <cell r="U2297">
            <v>3367686</v>
          </cell>
          <cell r="V2297">
            <v>481098</v>
          </cell>
        </row>
        <row r="2298">
          <cell r="J2298">
            <v>2077</v>
          </cell>
          <cell r="K2298">
            <v>43273</v>
          </cell>
          <cell r="L2298" t="str">
            <v>DORYS MIREYA CAMARGO BUITRAGO</v>
          </cell>
          <cell r="M2298">
            <v>31</v>
          </cell>
          <cell r="N2298" t="str">
            <v>RESOLUCION</v>
          </cell>
          <cell r="O2298">
            <v>2372</v>
          </cell>
          <cell r="P2298">
            <v>43273</v>
          </cell>
          <cell r="Q2298" t="str">
            <v>AYUDA TEMPORAL A LAS FAMILIAS DE VARIAS LOCALIDADES, PARA LA RELOCALIZACIÓN DE HOGARES LOCALIZADOS EN ZONAS DE ALTO RIESGO NO MITIGABLE ID:2011-4-12630, LOCALIDAD:04 SAN CRISTÓBAL, UPZ:32 SAN BLAS</v>
          </cell>
          <cell r="R2298">
            <v>2582006</v>
          </cell>
          <cell r="S2298">
            <v>0</v>
          </cell>
          <cell r="T2298">
            <v>0</v>
          </cell>
          <cell r="U2298">
            <v>2582006</v>
          </cell>
          <cell r="V2298">
            <v>368858</v>
          </cell>
        </row>
        <row r="2299">
          <cell r="J2299">
            <v>2078</v>
          </cell>
          <cell r="K2299">
            <v>43273</v>
          </cell>
          <cell r="L2299" t="str">
            <v>RAMIRO  LEON PEREZ</v>
          </cell>
          <cell r="M2299">
            <v>31</v>
          </cell>
          <cell r="N2299" t="str">
            <v>RESOLUCION</v>
          </cell>
          <cell r="O2299">
            <v>2403</v>
          </cell>
          <cell r="P2299">
            <v>43273</v>
          </cell>
          <cell r="Q2299" t="str">
            <v>AYUDA TEMPORAL A LAS FAMILIAS DE VARIAS LOCALIDADES, PARA LA RELOCALIZACIÓN DE HOGARES LOCALIZADOS EN ZONAS DE ALTO RIESGO NO MITIGABLE ID:2011-4-12692, LOCALIDAD:04 SAN CRISTÓBAL, UPZ:32 SAN BLAS</v>
          </cell>
          <cell r="R2299">
            <v>2582006</v>
          </cell>
          <cell r="S2299">
            <v>0</v>
          </cell>
          <cell r="T2299">
            <v>0</v>
          </cell>
          <cell r="U2299">
            <v>2582006</v>
          </cell>
          <cell r="V2299">
            <v>368858</v>
          </cell>
        </row>
        <row r="2300">
          <cell r="J2300">
            <v>2079</v>
          </cell>
          <cell r="K2300">
            <v>43273</v>
          </cell>
          <cell r="L2300" t="str">
            <v>ANA LUCERO DIAZ DIAZ</v>
          </cell>
          <cell r="M2300">
            <v>31</v>
          </cell>
          <cell r="N2300" t="str">
            <v>RESOLUCION</v>
          </cell>
          <cell r="O2300">
            <v>2371</v>
          </cell>
          <cell r="P2300">
            <v>43273</v>
          </cell>
          <cell r="Q2300" t="str">
            <v>AYUDA TEMPORAL A LAS FAMILIAS DE VARIAS LOCALIDADES, PARA LA RELOCALIZACIÓN DE HOGARES LOCALIZADOS EN ZONAS DE ALTO RIESGO NO MITIGABLE ID:2010-5-11581, LOCALIDAD:05 USME, UPZ:57 GRAN YOMASA, SECTOR:OLA INVERNAL 2010 FOPAE</v>
          </cell>
          <cell r="R2300">
            <v>3299296</v>
          </cell>
          <cell r="S2300">
            <v>0</v>
          </cell>
          <cell r="T2300">
            <v>0</v>
          </cell>
          <cell r="U2300">
            <v>3299296</v>
          </cell>
          <cell r="V2300">
            <v>471328</v>
          </cell>
        </row>
        <row r="2301">
          <cell r="J2301">
            <v>2080</v>
          </cell>
          <cell r="K2301">
            <v>43273</v>
          </cell>
          <cell r="L2301" t="str">
            <v>SANDRA SUGEY BELTRAN</v>
          </cell>
          <cell r="M2301">
            <v>31</v>
          </cell>
          <cell r="N2301" t="str">
            <v>RESOLUCION</v>
          </cell>
          <cell r="O2301">
            <v>2370</v>
          </cell>
          <cell r="P2301">
            <v>43273</v>
          </cell>
          <cell r="Q2301" t="str">
            <v>AYUDA TEMPORAL A LAS FAMILIAS DE VARIAS LOCALIDADES, PARA LA RELOCALIZACIÓN DE HOGARES LOCALIZADOS EN ZONAS DE ALTO RIESGO NO MITIGABLE ID:2011-4-12653, LOCALIDAD:04 SAN CRISTÓBAL, UPZ:32 SAN BLAS</v>
          </cell>
          <cell r="R2301">
            <v>3112753</v>
          </cell>
          <cell r="S2301">
            <v>0</v>
          </cell>
          <cell r="T2301">
            <v>0</v>
          </cell>
          <cell r="U2301">
            <v>3112753</v>
          </cell>
          <cell r="V2301">
            <v>444679</v>
          </cell>
        </row>
        <row r="2302">
          <cell r="J2302">
            <v>2081</v>
          </cell>
          <cell r="K2302">
            <v>43273</v>
          </cell>
          <cell r="L2302" t="str">
            <v>JOSE GONZALO PINZON SOSA</v>
          </cell>
          <cell r="M2302">
            <v>31</v>
          </cell>
          <cell r="N2302" t="str">
            <v>RESOLUCION</v>
          </cell>
          <cell r="O2302">
            <v>2402</v>
          </cell>
          <cell r="P2302">
            <v>43273</v>
          </cell>
          <cell r="Q2302" t="str">
            <v>AYUDA TEMPORAL A LAS FAMILIAS DE VARIAS LOCALIDADES, PARA LA RELOCALIZACIÓN DE HOGARES LOCALIZADOS EN ZONAS DE ALTO RIESGO NO MITIGABLE ID:2011-4-12686, LOCALIDAD:04 SAN CRISTÓBAL, UPZ:32 SAN BLAS</v>
          </cell>
          <cell r="R2302">
            <v>3473267</v>
          </cell>
          <cell r="S2302">
            <v>0</v>
          </cell>
          <cell r="T2302">
            <v>0</v>
          </cell>
          <cell r="U2302">
            <v>3473267</v>
          </cell>
          <cell r="V2302">
            <v>496181</v>
          </cell>
        </row>
        <row r="2303">
          <cell r="J2303">
            <v>2082</v>
          </cell>
          <cell r="K2303">
            <v>43273</v>
          </cell>
          <cell r="L2303" t="str">
            <v>JOSE MODESTO HERNANDEZ MORENO</v>
          </cell>
          <cell r="M2303">
            <v>31</v>
          </cell>
          <cell r="N2303" t="str">
            <v>RESOLUCION</v>
          </cell>
          <cell r="O2303">
            <v>2369</v>
          </cell>
          <cell r="P2303">
            <v>43273</v>
          </cell>
          <cell r="Q2303" t="str">
            <v>AYUDA TEMPORAL A LAS FAMILIAS DE VARIAS LOCALIDADES, PARA LA RELOCALIZACIÓN DE HOGARES LOCALIZADOS EN ZONAS DE ALTO RIESGO NO MITIGABLE ID:2011-19-13514, LOCALIDAD:19 CIUDAD BOLÍVAR, UPZ:68 EL TESORO</v>
          </cell>
          <cell r="R2303">
            <v>2924376</v>
          </cell>
          <cell r="S2303">
            <v>0</v>
          </cell>
          <cell r="T2303">
            <v>0</v>
          </cell>
          <cell r="U2303">
            <v>2924376</v>
          </cell>
          <cell r="V2303">
            <v>417768</v>
          </cell>
        </row>
        <row r="2304">
          <cell r="J2304">
            <v>2083</v>
          </cell>
          <cell r="K2304">
            <v>43273</v>
          </cell>
          <cell r="L2304" t="str">
            <v>ALCIRA  VELASQUEZ CHIQUIZA</v>
          </cell>
          <cell r="M2304">
            <v>31</v>
          </cell>
          <cell r="N2304" t="str">
            <v>RESOLUCION</v>
          </cell>
          <cell r="O2304">
            <v>2368</v>
          </cell>
          <cell r="P2304">
            <v>43273</v>
          </cell>
          <cell r="Q2304" t="str">
            <v>AYUDA TEMPORAL A LAS FAMILIAS DE VARIAS LOCALIDADES, PARA LA RELOCALIZACIÓN DE HOGARES LOCALIZADOS EN ZONAS DE ALTO RIESGO NO MITIGABLE ID:2011-19-12536, LOCALIDAD:19 CIUDAD BOLÍVAR, UPZ:69 ISMAEL PERDOMO, SECTOR:OLA INVERNAL 2010 FOPAE</v>
          </cell>
          <cell r="R2304">
            <v>2845920</v>
          </cell>
          <cell r="S2304">
            <v>0</v>
          </cell>
          <cell r="T2304">
            <v>0</v>
          </cell>
          <cell r="U2304">
            <v>2845920</v>
          </cell>
          <cell r="V2304">
            <v>406560</v>
          </cell>
        </row>
        <row r="2305">
          <cell r="J2305">
            <v>2084</v>
          </cell>
          <cell r="K2305">
            <v>43273</v>
          </cell>
          <cell r="L2305" t="str">
            <v>ERIKA LILIANA LAGUNA CUELLAR</v>
          </cell>
          <cell r="M2305">
            <v>31</v>
          </cell>
          <cell r="N2305" t="str">
            <v>RESOLUCION</v>
          </cell>
          <cell r="O2305">
            <v>2401</v>
          </cell>
          <cell r="P2305">
            <v>43273</v>
          </cell>
          <cell r="Q2305" t="str">
            <v>AYUDA TEMPORAL A LAS FAMILIAS DE VARIAS LOCALIDADES, PARA LA RELOCALIZACIÓN DE HOGARES LOCALIZADOS EN ZONAS DE ALTO RIESGO NO MITIGABLE ID:2014-Q09-01199, LOCALIDAD:19 CIUDAD BOLÍVAR, UPZ:67 LUCERO, SECTOR:QUEBRADA TROMPETA</v>
          </cell>
          <cell r="R2305">
            <v>3356612</v>
          </cell>
          <cell r="S2305">
            <v>0</v>
          </cell>
          <cell r="T2305">
            <v>0</v>
          </cell>
          <cell r="U2305">
            <v>3356612</v>
          </cell>
          <cell r="V2305">
            <v>479516</v>
          </cell>
        </row>
        <row r="2306">
          <cell r="J2306">
            <v>2085</v>
          </cell>
          <cell r="K2306">
            <v>43273</v>
          </cell>
          <cell r="L2306" t="str">
            <v>MARTHA PATRICIA JIMENEZ</v>
          </cell>
          <cell r="M2306">
            <v>31</v>
          </cell>
          <cell r="N2306" t="str">
            <v>RESOLUCION</v>
          </cell>
          <cell r="O2306">
            <v>2367</v>
          </cell>
          <cell r="P2306">
            <v>43273</v>
          </cell>
          <cell r="Q2306" t="str">
            <v>AYUDA TEMPORAL A LAS FAMILIAS DE VARIAS LOCALIDADES, PARA LA RELOCALIZACIÓN DE HOGARES LOCALIZADOS EN ZONAS DE ALTO RIESGO NO MITIGABLE ID:2007-2-10155, LOCALIDAD:02 CHAPINERO, UPZ:89 SAN ISIDRO PATIOS</v>
          </cell>
          <cell r="R2306">
            <v>3017000</v>
          </cell>
          <cell r="S2306">
            <v>0</v>
          </cell>
          <cell r="T2306">
            <v>0</v>
          </cell>
          <cell r="U2306">
            <v>3017000</v>
          </cell>
          <cell r="V2306">
            <v>431000</v>
          </cell>
        </row>
        <row r="2307">
          <cell r="J2307">
            <v>2086</v>
          </cell>
          <cell r="K2307">
            <v>43273</v>
          </cell>
          <cell r="L2307" t="str">
            <v>AHIDA MARIBEL MARROQUIN GUEVARA</v>
          </cell>
          <cell r="M2307">
            <v>31</v>
          </cell>
          <cell r="N2307" t="str">
            <v>RESOLUCION</v>
          </cell>
          <cell r="O2307">
            <v>2400</v>
          </cell>
          <cell r="P2307">
            <v>43273</v>
          </cell>
          <cell r="Q2307" t="str">
            <v>AYUDA TEMPORAL A LAS FAMILIAS DE VARIAS LOCALIDADES, PARA LA RELOCALIZACIÓN DE HOGARES LOCALIZADOS EN ZONAS DE ALTO RIESGO NO MITIGABLE ID:2014-Q03-01085, LOCALIDAD:19 CIUDAD BOLÍVAR, UPZ:66 SAN FRANCISCO, SECTOR:LIMAS</v>
          </cell>
          <cell r="R2307">
            <v>2887073</v>
          </cell>
          <cell r="S2307">
            <v>0</v>
          </cell>
          <cell r="T2307">
            <v>0</v>
          </cell>
          <cell r="U2307">
            <v>2887073</v>
          </cell>
          <cell r="V2307">
            <v>412439</v>
          </cell>
        </row>
        <row r="2308">
          <cell r="J2308">
            <v>2087</v>
          </cell>
          <cell r="K2308">
            <v>43273</v>
          </cell>
          <cell r="L2308" t="str">
            <v>NIDIA  RODRIGUEZ ALONSO</v>
          </cell>
          <cell r="M2308">
            <v>31</v>
          </cell>
          <cell r="N2308" t="str">
            <v>RESOLUCION</v>
          </cell>
          <cell r="O2308">
            <v>2366</v>
          </cell>
          <cell r="P2308">
            <v>43273</v>
          </cell>
          <cell r="Q2308" t="str">
            <v>AYUDA TEMPORAL A LAS FAMILIAS DE VARIAS LOCALIDADES, PARA LA RELOCALIZACIÓN DE HOGARES LOCALIZADOS EN ZONAS DE ALTO RIESGO NO MITIGABLE ID:2010-4-11938, LOCALIDAD:04 SAN CRISTÓBAL, UPZ:32 SAN BLAS, SECTOR:OLA INVERNAL 2010 FOPAE</v>
          </cell>
          <cell r="R2308">
            <v>2788569</v>
          </cell>
          <cell r="S2308">
            <v>0</v>
          </cell>
          <cell r="T2308">
            <v>0</v>
          </cell>
          <cell r="U2308">
            <v>2788569</v>
          </cell>
          <cell r="V2308">
            <v>398367</v>
          </cell>
        </row>
        <row r="2309">
          <cell r="J2309">
            <v>2088</v>
          </cell>
          <cell r="K2309">
            <v>43273</v>
          </cell>
          <cell r="L2309" t="str">
            <v>FABIO IVAN ESPITIA GONZALEZ</v>
          </cell>
          <cell r="M2309">
            <v>31</v>
          </cell>
          <cell r="N2309" t="str">
            <v>RESOLUCION</v>
          </cell>
          <cell r="O2309">
            <v>2399</v>
          </cell>
          <cell r="P2309">
            <v>43273</v>
          </cell>
          <cell r="Q2309" t="str">
            <v>AYUDA TEMPORAL A LAS FAMILIAS DE VARIAS LOCALIDADES, PARA LA RELOCALIZACIÓN DE HOGARES LOCALIZADOS EN ZONAS DE ALTO RIESGO NO MITIGABLE ID:2014-OTR-01128, LOCALIDAD:11 SUBA, UPZ:71 TIBABUYES, SECTOR:GAVILANES</v>
          </cell>
          <cell r="R2309">
            <v>2975525</v>
          </cell>
          <cell r="S2309">
            <v>0</v>
          </cell>
          <cell r="T2309">
            <v>0</v>
          </cell>
          <cell r="U2309">
            <v>2975525</v>
          </cell>
          <cell r="V2309">
            <v>425075</v>
          </cell>
        </row>
        <row r="2310">
          <cell r="J2310">
            <v>2089</v>
          </cell>
          <cell r="K2310">
            <v>43273</v>
          </cell>
          <cell r="L2310" t="str">
            <v>VICTOR MANUEL FIGUEROA RAMOS</v>
          </cell>
          <cell r="M2310">
            <v>31</v>
          </cell>
          <cell r="N2310" t="str">
            <v>RESOLUCION</v>
          </cell>
          <cell r="O2310">
            <v>2398</v>
          </cell>
          <cell r="P2310">
            <v>43273</v>
          </cell>
          <cell r="Q2310" t="str">
            <v>AYUDA TEMPORAL A LAS FAMILIAS DE VARIAS LOCALIDADES, PARA LA RELOCALIZACIÓN DE HOGARES LOCALIZADOS EN ZONAS DE ALTO RIESGO NO MITIGABLE ID:2014-Q03-01043, LOCALIDAD:19 CIUDAD BOLÍVAR, UPZ:66 SAN FRANCISCO, SECTOR:LIMAS</v>
          </cell>
          <cell r="R2310">
            <v>3485139</v>
          </cell>
          <cell r="S2310">
            <v>0</v>
          </cell>
          <cell r="T2310">
            <v>0</v>
          </cell>
          <cell r="U2310">
            <v>3485139</v>
          </cell>
          <cell r="V2310">
            <v>497877</v>
          </cell>
        </row>
        <row r="2311">
          <cell r="J2311">
            <v>2090</v>
          </cell>
          <cell r="K2311">
            <v>43273</v>
          </cell>
          <cell r="L2311" t="str">
            <v>LINA ANDREA MENDEZ GARCIA</v>
          </cell>
          <cell r="M2311">
            <v>31</v>
          </cell>
          <cell r="N2311" t="str">
            <v>RESOLUCION</v>
          </cell>
          <cell r="O2311">
            <v>2397</v>
          </cell>
          <cell r="P2311">
            <v>43273</v>
          </cell>
          <cell r="Q2311" t="str">
            <v>AYUDA TEMPORAL A LAS FAMILIAS DE VARIAS LOCALIDADES, PARA LA RELOCALIZACIÓN DE HOGARES LOCALIZADOS EN ZONAS DE ALTO RIESGO NO MITIGABLE ID:2014-OTR-00903, LOCALIDAD:03 SANTA FE, UPZ:96 LOURDES, SECTOR:CASA 3</v>
          </cell>
          <cell r="R2311">
            <v>4059608</v>
          </cell>
          <cell r="S2311">
            <v>0</v>
          </cell>
          <cell r="T2311">
            <v>0</v>
          </cell>
          <cell r="U2311">
            <v>4059608</v>
          </cell>
          <cell r="V2311">
            <v>579944</v>
          </cell>
        </row>
        <row r="2312">
          <cell r="J2312">
            <v>2091</v>
          </cell>
          <cell r="K2312">
            <v>43273</v>
          </cell>
          <cell r="L2312" t="str">
            <v>ALBA YOLIMA GARCIA</v>
          </cell>
          <cell r="M2312">
            <v>31</v>
          </cell>
          <cell r="N2312" t="str">
            <v>RESOLUCION</v>
          </cell>
          <cell r="O2312">
            <v>2365</v>
          </cell>
          <cell r="P2312">
            <v>43273</v>
          </cell>
          <cell r="Q2312" t="str">
            <v>AYUDA TEMPORAL A LAS FAMILIAS DE VARIAS LOCALIDADES, PARA LA RELOCALIZACIÓN DE HOGARES LOCALIZADOS EN ZONAS DE ALTO RIESGO NO MITIGABLE ID:2006-19-8545, LOCALIDAD:19 CIUDAD BOLÍVAR, UPZ:68 EL TESORO, SECTOR:QUEBRADA EL INFIERNO</v>
          </cell>
          <cell r="R2312">
            <v>2788569</v>
          </cell>
          <cell r="S2312">
            <v>0</v>
          </cell>
          <cell r="T2312">
            <v>0</v>
          </cell>
          <cell r="U2312">
            <v>2788569</v>
          </cell>
          <cell r="V2312">
            <v>398367</v>
          </cell>
        </row>
        <row r="2313">
          <cell r="J2313">
            <v>2092</v>
          </cell>
          <cell r="K2313">
            <v>43273</v>
          </cell>
          <cell r="L2313" t="str">
            <v>ALBA FLOR IBAÑEZ JIMENEZ</v>
          </cell>
          <cell r="M2313">
            <v>31</v>
          </cell>
          <cell r="N2313" t="str">
            <v>RESOLUCION</v>
          </cell>
          <cell r="O2313">
            <v>2396</v>
          </cell>
          <cell r="P2313">
            <v>43273</v>
          </cell>
          <cell r="Q2313" t="str">
            <v>AYUDA TEMPORAL A LAS FAMILIAS DE VARIAS LOCALIDADES, PARA LA RELOCALIZACIÓN DE HOGARES LOCALIZADOS EN ZONAS DE ALTO RIESGO NO MITIGABLE ID:2014-Q20-01253, LOCALIDAD:04 SAN CRISTÓBAL, UPZ:50 LA GLORIA, SECTOR:LA CHIGUAZA</v>
          </cell>
          <cell r="R2313">
            <v>2992227</v>
          </cell>
          <cell r="S2313">
            <v>0</v>
          </cell>
          <cell r="T2313">
            <v>0</v>
          </cell>
          <cell r="U2313">
            <v>2992227</v>
          </cell>
          <cell r="V2313">
            <v>427461</v>
          </cell>
        </row>
        <row r="2314">
          <cell r="J2314">
            <v>2093</v>
          </cell>
          <cell r="K2314">
            <v>43273</v>
          </cell>
          <cell r="L2314" t="str">
            <v>GLORIA INES SANCHEZ RODRIGUEZ</v>
          </cell>
          <cell r="M2314">
            <v>31</v>
          </cell>
          <cell r="N2314" t="str">
            <v>RESOLUCION</v>
          </cell>
          <cell r="O2314">
            <v>2364</v>
          </cell>
          <cell r="P2314">
            <v>43273</v>
          </cell>
          <cell r="Q2314" t="str">
            <v>AYUDA TEMPORAL A LAS FAMILIAS DE VARIAS LOCALIDADES, PARA LA RELOCALIZACIÓN DE HOGARES LOCALIZADOS EN ZONAS DE ALTO RIESGO NO MITIGABLE ID:2010-5-11596, LOCALIDAD:05 USME, UPZ:57 GRAN YOMASA, SECTOR:OLA INVERNAL 2010 FOPAE</v>
          </cell>
          <cell r="R2314">
            <v>3374280</v>
          </cell>
          <cell r="S2314">
            <v>0</v>
          </cell>
          <cell r="T2314">
            <v>0</v>
          </cell>
          <cell r="U2314">
            <v>3374280</v>
          </cell>
          <cell r="V2314">
            <v>482040</v>
          </cell>
        </row>
        <row r="2315">
          <cell r="J2315">
            <v>2094</v>
          </cell>
          <cell r="K2315">
            <v>43273</v>
          </cell>
          <cell r="L2315" t="str">
            <v>DILCIA  VALDERRAMA BALLEN</v>
          </cell>
          <cell r="M2315">
            <v>31</v>
          </cell>
          <cell r="N2315" t="str">
            <v>RESOLUCION</v>
          </cell>
          <cell r="O2315">
            <v>2363</v>
          </cell>
          <cell r="P2315">
            <v>43273</v>
          </cell>
          <cell r="Q2315" t="str">
            <v>AYUDA TEMPORAL A LAS FAMILIAS DE VARIAS LOCALIDADES, PARA LA RELOCALIZACIÓN DE HOGARES LOCALIZADOS EN ZONAS DE ALTO RIESGO NO MITIGABLE ID:2007-19-9544, LOCALIDAD:19 CIUDAD BOLÍVAR, UPZ:69 ISMAEL PERDOMO</v>
          </cell>
          <cell r="R2315">
            <v>2845920</v>
          </cell>
          <cell r="S2315">
            <v>0</v>
          </cell>
          <cell r="T2315">
            <v>0</v>
          </cell>
          <cell r="U2315">
            <v>2845920</v>
          </cell>
          <cell r="V2315">
            <v>406560</v>
          </cell>
        </row>
        <row r="2316">
          <cell r="J2316">
            <v>2095</v>
          </cell>
          <cell r="K2316">
            <v>43273</v>
          </cell>
          <cell r="L2316" t="str">
            <v>MARIA GILMA RAMOS ROLDAN</v>
          </cell>
          <cell r="M2316">
            <v>31</v>
          </cell>
          <cell r="N2316" t="str">
            <v>RESOLUCION</v>
          </cell>
          <cell r="O2316">
            <v>2395</v>
          </cell>
          <cell r="P2316">
            <v>43273</v>
          </cell>
          <cell r="Q2316" t="str">
            <v>AYUDA TEMPORAL A LAS FAMILIAS DE VARIAS LOCALIDADES, PARA LA RELOCALIZACIÓN DE HOGARES LOCALIZADOS EN ZONAS DE ALTO RIESGO NO MITIGABLE ID:2014-OTR-00900, LOCALIDAD:03 SANTA FE, UPZ:96 LOURDES, SECTOR:CASA 3</v>
          </cell>
          <cell r="R2316">
            <v>2582006</v>
          </cell>
          <cell r="S2316">
            <v>0</v>
          </cell>
          <cell r="T2316">
            <v>0</v>
          </cell>
          <cell r="U2316">
            <v>2582006</v>
          </cell>
          <cell r="V2316">
            <v>368858</v>
          </cell>
        </row>
        <row r="2317">
          <cell r="J2317">
            <v>2096</v>
          </cell>
          <cell r="K2317">
            <v>43273</v>
          </cell>
          <cell r="L2317" t="str">
            <v>JOSE IGNACIO MARTINEZ RODRIGUEZ</v>
          </cell>
          <cell r="M2317">
            <v>31</v>
          </cell>
          <cell r="N2317" t="str">
            <v>RESOLUCION</v>
          </cell>
          <cell r="O2317">
            <v>2362</v>
          </cell>
          <cell r="P2317">
            <v>43273</v>
          </cell>
          <cell r="Q2317" t="str">
            <v>AYUDA TEMPORAL A LAS FAMILIAS DE VARIAS LOCALIDADES, PARA LA RELOCALIZACIÓN DE HOGARES LOCALIZADOS EN ZONAS DE ALTO RIESGO NO MITIGABLE ID:2011-4-12646, LOCALIDAD:04 SAN CRISTÓBAL, UPZ:32 SAN BLAS</v>
          </cell>
          <cell r="R2317">
            <v>2582006</v>
          </cell>
          <cell r="S2317">
            <v>0</v>
          </cell>
          <cell r="T2317">
            <v>0</v>
          </cell>
          <cell r="U2317">
            <v>2582006</v>
          </cell>
          <cell r="V2317">
            <v>368858</v>
          </cell>
        </row>
        <row r="2318">
          <cell r="J2318">
            <v>2097</v>
          </cell>
          <cell r="K2318">
            <v>43273</v>
          </cell>
          <cell r="L2318" t="str">
            <v>JOSE FERNANDO MENDEZ GARCIA</v>
          </cell>
          <cell r="M2318">
            <v>31</v>
          </cell>
          <cell r="N2318" t="str">
            <v>RESOLUCION</v>
          </cell>
          <cell r="O2318">
            <v>2394</v>
          </cell>
          <cell r="P2318">
            <v>43273</v>
          </cell>
          <cell r="Q2318" t="str">
            <v>AYUDA TEMPORAL A LAS FAMILIAS DE VARIAS LOCALIDADES, PARA LA RELOCALIZACIÓN DE HOGARES LOCALIZADOS EN ZONAS DE ALTO RIESGO NO MITIGABLE ID:2014-OTR-00902, LOCALIDAD:03 SANTA FE, UPZ:96 LOURDES, SECTOR:CASA 3</v>
          </cell>
          <cell r="R2318">
            <v>3201695</v>
          </cell>
          <cell r="S2318">
            <v>0</v>
          </cell>
          <cell r="T2318">
            <v>0</v>
          </cell>
          <cell r="U2318">
            <v>3201695</v>
          </cell>
          <cell r="V2318">
            <v>457385</v>
          </cell>
        </row>
        <row r="2319">
          <cell r="J2319">
            <v>2098</v>
          </cell>
          <cell r="K2319">
            <v>43273</v>
          </cell>
          <cell r="L2319" t="str">
            <v>GLADYS  MUÑOZ SANTUARIO</v>
          </cell>
          <cell r="M2319">
            <v>31</v>
          </cell>
          <cell r="N2319" t="str">
            <v>RESOLUCION</v>
          </cell>
          <cell r="O2319">
            <v>2361</v>
          </cell>
          <cell r="P2319">
            <v>43273</v>
          </cell>
          <cell r="Q2319" t="str">
            <v>AYUDA TEMPORAL A LAS FAMILIAS DE VARIAS LOCALIDADES, PARA LA RELOCALIZACIÓN DE HOGARES LOCALIZADOS EN ZONAS DE ALTO RIESGO NO MITIGABLE ID:2012-19-13937, LOCALIDAD:19 CIUDAD BOLÍVAR, UPZ:67 LUCERO</v>
          </cell>
          <cell r="R2319">
            <v>3112599</v>
          </cell>
          <cell r="S2319">
            <v>0</v>
          </cell>
          <cell r="T2319">
            <v>0</v>
          </cell>
          <cell r="U2319">
            <v>3112599</v>
          </cell>
          <cell r="V2319">
            <v>444657</v>
          </cell>
        </row>
        <row r="2320">
          <cell r="J2320">
            <v>2099</v>
          </cell>
          <cell r="K2320">
            <v>43273</v>
          </cell>
          <cell r="L2320" t="str">
            <v>LIBIA AZUCENA FRANCO ALGECIRA</v>
          </cell>
          <cell r="M2320">
            <v>31</v>
          </cell>
          <cell r="N2320" t="str">
            <v>RESOLUCION</v>
          </cell>
          <cell r="O2320">
            <v>2393</v>
          </cell>
          <cell r="P2320">
            <v>43273</v>
          </cell>
          <cell r="Q2320" t="str">
            <v>AYUDA TEMPORAL A LAS FAMILIAS DE VARIAS LOCALIDADES, PARA LA RELOCALIZACIÓN DE HOGARES LOCALIZADOS EN ZONAS DE ALTO RIESGO NO MITIGABLE ID:2014-18-14705, LOCALIDAD:18 RAFAEL URIBE URIBE, UPZ:53 MARCO FIDEL SUÁREZ</v>
          </cell>
          <cell r="R2320">
            <v>2602439</v>
          </cell>
          <cell r="S2320">
            <v>0</v>
          </cell>
          <cell r="T2320">
            <v>0</v>
          </cell>
          <cell r="U2320">
            <v>2602439</v>
          </cell>
          <cell r="V2320">
            <v>371777</v>
          </cell>
        </row>
        <row r="2321">
          <cell r="J2321">
            <v>2100</v>
          </cell>
          <cell r="K2321">
            <v>43273</v>
          </cell>
          <cell r="L2321" t="str">
            <v>FLOR MARINA BAQUERO UMAÑA</v>
          </cell>
          <cell r="M2321">
            <v>31</v>
          </cell>
          <cell r="N2321" t="str">
            <v>RESOLUCION</v>
          </cell>
          <cell r="O2321">
            <v>2343</v>
          </cell>
          <cell r="P2321">
            <v>43273</v>
          </cell>
          <cell r="Q2321" t="str">
            <v>AYUDA TEMPORAL A LAS FAMILIAS DE VARIAS LOCALIDADES, PARA LA RELOCALIZACIÓN DE HOGARES LOCALIZADOS EN ZONAS DE ALTO RIESGO NO MITIGABLE ID:2015-Q03-01481, LOCALIDAD:19 CIUDAD BOLÍVAR, UPZ:66 SAN FRANCISCO, SECTOR:LIMAS</v>
          </cell>
          <cell r="R2321">
            <v>2887073</v>
          </cell>
          <cell r="S2321">
            <v>0</v>
          </cell>
          <cell r="T2321">
            <v>0</v>
          </cell>
          <cell r="U2321">
            <v>2887073</v>
          </cell>
          <cell r="V2321">
            <v>412439</v>
          </cell>
        </row>
        <row r="2322">
          <cell r="J2322">
            <v>2101</v>
          </cell>
          <cell r="K2322">
            <v>43273</v>
          </cell>
          <cell r="L2322" t="str">
            <v>ANGEL IGNACIO GARZON HERNANDEZ</v>
          </cell>
          <cell r="M2322">
            <v>31</v>
          </cell>
          <cell r="N2322" t="str">
            <v>RESOLUCION</v>
          </cell>
          <cell r="O2322">
            <v>2360</v>
          </cell>
          <cell r="P2322">
            <v>43273</v>
          </cell>
          <cell r="Q2322" t="str">
            <v>AYUDA TEMPORAL A LAS FAMILIAS DE VARIAS LOCALIDADES, PARA LA RELOCALIZACIÓN DE HOGARES LOCALIZADOS EN ZONAS DE ALTO RIESGO NO MITIGABLE ID:2011-4-12704, LOCALIDAD:04 SAN CRISTÓBAL, UPZ:32 SAN BLAS</v>
          </cell>
          <cell r="R2322">
            <v>2582006</v>
          </cell>
          <cell r="S2322">
            <v>0</v>
          </cell>
          <cell r="T2322">
            <v>0</v>
          </cell>
          <cell r="U2322">
            <v>2582006</v>
          </cell>
          <cell r="V2322">
            <v>368858</v>
          </cell>
        </row>
        <row r="2323">
          <cell r="J2323">
            <v>2102</v>
          </cell>
          <cell r="K2323">
            <v>43273</v>
          </cell>
          <cell r="L2323" t="str">
            <v>BAUDILIO  TOLOZA CASTILLO</v>
          </cell>
          <cell r="M2323">
            <v>31</v>
          </cell>
          <cell r="N2323" t="str">
            <v>RESOLUCION</v>
          </cell>
          <cell r="O2323">
            <v>2392</v>
          </cell>
          <cell r="P2323">
            <v>43273</v>
          </cell>
          <cell r="Q2323" t="str">
            <v>AYUDA TEMPORAL A LAS FAMILIAS DE VARIAS LOCALIDADES, PARA LA RELOCALIZACIÓN DE HOGARES LOCALIZADOS EN ZONAS DE ALTO RIESGO NO MITIGABLE ID:2014-LC-00790, LOCALIDAD:19 CIUDAD BOLÍVAR, UPZ:69 ISMAEL PERDOMO</v>
          </cell>
          <cell r="R2323">
            <v>3363360</v>
          </cell>
          <cell r="S2323">
            <v>0</v>
          </cell>
          <cell r="T2323">
            <v>0</v>
          </cell>
          <cell r="U2323">
            <v>3363360</v>
          </cell>
          <cell r="V2323">
            <v>480480</v>
          </cell>
        </row>
        <row r="2324">
          <cell r="J2324">
            <v>2103</v>
          </cell>
          <cell r="K2324">
            <v>43273</v>
          </cell>
          <cell r="L2324" t="str">
            <v>MARIA LUCRECIA LOPEZ TORRES</v>
          </cell>
          <cell r="M2324">
            <v>31</v>
          </cell>
          <cell r="N2324" t="str">
            <v>RESOLUCION</v>
          </cell>
          <cell r="O2324">
            <v>2342</v>
          </cell>
          <cell r="P2324">
            <v>43273</v>
          </cell>
          <cell r="Q2324" t="str">
            <v>AYUDA TEMPORAL A LAS FAMILIAS DE VARIAS LOCALIDADES, PARA LA RELOCALIZACIÓN DE HOGARES LOCALIZADOS EN ZONAS DE ALTO RIESGO NO MITIGABLE ID:2014-Q09-00913, LOCALIDAD:19 CIUDAD BOLÍVAR, UPZ:67 LUCERO, SECTOR:QUEBRADA TROMPETA</v>
          </cell>
          <cell r="R2324">
            <v>3463222</v>
          </cell>
          <cell r="S2324">
            <v>0</v>
          </cell>
          <cell r="T2324">
            <v>0</v>
          </cell>
          <cell r="U2324">
            <v>3463222</v>
          </cell>
          <cell r="V2324">
            <v>494746</v>
          </cell>
        </row>
        <row r="2325">
          <cell r="J2325">
            <v>2104</v>
          </cell>
          <cell r="K2325">
            <v>43273</v>
          </cell>
          <cell r="L2325" t="str">
            <v>GLORIA  SANCHEZ DE SANCHEZ</v>
          </cell>
          <cell r="M2325">
            <v>31</v>
          </cell>
          <cell r="N2325" t="str">
            <v>RESOLUCION</v>
          </cell>
          <cell r="O2325">
            <v>2359</v>
          </cell>
          <cell r="P2325">
            <v>43273</v>
          </cell>
          <cell r="Q2325" t="str">
            <v>AYUDA TEMPORAL A LAS FAMILIAS DE VARIAS LOCALIDADES, PARA LA RELOCALIZACIÓN DE HOGARES LOCALIZADOS EN ZONAS DE ALTO RIESGO NO MITIGABLE ID:2011-4-12684, LOCALIDAD:04 SAN CRISTÓBAL, UPZ:32 SAN BLAS</v>
          </cell>
          <cell r="R2325">
            <v>3157574</v>
          </cell>
          <cell r="S2325">
            <v>0</v>
          </cell>
          <cell r="T2325">
            <v>0</v>
          </cell>
          <cell r="U2325">
            <v>3157574</v>
          </cell>
          <cell r="V2325">
            <v>451082</v>
          </cell>
        </row>
        <row r="2326">
          <cell r="J2326">
            <v>2105</v>
          </cell>
          <cell r="K2326">
            <v>43273</v>
          </cell>
          <cell r="L2326" t="str">
            <v>MARIA AURORA BELLO</v>
          </cell>
          <cell r="M2326">
            <v>31</v>
          </cell>
          <cell r="N2326" t="str">
            <v>RESOLUCION</v>
          </cell>
          <cell r="O2326">
            <v>2391</v>
          </cell>
          <cell r="P2326">
            <v>43273</v>
          </cell>
          <cell r="Q2326" t="str">
            <v>AYUDA TEMPORAL A LAS FAMILIAS DE VARIAS LOCALIDADES, PARA LA RELOCALIZACIÓN DE HOGARES LOCALIZADOS EN ZONAS DE ALTO RIESGO NO MITIGABLE ID:2013-Q21-00419, LOCALIDAD:19 CIUDAD BOLÍVAR, UPZ:67 LUCERO, SECTOR:BRAZO DERECHO DE LIMAS</v>
          </cell>
          <cell r="R2326">
            <v>3157315</v>
          </cell>
          <cell r="S2326">
            <v>0</v>
          </cell>
          <cell r="T2326">
            <v>0</v>
          </cell>
          <cell r="U2326">
            <v>3157315</v>
          </cell>
          <cell r="V2326">
            <v>451045</v>
          </cell>
        </row>
        <row r="2327">
          <cell r="J2327">
            <v>2106</v>
          </cell>
          <cell r="K2327">
            <v>43273</v>
          </cell>
          <cell r="L2327" t="str">
            <v>MARYSOL  ROJAS</v>
          </cell>
          <cell r="M2327">
            <v>31</v>
          </cell>
          <cell r="N2327" t="str">
            <v>RESOLUCION</v>
          </cell>
          <cell r="O2327">
            <v>2341</v>
          </cell>
          <cell r="P2327">
            <v>43273</v>
          </cell>
          <cell r="Q2327" t="str">
            <v>AYUDA TEMPORAL A LAS FAMILIAS DE VARIAS LOCALIDADES, PARA LA RELOCALIZACIÓN DE HOGARES LOCALIZADOS EN ZONAS DE ALTO RIESGO NO MITIGABLE ID:2014-Q20-01175, LOCALIDAD:04 SAN CRISTÓBAL, UPZ:50 LA GLORIA, SECTOR:LA CHIGUAZA</v>
          </cell>
          <cell r="R2327">
            <v>2751665</v>
          </cell>
          <cell r="S2327">
            <v>0</v>
          </cell>
          <cell r="T2327">
            <v>0</v>
          </cell>
          <cell r="U2327">
            <v>2751665</v>
          </cell>
          <cell r="V2327">
            <v>393095</v>
          </cell>
        </row>
        <row r="2328">
          <cell r="J2328">
            <v>2107</v>
          </cell>
          <cell r="K2328">
            <v>43273</v>
          </cell>
          <cell r="L2328" t="str">
            <v>ANA CRISTINA GONZALEZ ESTRADA</v>
          </cell>
          <cell r="M2328">
            <v>31</v>
          </cell>
          <cell r="N2328" t="str">
            <v>RESOLUCION</v>
          </cell>
          <cell r="O2328">
            <v>2358</v>
          </cell>
          <cell r="P2328">
            <v>43273</v>
          </cell>
          <cell r="Q2328" t="str">
            <v>AYUDA TEMPORAL A LAS FAMILIAS DE VARIAS LOCALIDADES, PARA LA RELOCALIZACIÓN DE HOGARES LOCALIZADOS EN ZONAS DE ALTO RIESGO NO MITIGABLE ID:2011-4-12696, LOCALIDAD:04 SAN CRISTÓBAL, UPZ:32 SAN BLAS</v>
          </cell>
          <cell r="R2328">
            <v>2582006</v>
          </cell>
          <cell r="S2328">
            <v>0</v>
          </cell>
          <cell r="T2328">
            <v>0</v>
          </cell>
          <cell r="U2328">
            <v>2582006</v>
          </cell>
          <cell r="V2328">
            <v>368858</v>
          </cell>
        </row>
        <row r="2329">
          <cell r="J2329">
            <v>2108</v>
          </cell>
          <cell r="K2329">
            <v>43273</v>
          </cell>
          <cell r="L2329" t="str">
            <v>ANA JAZMIN MUÑOZ PEÑA</v>
          </cell>
          <cell r="M2329">
            <v>31</v>
          </cell>
          <cell r="N2329" t="str">
            <v>RESOLUCION</v>
          </cell>
          <cell r="O2329">
            <v>2340</v>
          </cell>
          <cell r="P2329">
            <v>43273</v>
          </cell>
          <cell r="Q2329" t="str">
            <v>AYUDA TEMPORAL A LAS FAMILIAS DE VARIAS LOCALIDADES, PARA LA RELOCALIZACIÓN DE HOGARES LOCALIZADOS EN ZONAS DE ALTO RIESGO NO MITIGABLE ID:2015-D227-00012, LOCALIDAD:04 SAN CRISTÓBAL, UPZ:51 LOS LIBERTADORES, SECTOR:SANTA TERESITA</v>
          </cell>
          <cell r="R2329">
            <v>2977345</v>
          </cell>
          <cell r="S2329">
            <v>0</v>
          </cell>
          <cell r="T2329">
            <v>0</v>
          </cell>
          <cell r="U2329">
            <v>2977345</v>
          </cell>
          <cell r="V2329">
            <v>425335</v>
          </cell>
        </row>
        <row r="2330">
          <cell r="J2330">
            <v>2109</v>
          </cell>
          <cell r="K2330">
            <v>43273</v>
          </cell>
          <cell r="L2330" t="str">
            <v>LUCILA  MEDINA</v>
          </cell>
          <cell r="M2330">
            <v>31</v>
          </cell>
          <cell r="N2330" t="str">
            <v>RESOLUCION</v>
          </cell>
          <cell r="O2330">
            <v>2357</v>
          </cell>
          <cell r="P2330">
            <v>43273</v>
          </cell>
          <cell r="Q2330" t="str">
            <v>AYUDA TEMPORAL A LAS FAMILIAS DE VARIAS LOCALIDADES, PARA LA RELOCALIZACIÓN DE HOGARES LOCALIZADOS EN ZONAS DE ALTO RIESGO NO MITIGABLE ID:2011-4-12683, LOCALIDAD:04 SAN CRISTÓBAL, UPZ:32 SAN BLAS</v>
          </cell>
          <cell r="R2330">
            <v>2886653</v>
          </cell>
          <cell r="S2330">
            <v>0</v>
          </cell>
          <cell r="T2330">
            <v>0</v>
          </cell>
          <cell r="U2330">
            <v>2886653</v>
          </cell>
          <cell r="V2330">
            <v>412379</v>
          </cell>
        </row>
        <row r="2331">
          <cell r="J2331">
            <v>2110</v>
          </cell>
          <cell r="K2331">
            <v>43273</v>
          </cell>
          <cell r="L2331" t="str">
            <v>MARISOL  BURGOS</v>
          </cell>
          <cell r="M2331">
            <v>31</v>
          </cell>
          <cell r="N2331" t="str">
            <v>RESOLUCION</v>
          </cell>
          <cell r="O2331">
            <v>2390</v>
          </cell>
          <cell r="P2331">
            <v>43273</v>
          </cell>
          <cell r="Q2331" t="str">
            <v>AYUDA TEMPORAL A LAS FAMILIAS DE VARIAS LOCALIDADES, PARA LA RELOCALIZACIÓN DE HOGARES LOCALIZADOS EN ZONAS DE ALTO RIESGO NO MITIGABLE ID:2014-LC-00813, LOCALIDAD:19 CIUDAD BOLÍVAR, UPZ:69 ISMAEL PERDOMO</v>
          </cell>
          <cell r="R2331">
            <v>3022327</v>
          </cell>
          <cell r="S2331">
            <v>0</v>
          </cell>
          <cell r="T2331">
            <v>0</v>
          </cell>
          <cell r="U2331">
            <v>3022327</v>
          </cell>
          <cell r="V2331">
            <v>431761</v>
          </cell>
        </row>
        <row r="2332">
          <cell r="J2332">
            <v>2111</v>
          </cell>
          <cell r="K2332">
            <v>43273</v>
          </cell>
          <cell r="L2332" t="str">
            <v>MIRELLA NATIVA MENDEZ ARISTIZABAL</v>
          </cell>
          <cell r="M2332">
            <v>31</v>
          </cell>
          <cell r="N2332" t="str">
            <v>RESOLUCION</v>
          </cell>
          <cell r="O2332">
            <v>2339</v>
          </cell>
          <cell r="P2332">
            <v>43273</v>
          </cell>
          <cell r="Q2332" t="str">
            <v>AYUDA TEMPORAL A LAS FAMILIAS DE VARIAS LOCALIDADES, PARA LA RELOCALIZACIÓN DE HOGARES LOCALIZADOS EN ZONAS DE ALTO RIESGO NO MITIGABLE ID:2015-ALES-536, LOCALIDAD:19 CIUDAD BOLÍVAR, UPZ:69 ISMAEL PERDOMO, SECTOR:ALTOS DE LA ESTANCIA</v>
          </cell>
          <cell r="R2332">
            <v>1353135</v>
          </cell>
          <cell r="S2332">
            <v>0</v>
          </cell>
          <cell r="T2332">
            <v>0</v>
          </cell>
          <cell r="U2332">
            <v>1353135</v>
          </cell>
          <cell r="V2332">
            <v>451045</v>
          </cell>
        </row>
        <row r="2333">
          <cell r="J2333">
            <v>2112</v>
          </cell>
          <cell r="K2333">
            <v>43273</v>
          </cell>
          <cell r="L2333" t="str">
            <v>ALVARO  GUTIERREZ ARTUNDUAGA</v>
          </cell>
          <cell r="M2333">
            <v>31</v>
          </cell>
          <cell r="N2333" t="str">
            <v>RESOLUCION</v>
          </cell>
          <cell r="O2333">
            <v>2356</v>
          </cell>
          <cell r="P2333">
            <v>43273</v>
          </cell>
          <cell r="Q2333" t="str">
            <v>AYUDA TEMPORAL A LAS FAMILIAS DE VARIAS LOCALIDADES, PARA LA RELOCALIZACIÓN DE HOGARES LOCALIZADOS EN ZONAS DE ALTO RIESGO NO MITIGABLE ID:2013000411, LOCALIDAD:04 SAN CRISTÓBAL, UPZ:51 LOS LIBERTADORES, SECTOR:QUEBRADA VEREJONES</v>
          </cell>
          <cell r="R2333">
            <v>3038112</v>
          </cell>
          <cell r="S2333">
            <v>0</v>
          </cell>
          <cell r="T2333">
            <v>0</v>
          </cell>
          <cell r="U2333">
            <v>3038112</v>
          </cell>
          <cell r="V2333">
            <v>434016</v>
          </cell>
        </row>
        <row r="2334">
          <cell r="J2334">
            <v>2113</v>
          </cell>
          <cell r="K2334">
            <v>43273</v>
          </cell>
          <cell r="L2334" t="str">
            <v>NELSON JAVIER REINA DURAN</v>
          </cell>
          <cell r="M2334">
            <v>31</v>
          </cell>
          <cell r="N2334" t="str">
            <v>RESOLUCION</v>
          </cell>
          <cell r="O2334">
            <v>2355</v>
          </cell>
          <cell r="P2334">
            <v>43273</v>
          </cell>
          <cell r="Q2334" t="str">
            <v>AYUDA TEMPORAL A LAS FAMILIAS DE VARIAS LOCALIDADES, PARA LA RELOCALIZACIÓN DE HOGARES LOCALIZADOS EN ZONAS DE ALTO RIESGO NO MITIGABLE ID:2013000325, LOCALIDAD:19 CIUDAD BOLÍVAR, UPZ:67 LUCERO, SECTOR:PEÑA COLORADA</v>
          </cell>
          <cell r="R2334">
            <v>2846046</v>
          </cell>
          <cell r="S2334">
            <v>0</v>
          </cell>
          <cell r="T2334">
            <v>0</v>
          </cell>
          <cell r="U2334">
            <v>2846046</v>
          </cell>
          <cell r="V2334">
            <v>406578</v>
          </cell>
        </row>
        <row r="2335">
          <cell r="J2335">
            <v>2114</v>
          </cell>
          <cell r="K2335">
            <v>43273</v>
          </cell>
          <cell r="L2335" t="str">
            <v>LILIANA MARCELA CADENA</v>
          </cell>
          <cell r="M2335">
            <v>31</v>
          </cell>
          <cell r="N2335" t="str">
            <v>RESOLUCION</v>
          </cell>
          <cell r="O2335">
            <v>2389</v>
          </cell>
          <cell r="P2335">
            <v>43273</v>
          </cell>
          <cell r="Q2335" t="str">
            <v>AYUDA TEMPORAL A LAS FAMILIAS DE VARIAS LOCALIDADES, PARA LA RELOCALIZACIÓN DE HOGARES LOCALIZADOS EN ZONAS DE ALTO RIESGO NO MITIGABLE ID:2011-19-12742, LOCALIDAD:19 CIUDAD BOLÍVAR, UPZ:68 EL TESORO, SECTOR:QUEBRADA TROMPETA</v>
          </cell>
          <cell r="R2335">
            <v>2924376</v>
          </cell>
          <cell r="S2335">
            <v>0</v>
          </cell>
          <cell r="T2335">
            <v>0</v>
          </cell>
          <cell r="U2335">
            <v>2924376</v>
          </cell>
          <cell r="V2335">
            <v>417768</v>
          </cell>
        </row>
        <row r="2336">
          <cell r="J2336">
            <v>2115</v>
          </cell>
          <cell r="K2336">
            <v>43273</v>
          </cell>
          <cell r="L2336" t="str">
            <v>FLOR ALBA RODRIGUEZ GOMEZ</v>
          </cell>
          <cell r="M2336">
            <v>31</v>
          </cell>
          <cell r="N2336" t="str">
            <v>RESOLUCION</v>
          </cell>
          <cell r="O2336">
            <v>2354</v>
          </cell>
          <cell r="P2336">
            <v>43273</v>
          </cell>
          <cell r="Q2336" t="str">
            <v>AYUDA TEMPORAL A LAS FAMILIAS DE VARIAS LOCALIDADES, PARA LA RELOCALIZACIÓN DE HOGARES LOCALIZADOS EN ZONAS DE ALTO RIESGO NO MITIGABLE ID:2009-4-11165, LOCALIDAD:04 SAN CRISTÓBAL, UPZ:50 LA GLORIA</v>
          </cell>
          <cell r="R2336">
            <v>3157574</v>
          </cell>
          <cell r="S2336">
            <v>0</v>
          </cell>
          <cell r="T2336">
            <v>0</v>
          </cell>
          <cell r="U2336">
            <v>3157574</v>
          </cell>
          <cell r="V2336">
            <v>451082</v>
          </cell>
        </row>
        <row r="2337">
          <cell r="J2337">
            <v>2116</v>
          </cell>
          <cell r="K2337">
            <v>43273</v>
          </cell>
          <cell r="L2337" t="str">
            <v>EDILBERTO  RODRIGUEZ DIAZ</v>
          </cell>
          <cell r="M2337">
            <v>31</v>
          </cell>
          <cell r="N2337" t="str">
            <v>RESOLUCION</v>
          </cell>
          <cell r="O2337">
            <v>2388</v>
          </cell>
          <cell r="P2337">
            <v>43273</v>
          </cell>
          <cell r="Q2337" t="str">
            <v>AYUDA TEMPORAL A LAS FAMILIAS DE VARIAS LOCALIDADES, PARA LA RELOCALIZACIÓN DE HOGARES LOCALIZADOS EN ZONAS DE ALTO RIESGO NO MITIGABLE ID:2011-4-12483, LOCALIDAD:04 SAN CRISTÓBAL, UPZ:50 LA GLORIA, SECTOR:OLA INVERNAL 2010 FOPAE</v>
          </cell>
          <cell r="R2337">
            <v>3150000</v>
          </cell>
          <cell r="S2337">
            <v>0</v>
          </cell>
          <cell r="T2337">
            <v>0</v>
          </cell>
          <cell r="U2337">
            <v>3150000</v>
          </cell>
          <cell r="V2337">
            <v>450000</v>
          </cell>
        </row>
        <row r="2338">
          <cell r="J2338">
            <v>2117</v>
          </cell>
          <cell r="K2338">
            <v>43273</v>
          </cell>
          <cell r="L2338" t="str">
            <v>EMILIO  ACEVEDO AGUIRRE</v>
          </cell>
          <cell r="M2338">
            <v>31</v>
          </cell>
          <cell r="N2338" t="str">
            <v>RESOLUCION</v>
          </cell>
          <cell r="O2338">
            <v>2353</v>
          </cell>
          <cell r="P2338">
            <v>43273</v>
          </cell>
          <cell r="Q2338" t="str">
            <v>AYUDA TEMPORAL A LAS FAMILIAS DE VARIAS LOCALIDADES, PARA LA RELOCALIZACIÓN DE HOGARES LOCALIZADOS EN ZONAS DE ALTO RIESGO NO MITIGABLE ID:2011-19-12515, LOCALIDAD:19 CIUDAD BOLÍVAR, UPZ:67 LUCERO, SECTOR:OLA INVERNAL 2010 FOPAE</v>
          </cell>
          <cell r="R2338">
            <v>2845920</v>
          </cell>
          <cell r="S2338">
            <v>0</v>
          </cell>
          <cell r="T2338">
            <v>0</v>
          </cell>
          <cell r="U2338">
            <v>2845920</v>
          </cell>
          <cell r="V2338">
            <v>406560</v>
          </cell>
        </row>
        <row r="2339">
          <cell r="J2339">
            <v>2118</v>
          </cell>
          <cell r="K2339">
            <v>43273</v>
          </cell>
          <cell r="L2339" t="str">
            <v>YOLANDA  ROJAS RIAÑO</v>
          </cell>
          <cell r="M2339">
            <v>31</v>
          </cell>
          <cell r="N2339" t="str">
            <v>RESOLUCION</v>
          </cell>
          <cell r="O2339">
            <v>2352</v>
          </cell>
          <cell r="P2339">
            <v>43273</v>
          </cell>
          <cell r="Q2339" t="str">
            <v>AYUDA TEMPORAL A LAS FAMILIAS DE VARIAS LOCALIDADES, PARA LA RELOCALIZACIÓN DE HOGARES LOCALIZADOS EN ZONAS DE ALTO RIESGO NO MITIGABLE ID:2010-19-11706, LOCALIDAD:19 CIUDAD BOLÍVAR, UPZ:69 ISMAEL PERDOMO, SECTOR:OLA INVERNAL 2010 FOPAE</v>
          </cell>
          <cell r="R2339">
            <v>3378326</v>
          </cell>
          <cell r="S2339">
            <v>0</v>
          </cell>
          <cell r="T2339">
            <v>0</v>
          </cell>
          <cell r="U2339">
            <v>3378326</v>
          </cell>
          <cell r="V2339">
            <v>482618</v>
          </cell>
        </row>
        <row r="2340">
          <cell r="J2340">
            <v>2121</v>
          </cell>
          <cell r="K2340">
            <v>43273</v>
          </cell>
          <cell r="L2340" t="str">
            <v>JOSE MONZAIDE MAHECHA GONZALEZ</v>
          </cell>
          <cell r="M2340">
            <v>31</v>
          </cell>
          <cell r="N2340" t="str">
            <v>RESOLUCION</v>
          </cell>
          <cell r="O2340">
            <v>2351</v>
          </cell>
          <cell r="P2340">
            <v>43273</v>
          </cell>
          <cell r="Q2340" t="str">
            <v>AYUDA TEMPORAL A LAS FAMILIAS DE VARIAS LOCALIDADES, PARA LA RELOCALIZACIÓN DE HOGARES LOCALIZADOS EN ZONAS DE ALTO RIESGO NO MITIGABLE ID:2011-4-12667, LOCALIDAD:04 SAN CRISTÓBAL, UPZ:32 SAN BLAS</v>
          </cell>
          <cell r="R2340">
            <v>2685291</v>
          </cell>
          <cell r="S2340">
            <v>0</v>
          </cell>
          <cell r="T2340">
            <v>0</v>
          </cell>
          <cell r="U2340">
            <v>2685291</v>
          </cell>
          <cell r="V2340">
            <v>383613</v>
          </cell>
        </row>
        <row r="2341">
          <cell r="J2341">
            <v>2122</v>
          </cell>
          <cell r="K2341">
            <v>43273</v>
          </cell>
          <cell r="L2341" t="str">
            <v>BLANCA ELUBIDIA ZUÑIGA MENESES</v>
          </cell>
          <cell r="M2341">
            <v>31</v>
          </cell>
          <cell r="N2341" t="str">
            <v>RESOLUCION</v>
          </cell>
          <cell r="O2341">
            <v>2350</v>
          </cell>
          <cell r="P2341">
            <v>43273</v>
          </cell>
          <cell r="Q2341" t="str">
            <v>AYUDA TEMPORAL A LAS FAMILIAS DE VARIAS LOCALIDADES, PARA LA RELOCALIZACIÓN DE HOGARES LOCALIZADOS EN ZONAS DE ALTO RIESGO NO MITIGABLE ID:2012-ALES-355, LOCALIDAD:19 CIUDAD BOLÍVAR, UPZ:69 ISMAEL PERDOMO</v>
          </cell>
          <cell r="R2341">
            <v>3218670</v>
          </cell>
          <cell r="S2341">
            <v>0</v>
          </cell>
          <cell r="T2341">
            <v>0</v>
          </cell>
          <cell r="U2341">
            <v>3218670</v>
          </cell>
          <cell r="V2341">
            <v>459810</v>
          </cell>
        </row>
        <row r="2342">
          <cell r="J2342">
            <v>2123</v>
          </cell>
          <cell r="K2342">
            <v>43273</v>
          </cell>
          <cell r="L2342" t="str">
            <v>MARIA IMELDA RODRIGUEZ NIETO</v>
          </cell>
          <cell r="M2342">
            <v>31</v>
          </cell>
          <cell r="N2342" t="str">
            <v>RESOLUCION</v>
          </cell>
          <cell r="O2342">
            <v>2349</v>
          </cell>
          <cell r="P2342">
            <v>43273</v>
          </cell>
          <cell r="Q2342" t="str">
            <v>AYUDA TEMPORAL A LAS FAMILIAS DE VARIAS LOCALIDADES, PARA RELOCALIZACIÓN DE HOGARES LOCALIZADOS EN ZONAS DE ALTO RIESGO NO MITIGABLE ID:2010-18-12379, LOCALIDAD:18 RAFAEL URIBE URIBE, UPZ:54 MARRUECOS, SECTOR:OLA INVERNAL 2010 FOPAE</v>
          </cell>
          <cell r="R2342">
            <v>2977345</v>
          </cell>
          <cell r="S2342">
            <v>0</v>
          </cell>
          <cell r="T2342">
            <v>0</v>
          </cell>
          <cell r="U2342">
            <v>2977345</v>
          </cell>
          <cell r="V2342">
            <v>425335</v>
          </cell>
        </row>
        <row r="2343">
          <cell r="J2343">
            <v>2124</v>
          </cell>
          <cell r="K2343">
            <v>43273</v>
          </cell>
          <cell r="L2343" t="str">
            <v>LUIS  CRUZ DELGADO</v>
          </cell>
          <cell r="M2343">
            <v>31</v>
          </cell>
          <cell r="N2343" t="str">
            <v>RESOLUCION</v>
          </cell>
          <cell r="O2343">
            <v>2348</v>
          </cell>
          <cell r="P2343">
            <v>43273</v>
          </cell>
          <cell r="Q2343" t="str">
            <v>AYUDA TEMPORAL A LAS FAMILIAS DE VARIAS LOCALIDADES, PARA RELOCALIZACIÓN DE HOGARES LOCALIZADOS EN ZONAS DE ALTO RIESGO NO MITIGABLE ID:2003-19-5136, LOCALIDAD:19 CIUDAD BOLÍVAR, UPZ:69 ISMAEL PERDOMO, SECTOR:ALTOS DE LA ESTANCIA</v>
          </cell>
          <cell r="R2343">
            <v>3614814</v>
          </cell>
          <cell r="S2343">
            <v>0</v>
          </cell>
          <cell r="T2343">
            <v>0</v>
          </cell>
          <cell r="U2343">
            <v>3614814</v>
          </cell>
          <cell r="V2343">
            <v>516402</v>
          </cell>
        </row>
        <row r="2344">
          <cell r="J2344">
            <v>2125</v>
          </cell>
          <cell r="K2344">
            <v>43273</v>
          </cell>
          <cell r="L2344" t="str">
            <v>ANA ELVIA RODRIGUEZ MENDEZ</v>
          </cell>
          <cell r="M2344">
            <v>31</v>
          </cell>
          <cell r="N2344" t="str">
            <v>RESOLUCION</v>
          </cell>
          <cell r="O2344">
            <v>2347</v>
          </cell>
          <cell r="P2344">
            <v>43273</v>
          </cell>
          <cell r="Q2344" t="str">
            <v>AYUDA TEMPORAL A LAS FAMILIAS DE VARIAS LOCALIDADES, PARA LA RELOCALIZACIÓN DE HOGARES LOCALIZADOS EN ZONAS DE ALTO RIESGO NO MITIGABLE ID:2014-OTR-00901, LOCALIDAD:03 SANTA FE, UPZ:96 LOURDES, SECTOR:CASA 3</v>
          </cell>
          <cell r="R2344">
            <v>2975525</v>
          </cell>
          <cell r="S2344">
            <v>0</v>
          </cell>
          <cell r="T2344">
            <v>0</v>
          </cell>
          <cell r="U2344">
            <v>2975525</v>
          </cell>
          <cell r="V2344">
            <v>425075</v>
          </cell>
        </row>
        <row r="2345">
          <cell r="J2345">
            <v>2126</v>
          </cell>
          <cell r="K2345">
            <v>43273</v>
          </cell>
          <cell r="L2345" t="str">
            <v>BLANCA LUZ TORRES CARRILLO</v>
          </cell>
          <cell r="M2345">
            <v>31</v>
          </cell>
          <cell r="N2345" t="str">
            <v>RESOLUCION</v>
          </cell>
          <cell r="O2345">
            <v>2346</v>
          </cell>
          <cell r="P2345">
            <v>43273</v>
          </cell>
          <cell r="Q2345" t="str">
            <v>AYUDA TEMPORAL A LAS FAMILIAS DE VARIAS LOCALIDADES, PARA LA RELOCALIZACIÓN DE HOGARES LOCALIZADOS EN ZONAS DE ALTO RIESGO NO MITIGABLE ID:2014-Q03-01022, LOCALIDAD:19 CIUDAD BOLÍVAR, UPZ:66 SAN FRANCISCO, SECTOR:LIMAS</v>
          </cell>
          <cell r="R2345">
            <v>2924376</v>
          </cell>
          <cell r="S2345">
            <v>0</v>
          </cell>
          <cell r="T2345">
            <v>0</v>
          </cell>
          <cell r="U2345">
            <v>2924376</v>
          </cell>
          <cell r="V2345">
            <v>417768</v>
          </cell>
        </row>
        <row r="2346">
          <cell r="J2346">
            <v>2127</v>
          </cell>
          <cell r="K2346">
            <v>43273</v>
          </cell>
          <cell r="L2346" t="str">
            <v>MARIA BEATRIZ NARANJO PATARROYO</v>
          </cell>
          <cell r="M2346">
            <v>31</v>
          </cell>
          <cell r="N2346" t="str">
            <v>RESOLUCION</v>
          </cell>
          <cell r="O2346">
            <v>2345</v>
          </cell>
          <cell r="P2346">
            <v>43273</v>
          </cell>
          <cell r="Q2346" t="str">
            <v>AYUDA TEMPORAL A LAS FAMILIAS DE VARIAS LOCALIDADES, PARA LA RELOCALIZACIÓN DE HOGARES LOCALIZADOS EN ZONAS DE ALTO RIESGO NO MITIGABLE ID:2014-OTR-00880, LOCALIDAD:03 SANTA FE, UPZ:96 LOURDES, SECTOR:CASA 2</v>
          </cell>
          <cell r="R2346">
            <v>2975525</v>
          </cell>
          <cell r="S2346">
            <v>0</v>
          </cell>
          <cell r="T2346">
            <v>0</v>
          </cell>
          <cell r="U2346">
            <v>2975525</v>
          </cell>
          <cell r="V2346">
            <v>425075</v>
          </cell>
        </row>
        <row r="2347">
          <cell r="J2347">
            <v>2128</v>
          </cell>
          <cell r="K2347">
            <v>43273</v>
          </cell>
          <cell r="L2347" t="str">
            <v>MARTHA FABIOLA CAMACHO ROJAS</v>
          </cell>
          <cell r="M2347">
            <v>31</v>
          </cell>
          <cell r="N2347" t="str">
            <v>RESOLUCION</v>
          </cell>
          <cell r="O2347">
            <v>2344</v>
          </cell>
          <cell r="P2347">
            <v>43273</v>
          </cell>
          <cell r="Q2347" t="str">
            <v>AYUDA TEMPORAL A LAS FAMILIAS DE VARIAS LOCALIDADES, PARA LA RELOCALIZACIÓN DE HOGARES LOCALIZADOS EN ZONAS DE ALTO RIESGO NO MITIGABLE ID:2014-OTR-00871, LOCALIDAD:03 SANTA FE, UPZ:96 LOURDES, SECTOR:CASA 1</v>
          </cell>
          <cell r="R2347">
            <v>2975525</v>
          </cell>
          <cell r="S2347">
            <v>0</v>
          </cell>
          <cell r="T2347">
            <v>0</v>
          </cell>
          <cell r="U2347">
            <v>2975525</v>
          </cell>
          <cell r="V2347">
            <v>425075</v>
          </cell>
        </row>
        <row r="2348">
          <cell r="J2348">
            <v>2129</v>
          </cell>
          <cell r="K2348">
            <v>43276</v>
          </cell>
          <cell r="L2348" t="str">
            <v>JORGE ARNULFO PACANCHIQUE LOPEZ</v>
          </cell>
          <cell r="M2348">
            <v>31</v>
          </cell>
          <cell r="N2348" t="str">
            <v>RESOLUCION</v>
          </cell>
          <cell r="O2348">
            <v>2338</v>
          </cell>
          <cell r="P2348">
            <v>43276</v>
          </cell>
          <cell r="Q2348" t="str">
            <v>AYUDA TEMPORAL A LAS FAMILIAS DE VARIAS LOCALIDADES, PARA LA RELOCALIZACIÓN DE HOGARES LOCALIZADOS EN ZONAS DE ALTO RIESGO NO MITIGABLE ID:2014-OTR-01155, LOCALIDAD:11 SUBA, UPZ:71 TIBABUYES, SECTOR:GAVILANES</v>
          </cell>
          <cell r="R2348">
            <v>3017000</v>
          </cell>
          <cell r="S2348">
            <v>0</v>
          </cell>
          <cell r="T2348">
            <v>0</v>
          </cell>
          <cell r="U2348">
            <v>3017000</v>
          </cell>
          <cell r="V2348">
            <v>431000</v>
          </cell>
        </row>
        <row r="2349">
          <cell r="J2349">
            <v>2130</v>
          </cell>
          <cell r="K2349">
            <v>43276</v>
          </cell>
          <cell r="L2349" t="str">
            <v>ALIRIO  HOYOS</v>
          </cell>
          <cell r="M2349">
            <v>31</v>
          </cell>
          <cell r="N2349" t="str">
            <v>RESOLUCION</v>
          </cell>
          <cell r="O2349">
            <v>2337</v>
          </cell>
          <cell r="P2349">
            <v>43276</v>
          </cell>
          <cell r="Q2349" t="str">
            <v>AYUDA TEMPORAL A LAS FAMILIAS DE VARIAS LOCALIDADES, PARA LA RELOCALIZACIÓN DE HOGARES LOCALIZADOS EN ZONAS DE ALTO RIESGO NO MITIGABLE ID:2015-Q03-01359, LOCALIDAD:19 CIUDAD BOLÍVAR, UPZ:66 SAN FRANCISCO, SECTOR:LIMAS</v>
          </cell>
          <cell r="R2349">
            <v>3157315</v>
          </cell>
          <cell r="S2349">
            <v>0</v>
          </cell>
          <cell r="T2349">
            <v>0</v>
          </cell>
          <cell r="U2349">
            <v>3157315</v>
          </cell>
          <cell r="V2349">
            <v>451045</v>
          </cell>
        </row>
        <row r="2350">
          <cell r="J2350">
            <v>2131</v>
          </cell>
          <cell r="K2350">
            <v>43276</v>
          </cell>
          <cell r="L2350" t="str">
            <v>EZEQUIEL  TORRES</v>
          </cell>
          <cell r="M2350">
            <v>31</v>
          </cell>
          <cell r="N2350" t="str">
            <v>RESOLUCION</v>
          </cell>
          <cell r="O2350">
            <v>2336</v>
          </cell>
          <cell r="P2350">
            <v>43276</v>
          </cell>
          <cell r="Q2350" t="str">
            <v>AYUDA TEMPORAL A LAS FAMILIAS DE VARIAS LOCALIDADES, PARA LA RELOCALIZACIÓN DE HOGARES LOCALIZADOS EN ZONAS DE ALTO RIESGO NO MITIGABLE ID:2014-OTR-00889, LOCALIDAD:03 SANTA FE, UPZ:96 LOURDES, SECTOR:CASA 2</v>
          </cell>
          <cell r="R2350">
            <v>2582006</v>
          </cell>
          <cell r="S2350">
            <v>0</v>
          </cell>
          <cell r="T2350">
            <v>0</v>
          </cell>
          <cell r="U2350">
            <v>2582006</v>
          </cell>
          <cell r="V2350">
            <v>368858</v>
          </cell>
        </row>
        <row r="2351">
          <cell r="J2351">
            <v>2132</v>
          </cell>
          <cell r="K2351">
            <v>43276</v>
          </cell>
          <cell r="L2351" t="str">
            <v>CLARA INES ESCOBAR DE BENAVIDES</v>
          </cell>
          <cell r="M2351">
            <v>31</v>
          </cell>
          <cell r="N2351" t="str">
            <v>RESOLUCION</v>
          </cell>
          <cell r="O2351">
            <v>2335</v>
          </cell>
          <cell r="P2351">
            <v>43276</v>
          </cell>
          <cell r="Q2351" t="str">
            <v>AYUDA TEMPORAL A LAS FAMILIAS DE VARIAS LOCALIDADES, PARA LA RELOCALIZACIÓN DE HOGARES LOCALIZADOS EN ZONAS DE ALTO RIESGO NO MITIGABLE ID:2014-Q04-00825, LOCALIDAD:19 CIUDAD BOLÍVAR, UPZ:67 LUCERO, SECTOR:PEÑA COLORADA</v>
          </cell>
          <cell r="R2351">
            <v>3157315</v>
          </cell>
          <cell r="S2351">
            <v>0</v>
          </cell>
          <cell r="T2351">
            <v>0</v>
          </cell>
          <cell r="U2351">
            <v>3157315</v>
          </cell>
          <cell r="V2351">
            <v>451045</v>
          </cell>
        </row>
        <row r="2352">
          <cell r="J2352">
            <v>2133</v>
          </cell>
          <cell r="K2352">
            <v>43276</v>
          </cell>
          <cell r="L2352" t="str">
            <v>JEINNY ANDREA NAVARRETE</v>
          </cell>
          <cell r="M2352">
            <v>31</v>
          </cell>
          <cell r="N2352" t="str">
            <v>RESOLUCION</v>
          </cell>
          <cell r="O2352">
            <v>2334</v>
          </cell>
          <cell r="P2352">
            <v>43276</v>
          </cell>
          <cell r="Q2352" t="str">
            <v>AYUDA TEMPORAL A LAS FAMILIAS DE VARIAS LOCALIDADES, PARA LA RELOCALIZACIÓN DE HOGARES LOCALIZADOS EN ZONAS DE ALTO RIESGO NO MITIGABLE ID:2014-OTR-00898, LOCALIDAD:03 SANTA FE, UPZ:96 LOURDES, SECTOR:CASA 3</v>
          </cell>
          <cell r="R2352">
            <v>2582006</v>
          </cell>
          <cell r="S2352">
            <v>0</v>
          </cell>
          <cell r="T2352">
            <v>0</v>
          </cell>
          <cell r="U2352">
            <v>2582006</v>
          </cell>
          <cell r="V2352">
            <v>368858</v>
          </cell>
        </row>
        <row r="2353">
          <cell r="J2353">
            <v>2134</v>
          </cell>
          <cell r="K2353">
            <v>43276</v>
          </cell>
          <cell r="L2353" t="str">
            <v>ORLANDO  RODRIGUEZ ANZOLA</v>
          </cell>
          <cell r="M2353">
            <v>31</v>
          </cell>
          <cell r="N2353" t="str">
            <v>RESOLUCION</v>
          </cell>
          <cell r="O2353">
            <v>2333</v>
          </cell>
          <cell r="P2353">
            <v>43276</v>
          </cell>
          <cell r="Q2353" t="str">
            <v>AYUDA TEMPORAL A LAS FAMILIAS DE VARIAS LOCALIDADES, PARA LA RELOCALIZACIÓN DE HOGARES LOCALIZADOS EN ZONAS DE ALTO RIESGO NO MITIGABLE ID:2015-Q03-03362, LOCALIDAD:19 CIUDAD BOLÍVAR, UPZ:67 LUCERO, SECTOR:LIMAS</v>
          </cell>
          <cell r="R2353">
            <v>3098410</v>
          </cell>
          <cell r="S2353">
            <v>0</v>
          </cell>
          <cell r="T2353">
            <v>0</v>
          </cell>
          <cell r="U2353">
            <v>3098410</v>
          </cell>
          <cell r="V2353">
            <v>442630</v>
          </cell>
        </row>
        <row r="2354">
          <cell r="J2354">
            <v>2135</v>
          </cell>
          <cell r="K2354">
            <v>43276</v>
          </cell>
          <cell r="L2354" t="str">
            <v>LUZ ESPERANZA AGUILAR CUTIVA</v>
          </cell>
          <cell r="M2354">
            <v>31</v>
          </cell>
          <cell r="N2354" t="str">
            <v>RESOLUCION</v>
          </cell>
          <cell r="O2354">
            <v>2332</v>
          </cell>
          <cell r="P2354">
            <v>43276</v>
          </cell>
          <cell r="Q2354" t="str">
            <v>AYUDA TEMPORAL A LAS FAMILIAS DE VARIAS LOCALIDADES, PARA LA RELOCALIZACIÓN DE HOGARES LOCALIZADOS EN ZONAS DE ALTO RIESGO NO MITIGABLE ID:2014-Q03-00992, LOCALIDAD:19 CIUDAD BOLÍVAR, UPZ:66 SAN FRANCISCO, SECTOR:LIMAS</v>
          </cell>
          <cell r="R2354">
            <v>3606526</v>
          </cell>
          <cell r="S2354">
            <v>0</v>
          </cell>
          <cell r="T2354">
            <v>0</v>
          </cell>
          <cell r="U2354">
            <v>3606526</v>
          </cell>
          <cell r="V2354">
            <v>515218</v>
          </cell>
        </row>
        <row r="2355">
          <cell r="J2355">
            <v>2136</v>
          </cell>
          <cell r="K2355">
            <v>43276</v>
          </cell>
          <cell r="L2355" t="str">
            <v>ANA YIBE BELTRAN HERNANDEZ</v>
          </cell>
          <cell r="M2355">
            <v>31</v>
          </cell>
          <cell r="N2355" t="str">
            <v>RESOLUCION</v>
          </cell>
          <cell r="O2355">
            <v>2331</v>
          </cell>
          <cell r="P2355">
            <v>43276</v>
          </cell>
          <cell r="Q2355" t="str">
            <v>AYUDA TEMPORAL A LAS FAMILIAS DE VARIAS LOCALIDADES, PARA LA RELOCALIZACIÓN DE HOGARES LOCALIZADOS EN ZONAS DE ALTO RIESGO NO MITIGABLE ID:2014-Q04-00834, LOCALIDAD:19 CIUDAD BOLÍVAR, UPZ:67 LUCERO, SECTOR:PEÑA COLORADA</v>
          </cell>
          <cell r="R2355">
            <v>2734347</v>
          </cell>
          <cell r="S2355">
            <v>0</v>
          </cell>
          <cell r="T2355">
            <v>0</v>
          </cell>
          <cell r="U2355">
            <v>2734347</v>
          </cell>
          <cell r="V2355">
            <v>390621</v>
          </cell>
        </row>
        <row r="2356">
          <cell r="J2356">
            <v>2137</v>
          </cell>
          <cell r="K2356">
            <v>43276</v>
          </cell>
          <cell r="L2356" t="str">
            <v>JACKELINE  GOMEZ NUÑEZ</v>
          </cell>
          <cell r="M2356">
            <v>31</v>
          </cell>
          <cell r="N2356" t="str">
            <v>RESOLUCION</v>
          </cell>
          <cell r="O2356">
            <v>2330</v>
          </cell>
          <cell r="P2356">
            <v>43276</v>
          </cell>
          <cell r="Q2356" t="str">
            <v>AYUDA TEMPORAL A LAS FAMILIAS DE VARIAS LOCALIDADES, PARA LA RELOCALIZACIÓN DE HOGARES LOCALIZADOS EN ZONAS DE ALTO RIESGO NO MITIGABLE ID:2014-Q09-00928, LOCALIDAD:19 CIUDAD BOLÍVAR, UPZ:67 LUCERO, SECTOR:QUEBRADA TROMPETA</v>
          </cell>
          <cell r="R2356">
            <v>3124968</v>
          </cell>
          <cell r="S2356">
            <v>0</v>
          </cell>
          <cell r="T2356">
            <v>0</v>
          </cell>
          <cell r="U2356">
            <v>3124968</v>
          </cell>
          <cell r="V2356">
            <v>390621</v>
          </cell>
        </row>
        <row r="2357">
          <cell r="J2357">
            <v>2138</v>
          </cell>
          <cell r="K2357">
            <v>43276</v>
          </cell>
          <cell r="L2357" t="str">
            <v>LUZ STELLA CRIOLLO</v>
          </cell>
          <cell r="M2357">
            <v>31</v>
          </cell>
          <cell r="N2357" t="str">
            <v>RESOLUCION</v>
          </cell>
          <cell r="O2357">
            <v>2329</v>
          </cell>
          <cell r="P2357">
            <v>43276</v>
          </cell>
          <cell r="Q2357" t="str">
            <v>AYUDA TEMPORAL A LAS FAMILIAS DE VARIAS LOCALIDADES, PARA LA RELOCALIZACIÓN DE HOGARES LOCALIZADOS EN ZONAS DE ALTO RIESGO NO MITIGABLE ID:2014-Q03-00991, LOCALIDAD:19 CIUDAD BOLÍVAR, UPZ:66 SAN FRANCISCO, SECTOR:LIMAS</v>
          </cell>
          <cell r="R2357">
            <v>3017000</v>
          </cell>
          <cell r="S2357">
            <v>0</v>
          </cell>
          <cell r="T2357">
            <v>0</v>
          </cell>
          <cell r="U2357">
            <v>3017000</v>
          </cell>
          <cell r="V2357">
            <v>431000</v>
          </cell>
        </row>
        <row r="2358">
          <cell r="J2358">
            <v>2139</v>
          </cell>
          <cell r="K2358">
            <v>43276</v>
          </cell>
          <cell r="L2358" t="str">
            <v>MARIA GUADALUPE PULIDO GONZALEZ</v>
          </cell>
          <cell r="M2358">
            <v>31</v>
          </cell>
          <cell r="N2358" t="str">
            <v>RESOLUCION</v>
          </cell>
          <cell r="O2358">
            <v>2328</v>
          </cell>
          <cell r="P2358">
            <v>43276</v>
          </cell>
          <cell r="Q2358" t="str">
            <v>AYUDA TEMPORAL A LAS FAMILIAS DE VARIAS LOCALIDADES, PARA LA RELOCALIZACIÓN DE HOGARES LOCALIZADOS EN ZONAS DE ALTO RIESGO NO MITIGABLE ID:2015-OTR-01363, LOCALIDAD:19 CIUDAD BOLÍVAR, UPZ:67 LUCERO, SECTOR:TABOR ALTALOMA</v>
          </cell>
          <cell r="R2358">
            <v>4647615</v>
          </cell>
          <cell r="S2358">
            <v>0</v>
          </cell>
          <cell r="T2358">
            <v>0</v>
          </cell>
          <cell r="U2358">
            <v>4647615</v>
          </cell>
          <cell r="V2358">
            <v>663945</v>
          </cell>
        </row>
        <row r="2359">
          <cell r="J2359">
            <v>2140</v>
          </cell>
          <cell r="K2359">
            <v>43276</v>
          </cell>
          <cell r="L2359" t="str">
            <v>HENRY STEVEN AGUILERA BENITEZ</v>
          </cell>
          <cell r="M2359">
            <v>31</v>
          </cell>
          <cell r="N2359" t="str">
            <v>RESOLUCION</v>
          </cell>
          <cell r="O2359">
            <v>2327</v>
          </cell>
          <cell r="P2359">
            <v>43276</v>
          </cell>
          <cell r="Q2359" t="str">
            <v>AYUDA TEMPORAL A LAS FAMILIAS DE VARIAS LOCALIDADES, PARA LA RELOCALIZACIÓN DE HOGARES LOCALIZADOS EN ZONAS DE ALTO RIESGO NO MITIGABLE ID:2015-Q03-01474, LOCALIDAD:19 CIUDAD BOLÍVAR, UPZ:66 SAN FRANCISCO, SECTOR:LIMAS</v>
          </cell>
          <cell r="R2359">
            <v>2950864</v>
          </cell>
          <cell r="S2359">
            <v>0</v>
          </cell>
          <cell r="T2359">
            <v>0</v>
          </cell>
          <cell r="U2359">
            <v>2950864</v>
          </cell>
          <cell r="V2359">
            <v>368858</v>
          </cell>
        </row>
        <row r="2360">
          <cell r="J2360">
            <v>2141</v>
          </cell>
          <cell r="K2360">
            <v>43276</v>
          </cell>
          <cell r="L2360" t="str">
            <v>BERNEY  VIUCHE SIERRA</v>
          </cell>
          <cell r="M2360">
            <v>31</v>
          </cell>
          <cell r="N2360" t="str">
            <v>RESOLUCION</v>
          </cell>
          <cell r="O2360">
            <v>2326</v>
          </cell>
          <cell r="P2360">
            <v>43276</v>
          </cell>
          <cell r="Q2360" t="str">
            <v>AYUDA TEMPORAL A LAS FAMILIAS DE VARIAS LOCALIDADES, PARA LA RELOCALIZACIÓN DE HOGARES LOCALIZADOS EN ZONAS DE ALTO RIESGO NO MITIGABLE ID:2015-Q03-01487, LOCALIDAD:19 CIUDAD BOLÍVAR, UPZ:66 SAN FRANCISCO, SECTOR:LIMAS</v>
          </cell>
          <cell r="R2360">
            <v>2685291</v>
          </cell>
          <cell r="S2360">
            <v>0</v>
          </cell>
          <cell r="T2360">
            <v>0</v>
          </cell>
          <cell r="U2360">
            <v>2685291</v>
          </cell>
          <cell r="V2360">
            <v>383613</v>
          </cell>
        </row>
        <row r="2361">
          <cell r="J2361">
            <v>2142</v>
          </cell>
          <cell r="K2361">
            <v>43276</v>
          </cell>
          <cell r="L2361" t="str">
            <v>MAYURI  RODRIGUEZ RAMIREZ</v>
          </cell>
          <cell r="M2361">
            <v>31</v>
          </cell>
          <cell r="N2361" t="str">
            <v>RESOLUCION</v>
          </cell>
          <cell r="O2361">
            <v>2325</v>
          </cell>
          <cell r="P2361">
            <v>43276</v>
          </cell>
          <cell r="Q2361" t="str">
            <v>AYUDA TEMPORAL A LAS FAMILIAS DE VARIAS LOCALIDADES, PARA LA RELOCALIZACIÓN DE HOGARES LOCALIZADOS EN ZONAS DE ALTO RIESGO NO MITIGABLE ID:2017-04-14930, LOCALIDAD:04 SAN CRISTÓBAL, UPZ:32 SAN BLAS, SECTOR:TRIANGULO ALTO</v>
          </cell>
          <cell r="R2361">
            <v>2840208</v>
          </cell>
          <cell r="S2361">
            <v>0</v>
          </cell>
          <cell r="T2361">
            <v>0</v>
          </cell>
          <cell r="U2361">
            <v>2840208</v>
          </cell>
          <cell r="V2361">
            <v>405744</v>
          </cell>
        </row>
        <row r="2362">
          <cell r="J2362">
            <v>2143</v>
          </cell>
          <cell r="K2362">
            <v>43276</v>
          </cell>
          <cell r="L2362" t="str">
            <v>JOSE VICENTE RODRIGUEZ PARRA</v>
          </cell>
          <cell r="M2362">
            <v>31</v>
          </cell>
          <cell r="N2362" t="str">
            <v>RESOLUCION</v>
          </cell>
          <cell r="O2362">
            <v>2324</v>
          </cell>
          <cell r="P2362">
            <v>43276</v>
          </cell>
          <cell r="Q2362" t="str">
            <v>AYUDA TEMPORAL A LAS FAMILIAS DE VARIAS LOCALIDADES, PARA LA RELOCALIZACIÓN DE HOGARES LOCALIZADOS EN ZONAS DE ALTO RIESGO NO MITIGABLE ID:2017-04-14932, LOCALIDAD:04 SAN CRISTÓBAL, UPZ:32 SAN BLAS, SECTOR:TRIANGULO ALTO</v>
          </cell>
          <cell r="R2362">
            <v>3098410</v>
          </cell>
          <cell r="S2362">
            <v>0</v>
          </cell>
          <cell r="T2362">
            <v>0</v>
          </cell>
          <cell r="U2362">
            <v>3098410</v>
          </cell>
          <cell r="V2362">
            <v>442630</v>
          </cell>
        </row>
        <row r="2363">
          <cell r="J2363">
            <v>2148</v>
          </cell>
          <cell r="K2363">
            <v>43277</v>
          </cell>
          <cell r="L2363" t="str">
            <v>LETICIA  FIERRO GARRIDO</v>
          </cell>
          <cell r="M2363">
            <v>31</v>
          </cell>
          <cell r="N2363" t="str">
            <v>RESOLUCION</v>
          </cell>
          <cell r="O2363">
            <v>2426</v>
          </cell>
          <cell r="P2363">
            <v>43277</v>
          </cell>
          <cell r="Q2363" t="str">
            <v>VUR de la actual vigencia. La asignación se realiza para dar cumplimiento al fallo de acción popular 2002-00152- Suba Gavilanes. Decreto 255 de 2013. LOCALIDAD: SUBA (GAVILANES); BARRIO: SANTA CECILIA;ID: 2018-11-15303</v>
          </cell>
          <cell r="R2363">
            <v>39062100</v>
          </cell>
          <cell r="S2363">
            <v>0</v>
          </cell>
          <cell r="T2363">
            <v>0</v>
          </cell>
          <cell r="U2363">
            <v>39062100</v>
          </cell>
          <cell r="V2363">
            <v>0</v>
          </cell>
        </row>
        <row r="2364">
          <cell r="J2364">
            <v>2149</v>
          </cell>
          <cell r="K2364">
            <v>43277</v>
          </cell>
          <cell r="L2364" t="str">
            <v>BLANCA CECILIA BENAVIDES</v>
          </cell>
          <cell r="M2364">
            <v>31</v>
          </cell>
          <cell r="N2364" t="str">
            <v>RESOLUCION</v>
          </cell>
          <cell r="O2364">
            <v>2538</v>
          </cell>
          <cell r="P2364">
            <v>43277</v>
          </cell>
          <cell r="Q2364" t="str">
            <v>AYUDA TEMPORAL A LAS FAMILIAS DE VARIAS LOCALIDADES, PARA LA RELOCALIZACIÓN DE HOGARES LOCALIZADOS EN ZONAS DE ALTO RIESGO NO MITIGABLE ID:2011-4-12708, LOCALIDAD:04 SAN CRISTÓBAL, UPZ:32 SAN BLAS</v>
          </cell>
          <cell r="R2364">
            <v>2582006</v>
          </cell>
          <cell r="S2364">
            <v>0</v>
          </cell>
          <cell r="T2364">
            <v>0</v>
          </cell>
          <cell r="U2364">
            <v>2582006</v>
          </cell>
          <cell r="V2364">
            <v>368858</v>
          </cell>
        </row>
        <row r="2365">
          <cell r="J2365">
            <v>2150</v>
          </cell>
          <cell r="K2365">
            <v>43277</v>
          </cell>
          <cell r="L2365" t="str">
            <v>JUANA PAULA GAÑAN DE TAPASCO</v>
          </cell>
          <cell r="M2365">
            <v>31</v>
          </cell>
          <cell r="N2365" t="str">
            <v>RESOLUCION</v>
          </cell>
          <cell r="O2365">
            <v>2537</v>
          </cell>
          <cell r="P2365">
            <v>43277</v>
          </cell>
          <cell r="Q2365" t="str">
            <v>AYUDA TEMPORAL A LAS FAMILIAS DE VARIAS LOCALIDADES, PARA LA RELOCALIZACIÓN DE HOGARES LOCALIZADOS EN ZONAS DE ALTO RIESGO NO MITIGABLE ID:2011-4-12722, LOCALIDAD:04 SAN CRISTÓBAL, UPZ:32 SAN BLAS</v>
          </cell>
          <cell r="R2365">
            <v>2661239</v>
          </cell>
          <cell r="S2365">
            <v>0</v>
          </cell>
          <cell r="T2365">
            <v>0</v>
          </cell>
          <cell r="U2365">
            <v>2661239</v>
          </cell>
          <cell r="V2365">
            <v>380177</v>
          </cell>
        </row>
        <row r="2366">
          <cell r="J2366">
            <v>2151</v>
          </cell>
          <cell r="K2366">
            <v>43277</v>
          </cell>
          <cell r="L2366" t="str">
            <v>LUZ ISLENI CADENA SANCHEZ</v>
          </cell>
          <cell r="M2366">
            <v>31</v>
          </cell>
          <cell r="N2366" t="str">
            <v>RESOLUCION</v>
          </cell>
          <cell r="O2366">
            <v>2536</v>
          </cell>
          <cell r="P2366">
            <v>43277</v>
          </cell>
          <cell r="Q2366" t="str">
            <v>AYUDA TEMPORAL A LAS FAMILIAS DE VARIAS LOCALIDADES, PARA LA RELOCALIZACIÓN DE HOGARES LOCALIZADOS EN ZONAS DE ALTO RIESGO NO MITIGABLE ID:2012-5-14150, LOCALIDAD:05 USME, UPZ:58 COMUNEROS</v>
          </cell>
          <cell r="R2366">
            <v>2582006</v>
          </cell>
          <cell r="S2366">
            <v>0</v>
          </cell>
          <cell r="T2366">
            <v>0</v>
          </cell>
          <cell r="U2366">
            <v>2582006</v>
          </cell>
          <cell r="V2366">
            <v>368858</v>
          </cell>
        </row>
        <row r="2367">
          <cell r="J2367">
            <v>2152</v>
          </cell>
          <cell r="K2367">
            <v>43277</v>
          </cell>
          <cell r="L2367" t="str">
            <v>NELLY ESPERANZA CAMARGO LOZANO</v>
          </cell>
          <cell r="M2367">
            <v>31</v>
          </cell>
          <cell r="N2367" t="str">
            <v>RESOLUCION</v>
          </cell>
          <cell r="O2367">
            <v>2535</v>
          </cell>
          <cell r="P2367">
            <v>43277</v>
          </cell>
          <cell r="Q2367" t="str">
            <v>AYUDA TEMPORAL A LAS FAMILIAS DE VARIAS LOCALIDADES, PARA LA RELOCALIZACIÓN DE HOGARES LOCALIZADOS EN ZONAS DE ALTO RIESGO NO MITIGABLE ID:2015-3-14763, LOCALIDAD:03 SANTA FE, UPZ:96 LOURDES</v>
          </cell>
          <cell r="R2367">
            <v>3318945</v>
          </cell>
          <cell r="S2367">
            <v>0</v>
          </cell>
          <cell r="T2367">
            <v>0</v>
          </cell>
          <cell r="U2367">
            <v>3318945</v>
          </cell>
          <cell r="V2367">
            <v>474135</v>
          </cell>
        </row>
        <row r="2368">
          <cell r="J2368">
            <v>2153</v>
          </cell>
          <cell r="K2368">
            <v>43277</v>
          </cell>
          <cell r="L2368" t="str">
            <v>JUAN EVANGELISTA NARANJO PATARROYO</v>
          </cell>
          <cell r="M2368">
            <v>31</v>
          </cell>
          <cell r="N2368" t="str">
            <v>RESOLUCION</v>
          </cell>
          <cell r="O2368">
            <v>2534</v>
          </cell>
          <cell r="P2368">
            <v>43277</v>
          </cell>
          <cell r="Q2368" t="str">
            <v>AYUDA TEMPORAL A LAS FAMILIAS DE VARIAS LOCALIDADES, PARA LA RELOCALIZACIÓN DE HOGARES LOCALIZADOS EN ZONAS DE ALTO RIESGO NO MITIGABLE ID:2014-OTR-00886, LOCALIDAD:03 SANTA FE, UPZ:96 LOURDES, SECTOR:CASA 2</v>
          </cell>
          <cell r="R2368">
            <v>3516527</v>
          </cell>
          <cell r="S2368">
            <v>0</v>
          </cell>
          <cell r="T2368">
            <v>0</v>
          </cell>
          <cell r="U2368">
            <v>3516527</v>
          </cell>
          <cell r="V2368">
            <v>502361</v>
          </cell>
        </row>
        <row r="2369">
          <cell r="J2369">
            <v>2154</v>
          </cell>
          <cell r="K2369">
            <v>43277</v>
          </cell>
          <cell r="L2369" t="str">
            <v>LUZ HERMINDA MURILLO REIVA</v>
          </cell>
          <cell r="M2369">
            <v>31</v>
          </cell>
          <cell r="N2369" t="str">
            <v>RESOLUCION</v>
          </cell>
          <cell r="O2369">
            <v>2533</v>
          </cell>
          <cell r="P2369">
            <v>43277</v>
          </cell>
          <cell r="Q2369" t="str">
            <v>AYUDA TEMPORAL A LAS FAMILIAS DE VARIAS LOCALIDADES, PARA LA RELOCALIZACIÓN DE HOGARES LOCALIZADOS EN ZONAS DE ALTO RIESGO NO MITIGABLE ID:2016-08-14857, LOCALIDAD:08 KENNEDY, UPZ:82 PATIO BONITO, SECTOR:PALMITAS</v>
          </cell>
          <cell r="R2369">
            <v>3363992</v>
          </cell>
          <cell r="S2369">
            <v>0</v>
          </cell>
          <cell r="T2369">
            <v>0</v>
          </cell>
          <cell r="U2369">
            <v>3363992</v>
          </cell>
          <cell r="V2369">
            <v>420499</v>
          </cell>
        </row>
        <row r="2370">
          <cell r="J2370">
            <v>2155</v>
          </cell>
          <cell r="K2370">
            <v>43277</v>
          </cell>
          <cell r="L2370" t="str">
            <v>FLOR ELISA ULLOA PUENTES</v>
          </cell>
          <cell r="M2370">
            <v>31</v>
          </cell>
          <cell r="N2370" t="str">
            <v>RESOLUCION</v>
          </cell>
          <cell r="O2370">
            <v>2524</v>
          </cell>
          <cell r="P2370">
            <v>43277</v>
          </cell>
          <cell r="Q2370" t="str">
            <v>VUR de la actual vigencia. La asignación se realiza para dar cumplimiento al fallo de acción popular 2002-00152- Suba Gavilanes. Decreto 255 de 2013. LOCALIDAD: SUBA (GAVILANES); BARRIO: SANTA CECILIA; ID:2018-11-15198</v>
          </cell>
          <cell r="R2370">
            <v>39062100</v>
          </cell>
          <cell r="S2370">
            <v>39062100</v>
          </cell>
          <cell r="T2370">
            <v>0</v>
          </cell>
          <cell r="U2370">
            <v>0</v>
          </cell>
          <cell r="V2370">
            <v>0</v>
          </cell>
        </row>
        <row r="2371">
          <cell r="J2371">
            <v>2156</v>
          </cell>
          <cell r="K2371">
            <v>43277</v>
          </cell>
          <cell r="L2371" t="str">
            <v>MARYLIN  REALPE CAMACHO</v>
          </cell>
          <cell r="M2371">
            <v>31</v>
          </cell>
          <cell r="N2371" t="str">
            <v>RESOLUCION</v>
          </cell>
          <cell r="O2371">
            <v>2571</v>
          </cell>
          <cell r="P2371">
            <v>43277</v>
          </cell>
          <cell r="Q2371" t="str">
            <v>AYUDA TEMPORAL A LAS FAMILIAS DE VARIAS LOCALIDADES, PARA LA RELOCALIZACIÓN DE HOGARES LOCALIZADOS EN ZONAS DE ALTO RIESGO NO MITIGABLE ID:2014-OTR-00877, LOCALIDAD:03 SANTA FE, UPZ:96 LOURDES, SECTOR:CASA 1</v>
          </cell>
          <cell r="R2371">
            <v>2976771</v>
          </cell>
          <cell r="S2371">
            <v>0</v>
          </cell>
          <cell r="T2371">
            <v>0</v>
          </cell>
          <cell r="U2371">
            <v>2976771</v>
          </cell>
          <cell r="V2371">
            <v>425253</v>
          </cell>
        </row>
        <row r="2372">
          <cell r="J2372">
            <v>2157</v>
          </cell>
          <cell r="K2372">
            <v>43277</v>
          </cell>
          <cell r="L2372" t="str">
            <v>BLANCA RUTH NARANJO PATARROYO</v>
          </cell>
          <cell r="M2372">
            <v>31</v>
          </cell>
          <cell r="N2372" t="str">
            <v>RESOLUCION</v>
          </cell>
          <cell r="O2372">
            <v>2570</v>
          </cell>
          <cell r="P2372">
            <v>43277</v>
          </cell>
          <cell r="Q2372" t="str">
            <v>AYUDA TEMPORAL A LAS FAMILIAS DE VARIAS LOCALIDADES, PARA LA RELOCALIZACIÓN DE HOGARES LOCALIZADOS EN ZONAS DE ALTO RIESGO NO MITIGABLE ID:2014-OTR-00887, LOCALIDAD:03 SANTA FE, UPZ:96 LOURDES, SECTOR:CASA 2</v>
          </cell>
          <cell r="R2372">
            <v>2975525</v>
          </cell>
          <cell r="S2372">
            <v>0</v>
          </cell>
          <cell r="T2372">
            <v>0</v>
          </cell>
          <cell r="U2372">
            <v>2975525</v>
          </cell>
          <cell r="V2372">
            <v>425075</v>
          </cell>
        </row>
        <row r="2373">
          <cell r="J2373">
            <v>2158</v>
          </cell>
          <cell r="K2373">
            <v>43277</v>
          </cell>
          <cell r="L2373" t="str">
            <v>LILIA INES LOAIZA DE ARRAZOLA</v>
          </cell>
          <cell r="M2373">
            <v>31</v>
          </cell>
          <cell r="N2373" t="str">
            <v>RESOLUCION</v>
          </cell>
          <cell r="O2373">
            <v>2569</v>
          </cell>
          <cell r="P2373">
            <v>43277</v>
          </cell>
          <cell r="Q2373" t="str">
            <v>AYUDA TEMPORAL A LAS FAMILIAS DE VARIAS LOCALIDADES, PARA LA RELOCALIZACIÓN DE HOGARES LOCALIZADOS EN ZONAS DE ALTO RIESGO NO MITIGABLE ID:2013000384, LOCALIDAD:04 SAN CRISTÓBAL, UPZ:51 LOS LIBERTADORES, SECTOR:QUEBRADA VEREJONES</v>
          </cell>
          <cell r="R2373">
            <v>4499955</v>
          </cell>
          <cell r="S2373">
            <v>0</v>
          </cell>
          <cell r="T2373">
            <v>0</v>
          </cell>
          <cell r="U2373">
            <v>4499955</v>
          </cell>
          <cell r="V2373">
            <v>499995</v>
          </cell>
        </row>
        <row r="2374">
          <cell r="J2374">
            <v>2159</v>
          </cell>
          <cell r="K2374">
            <v>43277</v>
          </cell>
          <cell r="L2374" t="str">
            <v>YUDY ZULEYDI TORRES MUÑOZ</v>
          </cell>
          <cell r="M2374">
            <v>31</v>
          </cell>
          <cell r="N2374" t="str">
            <v>RESOLUCION</v>
          </cell>
          <cell r="O2374">
            <v>2532</v>
          </cell>
          <cell r="P2374">
            <v>43277</v>
          </cell>
          <cell r="Q2374" t="str">
            <v>AYUDA TEMPORAL A LAS FAMILIAS DE VARIAS LOCALIDADES, PARA LA RELOCALIZACIÓN DE HOGARES LOCALIZADOS EN ZONAS DE ALTO RIESGO NO MITIGABLE ID:2015-OTR-01373, LOCALIDAD:11 SUBA, UPZ:71 TIBABUYES, SECTOR:GAVILANES</v>
          </cell>
          <cell r="R2374">
            <v>4027933</v>
          </cell>
          <cell r="S2374">
            <v>0</v>
          </cell>
          <cell r="T2374">
            <v>0</v>
          </cell>
          <cell r="U2374">
            <v>4027933</v>
          </cell>
          <cell r="V2374">
            <v>575419</v>
          </cell>
        </row>
        <row r="2375">
          <cell r="J2375">
            <v>2160</v>
          </cell>
          <cell r="K2375">
            <v>43277</v>
          </cell>
          <cell r="L2375" t="str">
            <v>YADIRA  GOMEZ DAZA</v>
          </cell>
          <cell r="M2375">
            <v>31</v>
          </cell>
          <cell r="N2375" t="str">
            <v>RESOLUCION</v>
          </cell>
          <cell r="O2375">
            <v>2568</v>
          </cell>
          <cell r="P2375">
            <v>43277</v>
          </cell>
          <cell r="Q2375" t="str">
            <v>AYUDA TEMPORAL A LAS FAMILIAS DE VARIAS LOCALIDADES, PARA LA RELOCALIZACIÓN DE HOGARES LOCALIZADOS EN ZONAS DE ALTO RIESGO NO MITIGABLE ID:2012-19-14382, LOCALIDAD:19 CIUDAD BOLÍVAR, UPZ:68 EL TESORO</v>
          </cell>
          <cell r="R2375">
            <v>3218670</v>
          </cell>
          <cell r="S2375">
            <v>0</v>
          </cell>
          <cell r="T2375">
            <v>0</v>
          </cell>
          <cell r="U2375">
            <v>3218670</v>
          </cell>
          <cell r="V2375">
            <v>459810</v>
          </cell>
        </row>
        <row r="2376">
          <cell r="J2376">
            <v>2161</v>
          </cell>
          <cell r="K2376">
            <v>43277</v>
          </cell>
          <cell r="L2376" t="str">
            <v>GILDARDO  TOVAR ABELLO</v>
          </cell>
          <cell r="M2376">
            <v>31</v>
          </cell>
          <cell r="N2376" t="str">
            <v>RESOLUCION</v>
          </cell>
          <cell r="O2376">
            <v>2567</v>
          </cell>
          <cell r="P2376">
            <v>43277</v>
          </cell>
          <cell r="Q2376" t="str">
            <v>AYUDA TEMPORAL A LAS FAMILIAS DE VARIAS LOCALIDADES, PARA LA RELOCALIZACIÓN DE HOGARES LOCALIZADOS EN ZONAS DE ALTO RIESGO NO MITIGABLE ID:2016-19-00006, LOCALIDAD:19 CIUDAD BOLÍVAR, UPZ:67 LUCERO</v>
          </cell>
          <cell r="R2376">
            <v>2685291</v>
          </cell>
          <cell r="S2376">
            <v>0</v>
          </cell>
          <cell r="T2376">
            <v>0</v>
          </cell>
          <cell r="U2376">
            <v>2685291</v>
          </cell>
          <cell r="V2376">
            <v>383613</v>
          </cell>
        </row>
        <row r="2377">
          <cell r="J2377">
            <v>2162</v>
          </cell>
          <cell r="K2377">
            <v>43277</v>
          </cell>
          <cell r="L2377" t="str">
            <v>JOSE ALBERTO REINA SICUA</v>
          </cell>
          <cell r="M2377">
            <v>31</v>
          </cell>
          <cell r="N2377" t="str">
            <v>RESOLUCION</v>
          </cell>
          <cell r="O2377">
            <v>2531</v>
          </cell>
          <cell r="P2377">
            <v>43277</v>
          </cell>
          <cell r="Q2377" t="str">
            <v>AYUDA TEMPORAL A LAS FAMILIAS DE VARIAS LOCALIDADES, PARA RELOCALIZACIÓN DE HOGARES LOCALIZADOS EN ZONAS DE ALTO RIESGO NO MITIGABLE ID:2013000376, LOCALIDAD:19 CIUDAD BOLÍVAR, UPZ:67 LUCERO, SECTOR:PEÑA COLORADA</v>
          </cell>
          <cell r="R2377">
            <v>3017000</v>
          </cell>
          <cell r="S2377">
            <v>0</v>
          </cell>
          <cell r="T2377">
            <v>0</v>
          </cell>
          <cell r="U2377">
            <v>3017000</v>
          </cell>
          <cell r="V2377">
            <v>431000</v>
          </cell>
        </row>
        <row r="2378">
          <cell r="J2378">
            <v>2163</v>
          </cell>
          <cell r="K2378">
            <v>43277</v>
          </cell>
          <cell r="L2378" t="str">
            <v>ALBA LUCIA PEÑA LINARES</v>
          </cell>
          <cell r="M2378">
            <v>31</v>
          </cell>
          <cell r="N2378" t="str">
            <v>RESOLUCION</v>
          </cell>
          <cell r="O2378">
            <v>2566</v>
          </cell>
          <cell r="P2378">
            <v>43277</v>
          </cell>
          <cell r="Q2378" t="str">
            <v>AYUDA TEMPORAL A LAS FAMILIAS DE VARIAS LOCALIDADES, PARA LA RELOCALIZACIÓN DE HOGARES LOCALIZADOS EN ZONAS DE ALTO RIESGO NO MITIGABLE ID:2012-T314-09, LOCALIDAD:04 SAN CRISTÓBAL, UPZ:50 LA GLORIA</v>
          </cell>
          <cell r="R2378">
            <v>3563175</v>
          </cell>
          <cell r="S2378">
            <v>0</v>
          </cell>
          <cell r="T2378">
            <v>0</v>
          </cell>
          <cell r="U2378">
            <v>3563175</v>
          </cell>
          <cell r="V2378">
            <v>509025</v>
          </cell>
        </row>
        <row r="2379">
          <cell r="J2379">
            <v>2164</v>
          </cell>
          <cell r="K2379">
            <v>43277</v>
          </cell>
          <cell r="L2379" t="str">
            <v>CLARA INES MARTINEZ</v>
          </cell>
          <cell r="M2379">
            <v>31</v>
          </cell>
          <cell r="N2379" t="str">
            <v>RESOLUCION</v>
          </cell>
          <cell r="O2379">
            <v>2530</v>
          </cell>
          <cell r="P2379">
            <v>43277</v>
          </cell>
          <cell r="Q2379" t="str">
            <v>AYUDA TEMPORAL A LAS FAMILIAS DE VARIAS LOCALIDADES, PARA RELOCALIZACIÓN DE HOGARES LOCALIZADOS EN ZONAS DE ALTO RIESGO NO MITIGABLE ID:2013000015, LOCALIDAD:19 CIUDAD BOLÍVAR, UPZ:67 LUCERO, SECTOR:QUEBRADA CAÑO BAÚL</v>
          </cell>
          <cell r="R2379">
            <v>3448000</v>
          </cell>
          <cell r="S2379">
            <v>0</v>
          </cell>
          <cell r="T2379">
            <v>0</v>
          </cell>
          <cell r="U2379">
            <v>3448000</v>
          </cell>
          <cell r="V2379">
            <v>431000</v>
          </cell>
        </row>
        <row r="2380">
          <cell r="J2380">
            <v>2165</v>
          </cell>
          <cell r="K2380">
            <v>43277</v>
          </cell>
          <cell r="L2380" t="str">
            <v>JOSE ORLANDO GANZO MORALES</v>
          </cell>
          <cell r="M2380">
            <v>31</v>
          </cell>
          <cell r="N2380" t="str">
            <v>RESOLUCION</v>
          </cell>
          <cell r="O2380">
            <v>2565</v>
          </cell>
          <cell r="P2380">
            <v>43277</v>
          </cell>
          <cell r="Q2380" t="str">
            <v>AYUDA TEMPORAL A LAS FAMILIAS DE VARIAS LOCALIDADES, PARA LA RELOCALIZACIÓN DE HOGARES LOCALIZADOS EN ZONAS DE ALTO RIESGO NO MITIGABLE ID:2011-4-12724, LOCALIDAD:04 SAN CRISTÓBAL, UPZ:32 SAN BLAS</v>
          </cell>
          <cell r="R2380">
            <v>2582006</v>
          </cell>
          <cell r="S2380">
            <v>0</v>
          </cell>
          <cell r="T2380">
            <v>0</v>
          </cell>
          <cell r="U2380">
            <v>2582006</v>
          </cell>
          <cell r="V2380">
            <v>368858</v>
          </cell>
        </row>
        <row r="2381">
          <cell r="J2381">
            <v>2166</v>
          </cell>
          <cell r="K2381">
            <v>43277</v>
          </cell>
          <cell r="L2381" t="str">
            <v>HECTOR MAURICIO VELEZ SANCHEZ</v>
          </cell>
          <cell r="M2381">
            <v>31</v>
          </cell>
          <cell r="N2381" t="str">
            <v>RESOLUCION</v>
          </cell>
          <cell r="O2381">
            <v>2564</v>
          </cell>
          <cell r="P2381">
            <v>43277</v>
          </cell>
          <cell r="Q2381" t="str">
            <v>AYUDA TEMPORAL A LAS FAMILIAS DE VARIAS LOCALIDADES, PARA LA RELOCALIZACIÓN DE HOGARES LOCALIZADOS EN ZONAS DE ALTO RIESGO NO MITIGABLE ID:2011-5-13283, LOCALIDAD:05 USME, UPZ:56 DANUBIO</v>
          </cell>
          <cell r="R2381">
            <v>2924376</v>
          </cell>
          <cell r="S2381">
            <v>0</v>
          </cell>
          <cell r="T2381">
            <v>0</v>
          </cell>
          <cell r="U2381">
            <v>2924376</v>
          </cell>
          <cell r="V2381">
            <v>417768</v>
          </cell>
        </row>
        <row r="2382">
          <cell r="J2382">
            <v>2167</v>
          </cell>
          <cell r="K2382">
            <v>43277</v>
          </cell>
          <cell r="L2382" t="str">
            <v>TOMAS AUGUSTO QUIZA ALVAREZ</v>
          </cell>
          <cell r="M2382">
            <v>31</v>
          </cell>
          <cell r="N2382" t="str">
            <v>RESOLUCION</v>
          </cell>
          <cell r="O2382">
            <v>2529</v>
          </cell>
          <cell r="P2382">
            <v>43277</v>
          </cell>
          <cell r="Q2382" t="str">
            <v>AYUDA TEMPORAL A LAS FAMILIAS DE VARIAS LOCALIDADES, PARA LA RELOCALIZACIÓN DE HOGARES LOCALIZADOS EN ZONAS DE ALTO RIESGO NO MITIGABLE ID:2006-4-8838, LOCALIDAD:04 SAN CRISTÓBAL, UPZ:50 LA GLORIA.</v>
          </cell>
          <cell r="R2382">
            <v>4367288</v>
          </cell>
          <cell r="S2382">
            <v>0</v>
          </cell>
          <cell r="T2382">
            <v>0</v>
          </cell>
          <cell r="U2382">
            <v>4367288</v>
          </cell>
          <cell r="V2382">
            <v>545911</v>
          </cell>
        </row>
        <row r="2383">
          <cell r="J2383">
            <v>2168</v>
          </cell>
          <cell r="K2383">
            <v>43277</v>
          </cell>
          <cell r="L2383" t="str">
            <v>ROSA ELENA TORRES MOLINA</v>
          </cell>
          <cell r="M2383">
            <v>31</v>
          </cell>
          <cell r="N2383" t="str">
            <v>RESOLUCION</v>
          </cell>
          <cell r="O2383">
            <v>2563</v>
          </cell>
          <cell r="P2383">
            <v>43277</v>
          </cell>
          <cell r="Q2383" t="str">
            <v>AYUDA TEMPORAL A LAS FAMILIAS DE VARIAS LOCALIDADES, PARA LA RELOCALIZACIÓN DE HOGARES LOCALIZADOS EN ZONAS DE ALTO RIESGO NO MITIGABLE ID:2011-4-12715, LOCALIDAD:04 SAN CRISTÓBAL, UPZ:32 SAN BLAS</v>
          </cell>
          <cell r="R2383">
            <v>2788569</v>
          </cell>
          <cell r="S2383">
            <v>0</v>
          </cell>
          <cell r="T2383">
            <v>0</v>
          </cell>
          <cell r="U2383">
            <v>2788569</v>
          </cell>
          <cell r="V2383">
            <v>398367</v>
          </cell>
        </row>
        <row r="2384">
          <cell r="J2384">
            <v>2169</v>
          </cell>
          <cell r="K2384">
            <v>43277</v>
          </cell>
          <cell r="L2384" t="str">
            <v>SANDRA MILENA OVALLE VELASQUEZ</v>
          </cell>
          <cell r="M2384">
            <v>31</v>
          </cell>
          <cell r="N2384" t="str">
            <v>RESOLUCION</v>
          </cell>
          <cell r="O2384">
            <v>2562</v>
          </cell>
          <cell r="P2384">
            <v>43277</v>
          </cell>
          <cell r="Q2384" t="str">
            <v>AYUDA TEMPORAL A LAS FAMILIAS DE VARIAS LOCALIDADES, PARA LA RELOCALIZACIÓN DE HOGARES LOCALIZADOS EN ZONAS DE ALTO RIESGO NO MITIGABLE ID:2006-19-8078, LOCALIDAD:19 CIUDAD BOLÍVAR, UPZ:67 LUCERO</v>
          </cell>
          <cell r="R2384">
            <v>3111969</v>
          </cell>
          <cell r="S2384">
            <v>0</v>
          </cell>
          <cell r="T2384">
            <v>0</v>
          </cell>
          <cell r="U2384">
            <v>3111969</v>
          </cell>
          <cell r="V2384">
            <v>444567</v>
          </cell>
        </row>
        <row r="2385">
          <cell r="J2385">
            <v>2170</v>
          </cell>
          <cell r="K2385">
            <v>43277</v>
          </cell>
          <cell r="L2385" t="str">
            <v>LILIA INES DUARTE RUBIANO</v>
          </cell>
          <cell r="M2385">
            <v>31</v>
          </cell>
          <cell r="N2385" t="str">
            <v>RESOLUCION</v>
          </cell>
          <cell r="O2385">
            <v>2528</v>
          </cell>
          <cell r="P2385">
            <v>43277</v>
          </cell>
          <cell r="Q2385" t="str">
            <v>AYUDA TEMPORAL A LAS FAMILIAS DE VARIAS LOCALIDADES, PARA LA RELOCALIZACIÓN DE HOGARES LOCALIZADOS EN ZONAS DE ALTO RIESGO NO MITIGABLE ID:2010-5-11557, LOCALIDAD:05 USME, UPZ:57 GRAN YOMASA, SECTOR:OLA INVERNAL 2010 FOPAE</v>
          </cell>
          <cell r="R2385">
            <v>3749200</v>
          </cell>
          <cell r="S2385">
            <v>0</v>
          </cell>
          <cell r="T2385">
            <v>0</v>
          </cell>
          <cell r="U2385">
            <v>3749200</v>
          </cell>
          <cell r="V2385">
            <v>535600</v>
          </cell>
        </row>
        <row r="2386">
          <cell r="J2386">
            <v>2171</v>
          </cell>
          <cell r="K2386">
            <v>43277</v>
          </cell>
          <cell r="L2386" t="str">
            <v>MARIA MARILI ZEA GUTIERREZ</v>
          </cell>
          <cell r="M2386">
            <v>31</v>
          </cell>
          <cell r="N2386" t="str">
            <v>RESOLUCION</v>
          </cell>
          <cell r="O2386">
            <v>2492</v>
          </cell>
          <cell r="P2386">
            <v>43277</v>
          </cell>
          <cell r="Q2386" t="str">
            <v>Asignacion del instrumento financiero a las familias ocupantes del predio que hayan superado la fase de verificacion dentro  del marco del Decreto 457 de 2017. LOCALIDAD: KENNEDY; BARRIO: VEREDITAS; ID: 2018-8-384316</v>
          </cell>
          <cell r="R2386">
            <v>54686940</v>
          </cell>
          <cell r="S2386">
            <v>0</v>
          </cell>
          <cell r="T2386">
            <v>0</v>
          </cell>
          <cell r="U2386">
            <v>54686940</v>
          </cell>
          <cell r="V2386">
            <v>54686940</v>
          </cell>
        </row>
        <row r="2387">
          <cell r="J2387">
            <v>2172</v>
          </cell>
          <cell r="K2387">
            <v>43277</v>
          </cell>
          <cell r="L2387" t="str">
            <v>SIXTA ROGELIA PINILLA DE RODRIGUEZ</v>
          </cell>
          <cell r="M2387">
            <v>31</v>
          </cell>
          <cell r="N2387" t="str">
            <v>RESOLUCION</v>
          </cell>
          <cell r="O2387">
            <v>2560</v>
          </cell>
          <cell r="P2387">
            <v>43277</v>
          </cell>
          <cell r="Q2387" t="str">
            <v>AYUDA TEMPORAL A LAS FAMILIAS DE VARIAS LOCALIDADES, PARA LA RELOCALIZACIÓN DE HOGARES LOCALIZADOS EN ZONAS DE ALTO RIESGO NO MITIGABLE ID:2006-19-8097, LOCALIDAD:19 CIUDAD BOLÍVAR, UPZ:67 LUCERO, SECTOR:LIMAS</v>
          </cell>
          <cell r="R2387">
            <v>3337495</v>
          </cell>
          <cell r="S2387">
            <v>0</v>
          </cell>
          <cell r="T2387">
            <v>0</v>
          </cell>
          <cell r="U2387">
            <v>3337495</v>
          </cell>
          <cell r="V2387">
            <v>476785</v>
          </cell>
        </row>
        <row r="2388">
          <cell r="J2388">
            <v>2173</v>
          </cell>
          <cell r="K2388">
            <v>43277</v>
          </cell>
          <cell r="L2388" t="str">
            <v>LUZ DARY MEZA MEDINA</v>
          </cell>
          <cell r="M2388">
            <v>31</v>
          </cell>
          <cell r="N2388" t="str">
            <v>RESOLUCION</v>
          </cell>
          <cell r="O2388">
            <v>2527</v>
          </cell>
          <cell r="P2388">
            <v>43277</v>
          </cell>
          <cell r="Q2388" t="str">
            <v>AYUDA TEMPORAL A LAS FAMILIAS DE VARIAS LOCALIDADES, PARA LA RELOCALIZACIÓN DE HOGARES LOCALIZADOS EN ZONAS DE ALTO RIESGO NO MITIGABLE ID:2011-4-12677, LOCALIDAD:04 SAN CRISTÓBAL, UPZ:32 SAN BLAS</v>
          </cell>
          <cell r="R2388">
            <v>3098410</v>
          </cell>
          <cell r="S2388">
            <v>0</v>
          </cell>
          <cell r="T2388">
            <v>0</v>
          </cell>
          <cell r="U2388">
            <v>3098410</v>
          </cell>
          <cell r="V2388">
            <v>442630</v>
          </cell>
        </row>
        <row r="2389">
          <cell r="J2389">
            <v>2174</v>
          </cell>
          <cell r="K2389">
            <v>43277</v>
          </cell>
          <cell r="L2389" t="str">
            <v>ALEXANDER JOAQUIN RODRIGUEZ LOPEZ</v>
          </cell>
          <cell r="M2389">
            <v>31</v>
          </cell>
          <cell r="N2389" t="str">
            <v>RESOLUCION</v>
          </cell>
          <cell r="O2389">
            <v>2559</v>
          </cell>
          <cell r="P2389">
            <v>43277</v>
          </cell>
          <cell r="Q2389" t="str">
            <v>AYUDA TEMPORAL A LAS FAMILIAS DE VARIAS LOCALIDADES, PARA LA RELOCALIZACIÓN DE HOGARES LOCALIZADOS EN ZONAS DE ALTO RIESGO NO MITIGABLE ID:2014-Q03-01109, LOCALIDAD:19 CIUDAD BOLÍVAR, UPZ:66 SAN FRANCISCO, SECTOR:LIMAS</v>
          </cell>
          <cell r="R2389">
            <v>3157315</v>
          </cell>
          <cell r="S2389">
            <v>0</v>
          </cell>
          <cell r="T2389">
            <v>0</v>
          </cell>
          <cell r="U2389">
            <v>3157315</v>
          </cell>
          <cell r="V2389">
            <v>451045</v>
          </cell>
        </row>
        <row r="2390">
          <cell r="J2390">
            <v>2175</v>
          </cell>
          <cell r="K2390">
            <v>43277</v>
          </cell>
          <cell r="L2390" t="str">
            <v>MIGUEL ANGEL BELTRAN CASTRO</v>
          </cell>
          <cell r="M2390">
            <v>31</v>
          </cell>
          <cell r="N2390" t="str">
            <v>RESOLUCION</v>
          </cell>
          <cell r="O2390">
            <v>2558</v>
          </cell>
          <cell r="P2390">
            <v>43277</v>
          </cell>
          <cell r="Q2390" t="str">
            <v>AYUDA TEMPORAL A LAS FAMILIAS DE VARIAS LOCALIDADES, PARA LA RELOCALIZACIÓN DE HOGARES LOCALIZADOS EN ZONAS DE ALTO RIESGO NO MITIGABLE ID:2014-OTR-01026, LOCALIDAD:19 CIUDAD BOLÍVAR, UPZ:67 LUCERO, SECTOR:TABOR ALTALOMA</v>
          </cell>
          <cell r="R2390">
            <v>3157315</v>
          </cell>
          <cell r="S2390">
            <v>0</v>
          </cell>
          <cell r="T2390">
            <v>0</v>
          </cell>
          <cell r="U2390">
            <v>3157315</v>
          </cell>
          <cell r="V2390">
            <v>451045</v>
          </cell>
        </row>
        <row r="2391">
          <cell r="J2391">
            <v>2176</v>
          </cell>
          <cell r="K2391">
            <v>43277</v>
          </cell>
          <cell r="L2391" t="str">
            <v>GUILLERMO  DIAZ PEREA</v>
          </cell>
          <cell r="M2391">
            <v>31</v>
          </cell>
          <cell r="N2391" t="str">
            <v>RESOLUCION</v>
          </cell>
          <cell r="O2391">
            <v>2526</v>
          </cell>
          <cell r="P2391">
            <v>43277</v>
          </cell>
          <cell r="Q2391" t="str">
            <v>AYUDA TEMPORAL A LAS FAMILIAS DE VARIAS LOCALIDADES, PARA LA RELOCALIZACIÓN DE HOGARES LOCALIZADOS EN ZONAS DE ALTO RIESGO NO MITIGABLE ID:2011-4-12693, LOCALIDAD:04 SAN CRISTÓBAL, UPZ:32 SAN BLAS</v>
          </cell>
          <cell r="R2391">
            <v>2886919</v>
          </cell>
          <cell r="S2391">
            <v>0</v>
          </cell>
          <cell r="T2391">
            <v>0</v>
          </cell>
          <cell r="U2391">
            <v>2886919</v>
          </cell>
          <cell r="V2391">
            <v>412417</v>
          </cell>
        </row>
        <row r="2392">
          <cell r="J2392">
            <v>2177</v>
          </cell>
          <cell r="K2392">
            <v>43277</v>
          </cell>
          <cell r="L2392" t="str">
            <v>OFELIA  MARTINEZ DE GUTIERREZ</v>
          </cell>
          <cell r="M2392">
            <v>31</v>
          </cell>
          <cell r="N2392" t="str">
            <v>RESOLUCION</v>
          </cell>
          <cell r="O2392">
            <v>2557</v>
          </cell>
          <cell r="P2392">
            <v>43277</v>
          </cell>
          <cell r="Q2392" t="str">
            <v>AYUDA TEMPORAL A LAS FAMILIAS DE VARIAS LOCALIDADES, PARA LA RELOCALIZACIÓN DE HOGARES LOCALIZADOS EN ZONAS DE ALTO RIESGO NO MITIGABLE ID:2014-LC-00810, LOCALIDAD:19 CIUDAD BOLÍVAR, UPZ:69 ISMAEL PERDOMO</v>
          </cell>
          <cell r="R2392">
            <v>2845920</v>
          </cell>
          <cell r="S2392">
            <v>0</v>
          </cell>
          <cell r="T2392">
            <v>0</v>
          </cell>
          <cell r="U2392">
            <v>2845920</v>
          </cell>
          <cell r="V2392">
            <v>406560</v>
          </cell>
        </row>
        <row r="2393">
          <cell r="J2393">
            <v>2178</v>
          </cell>
          <cell r="K2393">
            <v>43277</v>
          </cell>
          <cell r="L2393" t="str">
            <v>MARIA ELVIA CHIVATA IBAGUE</v>
          </cell>
          <cell r="M2393">
            <v>31</v>
          </cell>
          <cell r="N2393" t="str">
            <v>RESOLUCION</v>
          </cell>
          <cell r="O2393">
            <v>2556</v>
          </cell>
          <cell r="P2393">
            <v>43277</v>
          </cell>
          <cell r="Q2393" t="str">
            <v>AYUDA TEMPORAL A LAS FAMILIAS DE VARIAS LOCALIDADES, PARA LA RELOCALIZACIÓN DE HOGARES LOCALIZADOS EN ZONAS DE ALTO RIESGO NO MITIGABLE ID:2014-OTR-01048, LOCALIDAD:19 CIUDAD BOLÍVAR, UPZ:67 LUCERO, SECTOR:TABOR ALTALOMA</v>
          </cell>
          <cell r="R2393">
            <v>3157315</v>
          </cell>
          <cell r="S2393">
            <v>0</v>
          </cell>
          <cell r="T2393">
            <v>0</v>
          </cell>
          <cell r="U2393">
            <v>3157315</v>
          </cell>
          <cell r="V2393">
            <v>451045</v>
          </cell>
        </row>
        <row r="2394">
          <cell r="J2394">
            <v>2179</v>
          </cell>
          <cell r="K2394">
            <v>43277</v>
          </cell>
          <cell r="L2394" t="str">
            <v>GRECIA SUSANA SANCHEZ DAJOME</v>
          </cell>
          <cell r="M2394">
            <v>31</v>
          </cell>
          <cell r="N2394" t="str">
            <v>RESOLUCION</v>
          </cell>
          <cell r="O2394">
            <v>2525</v>
          </cell>
          <cell r="P2394">
            <v>43277</v>
          </cell>
          <cell r="Q2394" t="str">
            <v>AYUDA TEMPORAL A LAS FAMILIAS DE VARIAS LOCALIDADES, PARA LA RELOCALIZACIÓN DE HOGARES LOCALIZADOS EN ZONAS DE ALTO RIESGO NO MITIGABLE ID:2016-08-14818, LOCALIDAD:08 KENNEDY, UPZ:82 PATIO BONITO, SECTOR:PALMITAS</v>
          </cell>
          <cell r="R2394">
            <v>2744310</v>
          </cell>
          <cell r="S2394">
            <v>0</v>
          </cell>
          <cell r="T2394">
            <v>0</v>
          </cell>
          <cell r="U2394">
            <v>2744310</v>
          </cell>
          <cell r="V2394">
            <v>457385</v>
          </cell>
        </row>
        <row r="2395">
          <cell r="J2395">
            <v>2180</v>
          </cell>
          <cell r="K2395">
            <v>43277</v>
          </cell>
          <cell r="L2395" t="str">
            <v>JUAN CARLOS RODRIGUEZ RIOS</v>
          </cell>
          <cell r="M2395">
            <v>31</v>
          </cell>
          <cell r="N2395" t="str">
            <v>RESOLUCION</v>
          </cell>
          <cell r="O2395">
            <v>2555</v>
          </cell>
          <cell r="P2395">
            <v>43277</v>
          </cell>
          <cell r="Q2395" t="str">
            <v>AYUDA TEMPORAL A LAS FAMILIAS DE VARIAS LOCALIDADES, PARA LA RELOCALIZACIÓN DE HOGARES LOCALIZADOS EN ZONAS DE ALTO RIESGO NO MITIGABLE ID:2014-OTR-00858, LOCALIDAD:04 SAN CRISTÓBAL, UPZ:32 SAN BLAS</v>
          </cell>
          <cell r="R2395">
            <v>2723490</v>
          </cell>
          <cell r="S2395">
            <v>0</v>
          </cell>
          <cell r="T2395">
            <v>0</v>
          </cell>
          <cell r="U2395">
            <v>2723490</v>
          </cell>
          <cell r="V2395">
            <v>389070</v>
          </cell>
        </row>
        <row r="2396">
          <cell r="J2396">
            <v>2181</v>
          </cell>
          <cell r="K2396">
            <v>43277</v>
          </cell>
          <cell r="L2396" t="str">
            <v>MERCEDES  CHAPARRO</v>
          </cell>
          <cell r="M2396">
            <v>31</v>
          </cell>
          <cell r="N2396" t="str">
            <v>RESOLUCION</v>
          </cell>
          <cell r="O2396">
            <v>2554</v>
          </cell>
          <cell r="P2396">
            <v>43277</v>
          </cell>
          <cell r="Q2396" t="str">
            <v>AYUDA TEMPORAL A LAS FAMILIAS DE VARIAS LOCALIDADES, PARA LA RELOCALIZACIÓN DE HOGARES LOCALIZADOS EN ZONAS DE ALTO RIESGO NO MITIGABLE ID:2013-Q10-00520, LOCALIDAD:04 SAN CRISTÓBAL, UPZ:51 LOS LIBERTADORES, SECTOR:QUEBRADA VEREJONES</v>
          </cell>
          <cell r="R2396">
            <v>2685291</v>
          </cell>
          <cell r="S2396">
            <v>2685291</v>
          </cell>
          <cell r="T2396">
            <v>0</v>
          </cell>
          <cell r="U2396">
            <v>0</v>
          </cell>
          <cell r="V2396">
            <v>0</v>
          </cell>
        </row>
        <row r="2397">
          <cell r="J2397">
            <v>2182</v>
          </cell>
          <cell r="K2397">
            <v>43277</v>
          </cell>
          <cell r="L2397" t="str">
            <v>MARIA BELLANITH MAYOR PEDRAZA</v>
          </cell>
          <cell r="M2397">
            <v>31</v>
          </cell>
          <cell r="N2397" t="str">
            <v>RESOLUCION</v>
          </cell>
          <cell r="O2397">
            <v>2523</v>
          </cell>
          <cell r="P2397">
            <v>43246</v>
          </cell>
          <cell r="Q2397" t="str">
            <v>AYUDA TEMPORAL A LAS FAMILIAS DE VARIAS LOCALIDADES, PARA LA RELOCALIZACIÓN DE HOGARES LOCALIZADOS EN ZONAS DE ALTO RIESGO NO MITIGABLE ID:2011-4-12688, LOCALIDAD:04 SAN CRISTÓBAL, UPZ:32 SAN BLAS</v>
          </cell>
          <cell r="R2397">
            <v>3459890</v>
          </cell>
          <cell r="S2397">
            <v>0</v>
          </cell>
          <cell r="T2397">
            <v>0</v>
          </cell>
          <cell r="U2397">
            <v>3459890</v>
          </cell>
          <cell r="V2397">
            <v>494270</v>
          </cell>
        </row>
        <row r="2398">
          <cell r="J2398">
            <v>2183</v>
          </cell>
          <cell r="K2398">
            <v>43277</v>
          </cell>
          <cell r="L2398" t="str">
            <v>ANDRES  TURRIAGO FORERO</v>
          </cell>
          <cell r="M2398">
            <v>31</v>
          </cell>
          <cell r="N2398" t="str">
            <v>RESOLUCION</v>
          </cell>
          <cell r="O2398">
            <v>2524</v>
          </cell>
          <cell r="P2398">
            <v>43277</v>
          </cell>
          <cell r="Q2398" t="str">
            <v>AYUDA TEMPORAL A LAS FAMILIAS DE VARIAS LOCALIDADES, PARA LA RELOCALIZACIÓN DE HOGARES LOCALIZADOS EN ZONAS DE ALTO RIESGO NO MITIGABLE ID:2012-T314-07, LOCALIDAD:04 SAN CRISTÓBAL, UPZ:50 LA GLORIA</v>
          </cell>
          <cell r="R2398">
            <v>2841279</v>
          </cell>
          <cell r="S2398">
            <v>0</v>
          </cell>
          <cell r="T2398">
            <v>0</v>
          </cell>
          <cell r="U2398">
            <v>2841279</v>
          </cell>
          <cell r="V2398">
            <v>405897</v>
          </cell>
        </row>
        <row r="2399">
          <cell r="J2399">
            <v>2184</v>
          </cell>
          <cell r="K2399">
            <v>43277</v>
          </cell>
          <cell r="L2399" t="str">
            <v>YOLANDA  VELASQUEZ SIERRA</v>
          </cell>
          <cell r="M2399">
            <v>31</v>
          </cell>
          <cell r="N2399" t="str">
            <v>RESOLUCION</v>
          </cell>
          <cell r="O2399">
            <v>2553</v>
          </cell>
          <cell r="P2399">
            <v>43277</v>
          </cell>
          <cell r="Q2399" t="str">
            <v>AYUDA TEMPORAL A LAS FAMILIAS DE VARIAS LOCALIDADES, PARA LA RELOCALIZACIÓN DE HOGARES LOCALIZADOS EN ZONAS DE ALTO RIESGO NO MITIGABLE ID:2013-Q21-00478, LOCALIDAD:19 CIUDAD BOLÍVAR, UPZ:67 LUCERO, SECTOR:BRAZO DERECHO DE LIMAS</v>
          </cell>
          <cell r="R2399">
            <v>2582006</v>
          </cell>
          <cell r="S2399">
            <v>0</v>
          </cell>
          <cell r="T2399">
            <v>0</v>
          </cell>
          <cell r="U2399">
            <v>2582006</v>
          </cell>
          <cell r="V2399">
            <v>368858</v>
          </cell>
        </row>
        <row r="2400">
          <cell r="J2400">
            <v>2185</v>
          </cell>
          <cell r="K2400">
            <v>43277</v>
          </cell>
          <cell r="L2400" t="str">
            <v>ORLANDO  AGUIRRE GARCIA</v>
          </cell>
          <cell r="M2400">
            <v>31</v>
          </cell>
          <cell r="N2400" t="str">
            <v>RESOLUCION</v>
          </cell>
          <cell r="O2400">
            <v>2522</v>
          </cell>
          <cell r="P2400">
            <v>43277</v>
          </cell>
          <cell r="Q2400" t="str">
            <v>AYUDA TEMPORAL A LAS FAMILIAS DE VARIAS LOCALIDADES, PARA LA RELOCALIZACIÓN DE HOGARES LOCALIZADOS EN ZONAS DE ALTO RIESGO NO MITIGABLE ID:2012-T314-20, LOCALIDAD:04 SAN CRISTÓBAL, UPZ:50 LA GLORIA</v>
          </cell>
          <cell r="R2400">
            <v>2943493</v>
          </cell>
          <cell r="S2400">
            <v>0</v>
          </cell>
          <cell r="T2400">
            <v>0</v>
          </cell>
          <cell r="U2400">
            <v>2943493</v>
          </cell>
          <cell r="V2400">
            <v>420499</v>
          </cell>
        </row>
        <row r="2401">
          <cell r="J2401">
            <v>2186</v>
          </cell>
          <cell r="K2401">
            <v>43277</v>
          </cell>
          <cell r="L2401" t="str">
            <v>MARLENY  GARCIA VILLEGAS</v>
          </cell>
          <cell r="M2401">
            <v>31</v>
          </cell>
          <cell r="N2401" t="str">
            <v>RESOLUCION</v>
          </cell>
          <cell r="O2401">
            <v>2552</v>
          </cell>
          <cell r="P2401">
            <v>43277</v>
          </cell>
          <cell r="Q2401" t="str">
            <v>AYUDA TEMPORAL A LAS FAMILIAS DE VARIAS LOCALIDADES, PARA LA RELOCALIZACIÓN DE HOGARES LOCALIZADOS EN ZONAS DE ALTO RIESGO NO MITIGABLE ID:2012-ALES-396, LOCALIDAD:19 CIUDAD BOLÍVAR, UPZ:69 ISMAEL PERDOMO, SECTOR:ALTOS DE LA ESTANCIA</v>
          </cell>
          <cell r="R2401">
            <v>3157000</v>
          </cell>
          <cell r="S2401">
            <v>0</v>
          </cell>
          <cell r="T2401">
            <v>0</v>
          </cell>
          <cell r="U2401">
            <v>3157000</v>
          </cell>
          <cell r="V2401">
            <v>451000</v>
          </cell>
        </row>
        <row r="2402">
          <cell r="J2402">
            <v>2187</v>
          </cell>
          <cell r="K2402">
            <v>43277</v>
          </cell>
          <cell r="L2402" t="str">
            <v>MARIA ANGELICA QUIÑONEZ MOLANO</v>
          </cell>
          <cell r="M2402">
            <v>31</v>
          </cell>
          <cell r="N2402" t="str">
            <v>RESOLUCION</v>
          </cell>
          <cell r="O2402">
            <v>2521</v>
          </cell>
          <cell r="P2402">
            <v>43277</v>
          </cell>
          <cell r="Q2402" t="str">
            <v>AYUDA TEMPORAL A LAS FAMILIAS DE VARIAS LOCALIDADES, PARA RELOCALIZACIÓN DE HOGARES LOCALIZADOS EN ZONAS DE ALTO RIESGO NO MITIGABLE ID:2013000294, LOCALIDAD:19 CIUDAD BOLÍVAR, UPZ:67 LUCERO, SECTOR:QUEBRADA TROMPETA</v>
          </cell>
          <cell r="R2402">
            <v>3157315</v>
          </cell>
          <cell r="S2402">
            <v>0</v>
          </cell>
          <cell r="T2402">
            <v>0</v>
          </cell>
          <cell r="U2402">
            <v>3157315</v>
          </cell>
          <cell r="V2402">
            <v>451045</v>
          </cell>
        </row>
        <row r="2403">
          <cell r="J2403">
            <v>2188</v>
          </cell>
          <cell r="K2403">
            <v>43277</v>
          </cell>
          <cell r="L2403" t="str">
            <v>AGRIPINA IMELDA ROBLES VIUDA DE TINJACA</v>
          </cell>
          <cell r="M2403">
            <v>31</v>
          </cell>
          <cell r="N2403" t="str">
            <v>RESOLUCION</v>
          </cell>
          <cell r="O2403">
            <v>2551</v>
          </cell>
          <cell r="P2403">
            <v>43277</v>
          </cell>
          <cell r="Q2403" t="str">
            <v>AYUDA TEMPORAL A LAS FAMILIAS DE VARIAS LOCALIDADES, PARA LA RELOCALIZACIÓN DE HOGARES LOCALIZADOS EN ZONAS DE ALTO RIESGO NO MITIGABLE ID:2013-Q04-00283, LOCALIDAD:19 CIUDAD BOLÍVAR, UPZ:67 LUCERO, SECTOR:PEÑA COLORADA</v>
          </cell>
          <cell r="R2403">
            <v>3017000</v>
          </cell>
          <cell r="S2403">
            <v>0</v>
          </cell>
          <cell r="T2403">
            <v>0</v>
          </cell>
          <cell r="U2403">
            <v>3017000</v>
          </cell>
          <cell r="V2403">
            <v>431000</v>
          </cell>
        </row>
        <row r="2404">
          <cell r="J2404">
            <v>2189</v>
          </cell>
          <cell r="K2404">
            <v>43277</v>
          </cell>
          <cell r="L2404" t="str">
            <v>MARIA ELENA NIEVES MARTINEZ TOVAR</v>
          </cell>
          <cell r="M2404">
            <v>31</v>
          </cell>
          <cell r="N2404" t="str">
            <v>RESOLUCION</v>
          </cell>
          <cell r="O2404">
            <v>2550</v>
          </cell>
          <cell r="P2404">
            <v>43277</v>
          </cell>
          <cell r="Q2404" t="str">
            <v>AYUDA TEMPORAL A LAS FAMILIAS DE VARIAS LOCALIDADES, PARA LA RELOCALIZACIÓN DE HOGARES LOCALIZADOS EN ZONAS DE ALTO RIESGO NO MITIGABLE ID:2010-19-11687, LOCALIDAD:19 CIUDAD BOLÍVAR, UPZ:69 ISMAEL PERDOMO, SECTOR:OLA INVERNAL 2010 FOPAE</v>
          </cell>
          <cell r="R2404">
            <v>2751665</v>
          </cell>
          <cell r="S2404">
            <v>0</v>
          </cell>
          <cell r="T2404">
            <v>0</v>
          </cell>
          <cell r="U2404">
            <v>2751665</v>
          </cell>
          <cell r="V2404">
            <v>393095</v>
          </cell>
        </row>
        <row r="2405">
          <cell r="J2405">
            <v>2190</v>
          </cell>
          <cell r="K2405">
            <v>43277</v>
          </cell>
          <cell r="L2405" t="str">
            <v>ARQUIMEDES  VEGA ANZOLA</v>
          </cell>
          <cell r="M2405">
            <v>31</v>
          </cell>
          <cell r="N2405" t="str">
            <v>RESOLUCION</v>
          </cell>
          <cell r="O2405">
            <v>2520</v>
          </cell>
          <cell r="P2405">
            <v>43277</v>
          </cell>
          <cell r="Q2405" t="str">
            <v>AYUDA TEMPORAL A LAS FAMILIAS DE VARIAS LOCALIDADES, PARA LA RELOCALIZACIÓN DE HOGARES LOCALIZADOS EN ZONAS DE ALTO RIESGO NO MITIGABLE ID:2015-D227-00001, LOCALIDAD:04 SAN CRISTÓBAL, UPZ:51 LOS LIBERTADORES, SECTOR:SANTA TERESITA</v>
          </cell>
          <cell r="R2405">
            <v>2886653</v>
          </cell>
          <cell r="S2405">
            <v>0</v>
          </cell>
          <cell r="T2405">
            <v>0</v>
          </cell>
          <cell r="U2405">
            <v>2886653</v>
          </cell>
          <cell r="V2405">
            <v>412379</v>
          </cell>
        </row>
        <row r="2406">
          <cell r="J2406">
            <v>2191</v>
          </cell>
          <cell r="K2406">
            <v>43277</v>
          </cell>
          <cell r="L2406" t="str">
            <v>LINA MARIA RIAZA CANO</v>
          </cell>
          <cell r="M2406">
            <v>31</v>
          </cell>
          <cell r="N2406" t="str">
            <v>RESOLUCION</v>
          </cell>
          <cell r="O2406">
            <v>2549</v>
          </cell>
          <cell r="P2406">
            <v>43277</v>
          </cell>
          <cell r="Q2406" t="str">
            <v>AYUDA TEMPORAL A LAS FAMILIAS DE VARIAS LOCALIDADES, PARA LA RELOCALIZACIÓN DE HOGARES LOCALIZADOS EN ZONAS DE ALTO RIESGO NO MITIGABLE ID:2011-18-12426, LOCALIDAD:18 RAFAEL URIBE URIBE, UPZ:55 DIANA TURBAY, SECTOR:OLA INVERNAL 2010 FOPAE</v>
          </cell>
          <cell r="R2406">
            <v>3374280</v>
          </cell>
          <cell r="S2406">
            <v>0</v>
          </cell>
          <cell r="T2406">
            <v>0</v>
          </cell>
          <cell r="U2406">
            <v>3374280</v>
          </cell>
          <cell r="V2406">
            <v>482040</v>
          </cell>
        </row>
        <row r="2407">
          <cell r="J2407">
            <v>2192</v>
          </cell>
          <cell r="K2407">
            <v>43277</v>
          </cell>
          <cell r="L2407" t="str">
            <v>LADY ALEJANDRA BULLA MARTINEZ</v>
          </cell>
          <cell r="M2407">
            <v>31</v>
          </cell>
          <cell r="N2407" t="str">
            <v>RESOLUCION</v>
          </cell>
          <cell r="O2407">
            <v>2519</v>
          </cell>
          <cell r="P2407">
            <v>43277</v>
          </cell>
          <cell r="Q2407" t="str">
            <v>AYUDA TEMPORAL A LAS FAMILIAS DE VARIAS LOCALIDADES, PARA LA RELOCALIZACIÓN DE HOGARES LOCALIZADOS EN ZONAS DE ALTO RIESGO NO MITIGABLE ID:2014-OTR-00985, LOCALIDAD:03 SANTA FE, UPZ:96 LOURDES, SECTOR:CASA 1</v>
          </cell>
          <cell r="R2407">
            <v>3098410</v>
          </cell>
          <cell r="S2407">
            <v>0</v>
          </cell>
          <cell r="T2407">
            <v>0</v>
          </cell>
          <cell r="U2407">
            <v>3098410</v>
          </cell>
          <cell r="V2407">
            <v>442630</v>
          </cell>
        </row>
        <row r="2408">
          <cell r="J2408">
            <v>2193</v>
          </cell>
          <cell r="K2408">
            <v>43277</v>
          </cell>
          <cell r="L2408" t="str">
            <v>ROSA AIDE OSORIO SOTO</v>
          </cell>
          <cell r="M2408">
            <v>31</v>
          </cell>
          <cell r="N2408" t="str">
            <v>RESOLUCION</v>
          </cell>
          <cell r="O2408">
            <v>2548</v>
          </cell>
          <cell r="P2408">
            <v>43277</v>
          </cell>
          <cell r="Q2408" t="str">
            <v>AYUDA TEMPORAL A LAS FAMILIAS DE VARIAS LOCALIDADES, PARA LA RELOCALIZACIÓN DE HOGARES LOCALIZADOS EN ZONAS DE ALTO RIESGO NO MITIGABLE ID:2011-4-12638, LOCALIDAD:04 SAN CRISTÓBAL, UPZ:32 SAN BLAS</v>
          </cell>
          <cell r="R2408">
            <v>2582006</v>
          </cell>
          <cell r="S2408">
            <v>0</v>
          </cell>
          <cell r="T2408">
            <v>0</v>
          </cell>
          <cell r="U2408">
            <v>2582006</v>
          </cell>
          <cell r="V2408">
            <v>368858</v>
          </cell>
        </row>
        <row r="2409">
          <cell r="J2409">
            <v>2194</v>
          </cell>
          <cell r="K2409">
            <v>43277</v>
          </cell>
          <cell r="L2409" t="str">
            <v>ELISABETH  MENESES RODRIGUEZ</v>
          </cell>
          <cell r="M2409">
            <v>31</v>
          </cell>
          <cell r="N2409" t="str">
            <v>RESOLUCION</v>
          </cell>
          <cell r="O2409">
            <v>2505</v>
          </cell>
          <cell r="P2409">
            <v>43277</v>
          </cell>
          <cell r="Q2409" t="str">
            <v>AYUDA TEMPORAL A LAS FAMILIAS DE VARIAS LOCALIDADES, PARA LA RELOCALIZACIÓN DE HOGARES LOCALIZADOS EN ZONAS DE ALTO RIESGO NO MITIGABLE ID:2011-4-12690, LOCALIDAD:04 SAN CRISTÓBAL, UPZ:32 SAN BLAS</v>
          </cell>
          <cell r="R2409">
            <v>3022327</v>
          </cell>
          <cell r="S2409">
            <v>0</v>
          </cell>
          <cell r="T2409">
            <v>0</v>
          </cell>
          <cell r="U2409">
            <v>3022327</v>
          </cell>
          <cell r="V2409">
            <v>431761</v>
          </cell>
        </row>
        <row r="2410">
          <cell r="J2410">
            <v>2195</v>
          </cell>
          <cell r="K2410">
            <v>43277</v>
          </cell>
          <cell r="L2410" t="str">
            <v>CLAUDIA MARCELA RUBIO MANCIPE</v>
          </cell>
          <cell r="M2410">
            <v>31</v>
          </cell>
          <cell r="N2410" t="str">
            <v>RESOLUCION</v>
          </cell>
          <cell r="O2410">
            <v>2518</v>
          </cell>
          <cell r="P2410">
            <v>43277</v>
          </cell>
          <cell r="Q2410" t="str">
            <v>AYUDA TEMPORAL A LAS FAMILIAS DE VARIAS LOCALIDADES, PARA LA RELOCALIZACIÓN DE HOGARES LOCALIZADOS EN ZONAS DE ALTO RIESGO NO MITIGABLE ID:2015-19-14753, LOCALIDAD:19 CIUDAD BOLÍVAR, UPZ:67 LUCERO</v>
          </cell>
          <cell r="R2410">
            <v>3318945</v>
          </cell>
          <cell r="S2410">
            <v>0</v>
          </cell>
          <cell r="T2410">
            <v>0</v>
          </cell>
          <cell r="U2410">
            <v>3318945</v>
          </cell>
          <cell r="V2410">
            <v>474135</v>
          </cell>
        </row>
        <row r="2411">
          <cell r="J2411">
            <v>2196</v>
          </cell>
          <cell r="K2411">
            <v>43277</v>
          </cell>
          <cell r="L2411" t="str">
            <v>MARLENY  MARTINEZ MARTINEZ</v>
          </cell>
          <cell r="M2411">
            <v>31</v>
          </cell>
          <cell r="N2411" t="str">
            <v>RESOLUCION</v>
          </cell>
          <cell r="O2411">
            <v>2547</v>
          </cell>
          <cell r="P2411">
            <v>43277</v>
          </cell>
          <cell r="Q2411" t="str">
            <v>AYUDA TEMPORAL A LAS FAMILIAS DE VARIAS LOCALIDADES, PARA LA RELOCALIZACIÓN DE HOGARES LOCALIZADOS EN ZONAS DE ALTO RIESGO NO MITIGABLE ID:2011-19-12731, LOCALIDAD:19 CIUDAD BOLÍVAR, UPZ:67 LUCERO, SECTOR:OLA INVERNAL 2010 FOPAE</v>
          </cell>
          <cell r="R2411">
            <v>2685291</v>
          </cell>
          <cell r="S2411">
            <v>0</v>
          </cell>
          <cell r="T2411">
            <v>0</v>
          </cell>
          <cell r="U2411">
            <v>2685291</v>
          </cell>
          <cell r="V2411">
            <v>383613</v>
          </cell>
        </row>
        <row r="2412">
          <cell r="J2412">
            <v>2197</v>
          </cell>
          <cell r="K2412">
            <v>43277</v>
          </cell>
          <cell r="L2412" t="str">
            <v>RUBIELA  SANCHEZ</v>
          </cell>
          <cell r="M2412">
            <v>31</v>
          </cell>
          <cell r="N2412" t="str">
            <v>RESOLUCION</v>
          </cell>
          <cell r="O2412">
            <v>2504</v>
          </cell>
          <cell r="P2412">
            <v>43277</v>
          </cell>
          <cell r="Q2412" t="str">
            <v>AYUDA TEMPORAL A LAS FAMILIAS DE VARIAS LOCALIDADES, PARA LA RELOCALIZACIÓN DE HOGARES LOCALIZADOS EN ZONAS DE ALTO RIESGO NO MITIGABLE ID:2011-4-12706, LOCALIDAD:04 SAN CRISTÓBAL, UPZ:32 SAN BLAS</v>
          </cell>
          <cell r="R2412">
            <v>3022327</v>
          </cell>
          <cell r="S2412">
            <v>0</v>
          </cell>
          <cell r="T2412">
            <v>0</v>
          </cell>
          <cell r="U2412">
            <v>3022327</v>
          </cell>
          <cell r="V2412">
            <v>431761</v>
          </cell>
        </row>
        <row r="2413">
          <cell r="J2413">
            <v>2198</v>
          </cell>
          <cell r="K2413">
            <v>43277</v>
          </cell>
          <cell r="L2413" t="str">
            <v>LUZ MARINA ADAN</v>
          </cell>
          <cell r="M2413">
            <v>31</v>
          </cell>
          <cell r="N2413" t="str">
            <v>RESOLUCION</v>
          </cell>
          <cell r="O2413">
            <v>2517</v>
          </cell>
          <cell r="P2413">
            <v>43277</v>
          </cell>
          <cell r="Q2413" t="str">
            <v>AYUDA TEMPORAL A LAS FAMILIAS DE VARIAS LOCALIDADES, PARA LA RELOCALIZACIÓN DE HOGARES LOCALIZADOS EN ZONAS DE ALTO RIESGO NO MITIGABLE ID:2014-OTR-00869, LOCALIDAD:03 SANTA FE, UPZ:96 LOURDES, SECTOR:CASA 1</v>
          </cell>
          <cell r="R2413">
            <v>2975525</v>
          </cell>
          <cell r="S2413">
            <v>0</v>
          </cell>
          <cell r="T2413">
            <v>0</v>
          </cell>
          <cell r="U2413">
            <v>2975525</v>
          </cell>
          <cell r="V2413">
            <v>425075</v>
          </cell>
        </row>
        <row r="2414">
          <cell r="J2414">
            <v>2199</v>
          </cell>
          <cell r="K2414">
            <v>43277</v>
          </cell>
          <cell r="L2414" t="str">
            <v>ESTHER JULIA SALAZAR RAMOS</v>
          </cell>
          <cell r="M2414">
            <v>31</v>
          </cell>
          <cell r="N2414" t="str">
            <v>RESOLUCION</v>
          </cell>
          <cell r="O2414">
            <v>2546</v>
          </cell>
          <cell r="P2414">
            <v>43277</v>
          </cell>
          <cell r="Q2414" t="str">
            <v>AYUDA TEMPORAL A LAS FAMILIAS DE VARIAS LOCALIDADES, PARA LA RELOCALIZACIÓN DE HOGARES LOCALIZADOS EN ZONAS DE ALTO RIESGO NO MITIGABLE ID:2011-19-12418, LOCALIDAD:19 CIUDAD BOLÍVAR, UPZ:68 EL TESORO</v>
          </cell>
          <cell r="R2414">
            <v>2919000</v>
          </cell>
          <cell r="S2414">
            <v>0</v>
          </cell>
          <cell r="T2414">
            <v>0</v>
          </cell>
          <cell r="U2414">
            <v>2919000</v>
          </cell>
          <cell r="V2414">
            <v>417000</v>
          </cell>
        </row>
        <row r="2415">
          <cell r="J2415">
            <v>2200</v>
          </cell>
          <cell r="K2415">
            <v>43277</v>
          </cell>
          <cell r="L2415" t="str">
            <v>MIGUEL  PARRA BERNAL</v>
          </cell>
          <cell r="M2415">
            <v>31</v>
          </cell>
          <cell r="N2415" t="str">
            <v>RESOLUCION</v>
          </cell>
          <cell r="O2415">
            <v>2503</v>
          </cell>
          <cell r="P2415">
            <v>43277</v>
          </cell>
          <cell r="Q2415" t="str">
            <v>AYUDA TEMPORAL A LAS FAMILIAS DE VARIAS LOCALIDADES, PARA LA RELOCALIZACIÓN DE HOGARES LOCALIZADOS EN ZONAS DE ALTO RIESGO NO MITIGABLE ID:2014-Q03-01229, LOCALIDAD:19 CIUDAD BOLÍVAR, UPZ:66 SAN FRANCISCO, SECTOR:LIMAS</v>
          </cell>
          <cell r="R2415">
            <v>3563175</v>
          </cell>
          <cell r="S2415">
            <v>0</v>
          </cell>
          <cell r="T2415">
            <v>0</v>
          </cell>
          <cell r="U2415">
            <v>3563175</v>
          </cell>
          <cell r="V2415">
            <v>509025</v>
          </cell>
        </row>
        <row r="2416">
          <cell r="J2416">
            <v>2201</v>
          </cell>
          <cell r="K2416">
            <v>43277</v>
          </cell>
          <cell r="L2416" t="str">
            <v>BLANCA LUCILA BELTRAN</v>
          </cell>
          <cell r="M2416">
            <v>31</v>
          </cell>
          <cell r="N2416" t="str">
            <v>RESOLUCION</v>
          </cell>
          <cell r="O2416">
            <v>2502</v>
          </cell>
          <cell r="P2416">
            <v>43277</v>
          </cell>
          <cell r="Q2416" t="str">
            <v>AYUDA TEMPORAL A LAS FAMILIAS DE VARIAS LOCALIDADES, PARA LA RELOCALIZACIÓN DE HOGARES LOCALIZADOS EN ZONAS DE ALTO RIESGO NO MITIGABLE ID:2011-4-12656, LOCALIDAD:04 SAN CRISTÓBAL, UPZ:32 SAN BLAS</v>
          </cell>
          <cell r="R2416">
            <v>3098410</v>
          </cell>
          <cell r="S2416">
            <v>0</v>
          </cell>
          <cell r="T2416">
            <v>0</v>
          </cell>
          <cell r="U2416">
            <v>3098410</v>
          </cell>
          <cell r="V2416">
            <v>442630</v>
          </cell>
        </row>
        <row r="2417">
          <cell r="J2417">
            <v>2202</v>
          </cell>
          <cell r="K2417">
            <v>43277</v>
          </cell>
          <cell r="L2417" t="str">
            <v>ALBERTO  CARDONA</v>
          </cell>
          <cell r="M2417">
            <v>31</v>
          </cell>
          <cell r="N2417" t="str">
            <v>RESOLUCION</v>
          </cell>
          <cell r="O2417">
            <v>2545</v>
          </cell>
          <cell r="P2417">
            <v>43277</v>
          </cell>
          <cell r="Q2417" t="str">
            <v>AYUDA TEMPORAL A LAS FAMILIAS DE VARIAS LOCALIDADES, PARA LA RELOCALIZACIÓN DE HOGARES LOCALIZADOS EN ZONAS DE ALTO RIESGO NO MITIGABLE ID:2007-4-9373, LOCALIDAD:04 SAN CRISTÓBAL, UPZ:32 SAN BLAS</v>
          </cell>
          <cell r="R2417">
            <v>2582006</v>
          </cell>
          <cell r="S2417">
            <v>0</v>
          </cell>
          <cell r="T2417">
            <v>0</v>
          </cell>
          <cell r="U2417">
            <v>2582006</v>
          </cell>
          <cell r="V2417">
            <v>368858</v>
          </cell>
        </row>
        <row r="2418">
          <cell r="J2418">
            <v>2203</v>
          </cell>
          <cell r="K2418">
            <v>43277</v>
          </cell>
          <cell r="L2418" t="str">
            <v>JESUS MARCIAL MAYAG IPUJAN</v>
          </cell>
          <cell r="M2418">
            <v>31</v>
          </cell>
          <cell r="N2418" t="str">
            <v>RESOLUCION</v>
          </cell>
          <cell r="O2418">
            <v>2501</v>
          </cell>
          <cell r="P2418">
            <v>43277</v>
          </cell>
          <cell r="Q2418" t="str">
            <v>AYUDA TEMPORAL A LAS FAMILIAS DE VARIAS LOCALIDADES, PARA LA RELOCALIZACIÓN DE HOGARES LOCALIZADOS EN ZONAS DE ALTO RIESGO NO MITIGABLE ID:2011-4-12637, LOCALIDAD:04 SAN CRISTÓBAL, UPZ:32 SAN BLAS</v>
          </cell>
          <cell r="R2418">
            <v>3111969</v>
          </cell>
          <cell r="S2418">
            <v>0</v>
          </cell>
          <cell r="T2418">
            <v>0</v>
          </cell>
          <cell r="U2418">
            <v>3111969</v>
          </cell>
          <cell r="V2418">
            <v>444567</v>
          </cell>
        </row>
        <row r="2419">
          <cell r="J2419">
            <v>2204</v>
          </cell>
          <cell r="K2419">
            <v>43277</v>
          </cell>
          <cell r="L2419" t="str">
            <v>LUIS HERNANDO VENTURA VIRGUEZ</v>
          </cell>
          <cell r="M2419">
            <v>31</v>
          </cell>
          <cell r="N2419" t="str">
            <v>RESOLUCION</v>
          </cell>
          <cell r="O2419">
            <v>2516</v>
          </cell>
          <cell r="P2419">
            <v>43277</v>
          </cell>
          <cell r="Q2419" t="str">
            <v>AYUDA TEMPORAL A LAS FAMILIAS DE VARIAS LOCALIDADES, PARA LA RELOCALIZACIÓN DE HOGARES LOCALIZADOS EN ZONAS DE ALTO RIESGO NO MITIGABLE ID:2015-ALES-533, LOCALIDAD:19 CIUDAD BOLÍVAR, UPZ:69 ISMAEL PERDOMO, SECTOR:ALTOS DE LA ESTANCIA</v>
          </cell>
          <cell r="R2419">
            <v>3157315</v>
          </cell>
          <cell r="S2419">
            <v>0</v>
          </cell>
          <cell r="T2419">
            <v>0</v>
          </cell>
          <cell r="U2419">
            <v>3157315</v>
          </cell>
          <cell r="V2419">
            <v>451045</v>
          </cell>
        </row>
        <row r="2420">
          <cell r="J2420">
            <v>2205</v>
          </cell>
          <cell r="K2420">
            <v>43277</v>
          </cell>
          <cell r="L2420" t="str">
            <v>MAURICIO  CAMARGO RODRIGUEZ</v>
          </cell>
          <cell r="M2420">
            <v>31</v>
          </cell>
          <cell r="N2420" t="str">
            <v>RESOLUCION</v>
          </cell>
          <cell r="O2420">
            <v>2500</v>
          </cell>
          <cell r="P2420">
            <v>43277</v>
          </cell>
          <cell r="Q2420" t="str">
            <v>AYUDA TEMPORAL A LAS FAMILIAS DE VARIAS LOCALIDADES, PARA LA RELOCALIZACIÓN DE HOGARES LOCALIZADOS EN ZONAS DE ALTO RIESGO NO MITIGABLE ID:2014-OTR-01166, LOCALIDAD:11 SUBA, UPZ:71 TIBABUYES, SECTOR:GAVILANES</v>
          </cell>
          <cell r="R2420">
            <v>3017000</v>
          </cell>
          <cell r="S2420">
            <v>0</v>
          </cell>
          <cell r="T2420">
            <v>0</v>
          </cell>
          <cell r="U2420">
            <v>3017000</v>
          </cell>
          <cell r="V2420">
            <v>431000</v>
          </cell>
        </row>
        <row r="2421">
          <cell r="J2421">
            <v>2206</v>
          </cell>
          <cell r="K2421">
            <v>43277</v>
          </cell>
          <cell r="L2421" t="str">
            <v>MARIA NIBIA HERNANDEZ MUNEVAR</v>
          </cell>
          <cell r="M2421">
            <v>31</v>
          </cell>
          <cell r="N2421" t="str">
            <v>RESOLUCION</v>
          </cell>
          <cell r="O2421">
            <v>2544</v>
          </cell>
          <cell r="P2421">
            <v>43277</v>
          </cell>
          <cell r="Q2421" t="str">
            <v>AYUDA TEMPORAL A LAS FAMILIAS DE VARIAS LOCALIDADES, PARA LA RELOCALIZACIÓN DE HOGARES LOCALIZADOS EN ZONAS DE ALTO RIESGO NO MITIGABLE ID:2011-4-12642, LOCALIDAD:04 SAN CRISTÓBAL, UPZ:32 SAN BLAS</v>
          </cell>
          <cell r="R2421">
            <v>2582006</v>
          </cell>
          <cell r="S2421">
            <v>0</v>
          </cell>
          <cell r="T2421">
            <v>0</v>
          </cell>
          <cell r="U2421">
            <v>2582006</v>
          </cell>
          <cell r="V2421">
            <v>368858</v>
          </cell>
        </row>
        <row r="2422">
          <cell r="J2422">
            <v>2207</v>
          </cell>
          <cell r="K2422">
            <v>43277</v>
          </cell>
          <cell r="L2422" t="str">
            <v>NELSON RODRIGUEZ MONTOYA</v>
          </cell>
          <cell r="M2422">
            <v>31</v>
          </cell>
          <cell r="N2422" t="str">
            <v>RESOLUCION</v>
          </cell>
          <cell r="O2422">
            <v>2515</v>
          </cell>
          <cell r="P2422">
            <v>43277</v>
          </cell>
          <cell r="Q2422" t="str">
            <v>AYUDA TEMPORAL A LAS FAMILIAS DE VARIAS LOCALIDADES, PARA LA RELOCALIZACIÓN DE HOGARES LOCALIZADOS EN ZONAS DE ALTO RIESGO NO MITIGABLE ID:2014-Q09-01189, LOCALIDAD:19 CIUDAD BOLÍVAR, UPZ:67 LUCERO, SECTOR:QUEBRADA TROMPETA</v>
          </cell>
          <cell r="R2422">
            <v>3788778</v>
          </cell>
          <cell r="S2422">
            <v>0</v>
          </cell>
          <cell r="T2422">
            <v>0</v>
          </cell>
          <cell r="U2422">
            <v>3788778</v>
          </cell>
          <cell r="V2422">
            <v>541254</v>
          </cell>
        </row>
        <row r="2423">
          <cell r="J2423">
            <v>2208</v>
          </cell>
          <cell r="K2423">
            <v>43277</v>
          </cell>
          <cell r="L2423" t="str">
            <v>GREGORIA  VARGAS</v>
          </cell>
          <cell r="M2423">
            <v>31</v>
          </cell>
          <cell r="N2423" t="str">
            <v>RESOLUCION</v>
          </cell>
          <cell r="O2423">
            <v>2499</v>
          </cell>
          <cell r="P2423">
            <v>43277</v>
          </cell>
          <cell r="Q2423" t="str">
            <v>AYUDA TEMPORAL A LAS FAMILIAS DE VARIAS LOCALIDADES, PARA LA RELOCALIZACIÓN DE HOGARES LOCALIZADOS EN ZONAS DE ALTO RIESGO NO MITIGABLE ID:2014-OTR-00872, LOCALIDAD:03 SANTA FE, UPZ:96 LOURDES, SECTOR:CASA 1</v>
          </cell>
          <cell r="R2423">
            <v>2661239</v>
          </cell>
          <cell r="S2423">
            <v>0</v>
          </cell>
          <cell r="T2423">
            <v>0</v>
          </cell>
          <cell r="U2423">
            <v>2661239</v>
          </cell>
          <cell r="V2423">
            <v>380177</v>
          </cell>
        </row>
        <row r="2424">
          <cell r="J2424">
            <v>2209</v>
          </cell>
          <cell r="K2424">
            <v>43277</v>
          </cell>
          <cell r="L2424" t="str">
            <v>ELVIRA  CORZO DE GALEANO</v>
          </cell>
          <cell r="M2424">
            <v>31</v>
          </cell>
          <cell r="N2424" t="str">
            <v>RESOLUCION</v>
          </cell>
          <cell r="O2424">
            <v>2498</v>
          </cell>
          <cell r="P2424">
            <v>43277</v>
          </cell>
          <cell r="Q2424" t="str">
            <v>AYUDA TEMPORAL A LAS FAMILIAS DE VARIAS LOCALIDADES, PARA LA RELOCALIZACIÓN DE HOGARES LOCALIZADOS EN ZONAS DE ALTO RIESGO NO MITIGABLE ID:2014-Q07-00919, LOCALIDAD:19 CIUDAD BOLÍVAR, UPZ:68 EL TESORO, SECTOR:QUEBRADA GALINDO</v>
          </cell>
          <cell r="R2424">
            <v>1150839</v>
          </cell>
          <cell r="S2424">
            <v>0</v>
          </cell>
          <cell r="T2424">
            <v>0</v>
          </cell>
          <cell r="U2424">
            <v>1150839</v>
          </cell>
          <cell r="V2424">
            <v>383613</v>
          </cell>
        </row>
        <row r="2425">
          <cell r="J2425">
            <v>2210</v>
          </cell>
          <cell r="K2425">
            <v>43277</v>
          </cell>
          <cell r="L2425" t="str">
            <v>JOSE GUILLERMO ARIZA</v>
          </cell>
          <cell r="M2425">
            <v>31</v>
          </cell>
          <cell r="N2425" t="str">
            <v>RESOLUCION</v>
          </cell>
          <cell r="O2425">
            <v>2543</v>
          </cell>
          <cell r="P2425">
            <v>43277</v>
          </cell>
          <cell r="Q2425" t="str">
            <v>AYUDA TEMPORAL A LAS FAMILIAS DE VARIAS LOCALIDADES, PARA LA RELOCALIZACIÓN DE HOGARES LOCALIZADOS EN ZONAS DE ALTO RIESGO NO MITIGABLE ID:2011-4-12643, LOCALIDAD:04 SAN CRISTÓBAL, UPZ:32 SAN BLAS</v>
          </cell>
          <cell r="R2425">
            <v>3330061</v>
          </cell>
          <cell r="S2425">
            <v>0</v>
          </cell>
          <cell r="T2425">
            <v>0</v>
          </cell>
          <cell r="U2425">
            <v>3330061</v>
          </cell>
          <cell r="V2425">
            <v>475723</v>
          </cell>
        </row>
        <row r="2426">
          <cell r="J2426">
            <v>2211</v>
          </cell>
          <cell r="K2426">
            <v>43277</v>
          </cell>
          <cell r="L2426" t="str">
            <v>EUDORO  HERNANDEZ TORRES</v>
          </cell>
          <cell r="M2426">
            <v>31</v>
          </cell>
          <cell r="N2426" t="str">
            <v>RESOLUCION</v>
          </cell>
          <cell r="O2426">
            <v>2514</v>
          </cell>
          <cell r="P2426">
            <v>43277</v>
          </cell>
          <cell r="Q2426" t="str">
            <v>AYUDA TEMPORAL A LAS FAMILIAS DE VARIAS LOCALIDADES, PARA LA RELOCALIZACIÓN DE HOGARES LOCALIZADOS EN ZONAS DE ALTO RIESGO NO MITIGABLE ID:2015-ALES-537, LOCALIDAD:19 CIUDAD BOLÍVAR, UPZ:69 ISMAEL PERDOMO, SECTOR:ALTOS DE LA ESTANCIA</v>
          </cell>
          <cell r="R2426">
            <v>3718092</v>
          </cell>
          <cell r="S2426">
            <v>0</v>
          </cell>
          <cell r="T2426">
            <v>0</v>
          </cell>
          <cell r="U2426">
            <v>3718092</v>
          </cell>
          <cell r="V2426">
            <v>531156</v>
          </cell>
        </row>
        <row r="2427">
          <cell r="J2427">
            <v>2212</v>
          </cell>
          <cell r="K2427">
            <v>43277</v>
          </cell>
          <cell r="L2427" t="str">
            <v>FABIO NELSON BARRAGAN PERILLA</v>
          </cell>
          <cell r="M2427">
            <v>31</v>
          </cell>
          <cell r="N2427" t="str">
            <v>RESOLUCION</v>
          </cell>
          <cell r="O2427">
            <v>2542</v>
          </cell>
          <cell r="P2427">
            <v>43277</v>
          </cell>
          <cell r="Q2427" t="str">
            <v>AYUDA TEMPORAL A LAS FAMILIAS DE VARIAS LOCALIDADES, PARA LA RELOCALIZACIÓN DE HOGARES LOCALIZADOS EN ZONAS DE ALTO RIESGO NO MITIGABLE ID:2011-4-12644, LOCALIDAD:04 SAN CRISTÓBAL, UPZ:32 SAN BLAS</v>
          </cell>
          <cell r="R2427">
            <v>3383254</v>
          </cell>
          <cell r="S2427">
            <v>0</v>
          </cell>
          <cell r="T2427">
            <v>0</v>
          </cell>
          <cell r="U2427">
            <v>3383254</v>
          </cell>
          <cell r="V2427">
            <v>483322</v>
          </cell>
        </row>
        <row r="2428">
          <cell r="J2428">
            <v>2213</v>
          </cell>
          <cell r="K2428">
            <v>43277</v>
          </cell>
          <cell r="L2428" t="str">
            <v>JOSE PABLO LUNA CUELLAR</v>
          </cell>
          <cell r="M2428">
            <v>31</v>
          </cell>
          <cell r="N2428" t="str">
            <v>RESOLUCION</v>
          </cell>
          <cell r="O2428">
            <v>2497</v>
          </cell>
          <cell r="P2428">
            <v>43277</v>
          </cell>
          <cell r="Q2428" t="str">
            <v>AYUDA TEMPORAL A LAS FAMILIAS DE VARIAS LOCALIDADES, PARA LA RELOCALIZACIÓN DE HOGARES LOCALIZADOS EN ZONAS DE ALTO RIESGO NO MITIGABLE ID:2014-OTR-01258, LOCALIDAD:11 SUBA, UPZ:71 TIBABUYES, SECTOR:GAVILANES</v>
          </cell>
          <cell r="R2428">
            <v>3400600</v>
          </cell>
          <cell r="S2428">
            <v>0</v>
          </cell>
          <cell r="T2428">
            <v>0</v>
          </cell>
          <cell r="U2428">
            <v>3400600</v>
          </cell>
          <cell r="V2428">
            <v>425075</v>
          </cell>
        </row>
        <row r="2429">
          <cell r="J2429">
            <v>2214</v>
          </cell>
          <cell r="K2429">
            <v>43277</v>
          </cell>
          <cell r="L2429" t="str">
            <v>JUAN CRISOSTOMO MACETO RAYO</v>
          </cell>
          <cell r="M2429">
            <v>31</v>
          </cell>
          <cell r="N2429" t="str">
            <v>RESOLUCION</v>
          </cell>
          <cell r="O2429">
            <v>2513</v>
          </cell>
          <cell r="P2429">
            <v>43277</v>
          </cell>
          <cell r="Q2429" t="str">
            <v>AYUDA TEMPORAL A LAS FAMILIAS DE VARIAS LOCALIDADES, PARA LA RELOCALIZACIÓN DE HOGARES LOCALIZADOS EN ZONAS DE ALTO RIESGO NO MITIGABLE ID:2015-D227-00022, LOCALIDAD:04 SAN CRISTÓBAL, UPZ:51 LOS LIBERTADORES, SECTOR:SANTA TERESITA</v>
          </cell>
          <cell r="R2429">
            <v>2661239</v>
          </cell>
          <cell r="S2429">
            <v>0</v>
          </cell>
          <cell r="T2429">
            <v>0</v>
          </cell>
          <cell r="U2429">
            <v>2661239</v>
          </cell>
          <cell r="V2429">
            <v>380177</v>
          </cell>
        </row>
        <row r="2430">
          <cell r="J2430">
            <v>2215</v>
          </cell>
          <cell r="K2430">
            <v>43277</v>
          </cell>
          <cell r="L2430" t="str">
            <v>JOSE FLORINDO BARAJAS</v>
          </cell>
          <cell r="M2430">
            <v>31</v>
          </cell>
          <cell r="N2430" t="str">
            <v>RESOLUCION</v>
          </cell>
          <cell r="O2430">
            <v>2496</v>
          </cell>
          <cell r="P2430">
            <v>43277</v>
          </cell>
          <cell r="Q2430" t="str">
            <v>AYUDA TEMPORAL A LAS FAMILIAS DE VARIAS LOCALIDADES, PARA LA RELOCALIZACIÓN DE HOGARES LOCALIZADOS EN ZONAS DE ALTO RIESGO NO MITIGABLE ID:2015-D227-00045, LOCALIDAD:04 SAN CRISTÓBAL, UPZ:51 LOS LIBERTADORES, SECTOR:SANTA TERESITA</v>
          </cell>
          <cell r="R2430">
            <v>3473162</v>
          </cell>
          <cell r="S2430">
            <v>0</v>
          </cell>
          <cell r="T2430">
            <v>0</v>
          </cell>
          <cell r="U2430">
            <v>3473162</v>
          </cell>
          <cell r="V2430">
            <v>496166</v>
          </cell>
        </row>
        <row r="2431">
          <cell r="J2431">
            <v>2216</v>
          </cell>
          <cell r="K2431">
            <v>43277</v>
          </cell>
          <cell r="L2431" t="str">
            <v>JOSE VICENTE DUARTE GONZALEZ</v>
          </cell>
          <cell r="M2431">
            <v>31</v>
          </cell>
          <cell r="N2431" t="str">
            <v>RESOLUCION</v>
          </cell>
          <cell r="O2431">
            <v>2541</v>
          </cell>
          <cell r="P2431">
            <v>43277</v>
          </cell>
          <cell r="Q2431" t="str">
            <v>AYUDA TEMPORAL A LAS FAMILIAS DE VARIAS LOCALIDADES, PARA LA RELOCALIZACIÓN DE HOGARES LOCALIZADOS EN ZONAS DE ALTO RIESGO NO MITIGABLE ID:2010-19-12227, LOCALIDAD:19 CIUDAD BOLÍVAR, UPZ:67 LUCERO, SECTOR:LIMAS</v>
          </cell>
          <cell r="R2431">
            <v>2582006</v>
          </cell>
          <cell r="S2431">
            <v>0</v>
          </cell>
          <cell r="T2431">
            <v>0</v>
          </cell>
          <cell r="U2431">
            <v>2582006</v>
          </cell>
          <cell r="V2431">
            <v>368858</v>
          </cell>
        </row>
        <row r="2432">
          <cell r="J2432">
            <v>2217</v>
          </cell>
          <cell r="K2432">
            <v>43277</v>
          </cell>
          <cell r="L2432" t="str">
            <v>AMERICO  CABEZON PIRAZA</v>
          </cell>
          <cell r="M2432">
            <v>31</v>
          </cell>
          <cell r="N2432" t="str">
            <v>RESOLUCION</v>
          </cell>
          <cell r="O2432">
            <v>2512</v>
          </cell>
          <cell r="P2432">
            <v>43277</v>
          </cell>
          <cell r="Q2432" t="str">
            <v>AYUDA TEMPORAL A LAS FAMILIAS DE VARIAS LOCALIDADES, PARA LA RELOCALIZACIÓN DE HOGARES LOCALIZADOS EN ZONAS DE ALTO RIESGO NO MITIGABLE ID:2014-W166-040, LOCALIDAD:19 CIUDAD BOLÍVAR, UPZ:68 EL TESORO, SECTOR:WOUNAAN</v>
          </cell>
          <cell r="R2432">
            <v>3357900</v>
          </cell>
          <cell r="S2432">
            <v>0</v>
          </cell>
          <cell r="T2432">
            <v>0</v>
          </cell>
          <cell r="U2432">
            <v>3357900</v>
          </cell>
          <cell r="V2432">
            <v>479700</v>
          </cell>
        </row>
        <row r="2433">
          <cell r="J2433">
            <v>2218</v>
          </cell>
          <cell r="K2433">
            <v>43277</v>
          </cell>
          <cell r="L2433" t="str">
            <v>DAIRO NILSON CAÑAS RINCON</v>
          </cell>
          <cell r="M2433">
            <v>31</v>
          </cell>
          <cell r="N2433" t="str">
            <v>RESOLUCION</v>
          </cell>
          <cell r="O2433">
            <v>2540</v>
          </cell>
          <cell r="P2433">
            <v>43277</v>
          </cell>
          <cell r="Q2433" t="str">
            <v>AYUDA TEMPORAL A LAS FAMILIAS DE VARIAS LOCALIDADES, PARA RELOCALIZACIÓN DE HOGARES LOCALIZADOS EN ZONAS DE ALTO RIESGO NO MITIGABLE ID:2003-19-4535, LOCALIDAD:19 CIUDAD BOLÍVAR, UPZ:69 ISMAEL PERDOMO, SECTOR:ALTOS DE LA ESTANCIA</v>
          </cell>
          <cell r="R2433">
            <v>3157315</v>
          </cell>
          <cell r="S2433">
            <v>0</v>
          </cell>
          <cell r="T2433">
            <v>0</v>
          </cell>
          <cell r="U2433">
            <v>3157315</v>
          </cell>
          <cell r="V2433">
            <v>451045</v>
          </cell>
        </row>
        <row r="2434">
          <cell r="J2434">
            <v>2219</v>
          </cell>
          <cell r="K2434">
            <v>43277</v>
          </cell>
          <cell r="L2434" t="str">
            <v>SANDRA  GORDILLO CARREÑO</v>
          </cell>
          <cell r="M2434">
            <v>31</v>
          </cell>
          <cell r="N2434" t="str">
            <v>RESOLUCION</v>
          </cell>
          <cell r="O2434">
            <v>2539</v>
          </cell>
          <cell r="P2434">
            <v>43277</v>
          </cell>
          <cell r="Q2434" t="str">
            <v>AYUDA TEMPORAL A LAS FAMILIAS DE VARIAS LOCALIDADES, PARA LA RELOCALIZACIÓN DE HOGARES LOCALIZADOS EN ZONAS DE ALTO RIESGO NO MITIGABLE ID:2011-4-12655, LOCALIDAD:04 SAN CRISTÓBAL, UPZ:32 SAN BLAS</v>
          </cell>
          <cell r="R2434">
            <v>3698583</v>
          </cell>
          <cell r="S2434">
            <v>0</v>
          </cell>
          <cell r="T2434">
            <v>0</v>
          </cell>
          <cell r="U2434">
            <v>3698583</v>
          </cell>
          <cell r="V2434">
            <v>528369</v>
          </cell>
        </row>
        <row r="2435">
          <cell r="J2435">
            <v>2220</v>
          </cell>
          <cell r="K2435">
            <v>43277</v>
          </cell>
          <cell r="L2435" t="str">
            <v>LUZ MARY GUZMAN DIAZ</v>
          </cell>
          <cell r="M2435">
            <v>31</v>
          </cell>
          <cell r="N2435" t="str">
            <v>RESOLUCION</v>
          </cell>
          <cell r="O2435">
            <v>2511</v>
          </cell>
          <cell r="P2435">
            <v>43277</v>
          </cell>
          <cell r="Q2435" t="str">
            <v>AYUDA TEMPORAL A LAS FAMILIAS DE VARIAS LOCALIDADES, PARA LA RELOCALIZACIÓN DE HOGARES LOCALIZADOS EN ZONAS DE ALTO RIESGO NO MITIGABLE ID:2015-OTR-01536, LOCALIDAD:18 RAFAEL URIBE URIBE, UPZ:55 DIANA TURBAY, SECTOR:CERROS DE ORIENTE</v>
          </cell>
          <cell r="R2435">
            <v>3608360</v>
          </cell>
          <cell r="S2435">
            <v>0</v>
          </cell>
          <cell r="T2435">
            <v>0</v>
          </cell>
          <cell r="U2435">
            <v>3608360</v>
          </cell>
          <cell r="V2435">
            <v>451045</v>
          </cell>
        </row>
        <row r="2436">
          <cell r="J2436">
            <v>2221</v>
          </cell>
          <cell r="K2436">
            <v>43277</v>
          </cell>
          <cell r="L2436" t="str">
            <v>FLOR ELISA ULLOA PUENTES</v>
          </cell>
          <cell r="M2436">
            <v>31</v>
          </cell>
          <cell r="N2436" t="str">
            <v>RESOLUCION</v>
          </cell>
          <cell r="O2436">
            <v>2425</v>
          </cell>
          <cell r="P2436">
            <v>43277</v>
          </cell>
          <cell r="Q2436" t="str">
            <v>VUR de la actual vigencia. La asignación se realiza para dar cumplimiento al fallo de acción popular 2002-00152- Suba Gavilanes. Decreto 255 de 2013. LOCALIDAD: SUBA (GAVILANES); BARRIO: SANTA CECILIA; ID:2018-11-15198</v>
          </cell>
          <cell r="R2436">
            <v>39062100</v>
          </cell>
          <cell r="S2436">
            <v>0</v>
          </cell>
          <cell r="T2436">
            <v>0</v>
          </cell>
          <cell r="U2436">
            <v>39062100</v>
          </cell>
          <cell r="V2436">
            <v>0</v>
          </cell>
        </row>
        <row r="2437">
          <cell r="J2437">
            <v>2222</v>
          </cell>
          <cell r="K2437">
            <v>43277</v>
          </cell>
          <cell r="L2437" t="str">
            <v>CARLOS EVELIO TANGARIFE VILLA</v>
          </cell>
          <cell r="M2437">
            <v>31</v>
          </cell>
          <cell r="N2437" t="str">
            <v>RESOLUCION</v>
          </cell>
          <cell r="O2437">
            <v>2510</v>
          </cell>
          <cell r="P2437">
            <v>43277</v>
          </cell>
          <cell r="Q2437" t="str">
            <v>AYUDA TEMPORAL A LAS FAMILIAS DE VARIAS LOCALIDADES, PARA LA RELOCALIZACIÓN DE HOGARES LOCALIZADOS EN ZONAS DE ALTO RIESGO NO MITIGABLE ID:2011-4-12682, LOCALIDAD:04 SAN CRISTÓBAL, UPZ:32 SAN BLAS</v>
          </cell>
          <cell r="R2437">
            <v>2838689</v>
          </cell>
          <cell r="S2437">
            <v>0</v>
          </cell>
          <cell r="T2437">
            <v>0</v>
          </cell>
          <cell r="U2437">
            <v>2838689</v>
          </cell>
          <cell r="V2437">
            <v>405527</v>
          </cell>
        </row>
        <row r="2438">
          <cell r="J2438">
            <v>2223</v>
          </cell>
          <cell r="K2438">
            <v>43277</v>
          </cell>
          <cell r="L2438" t="str">
            <v>CARMEN  MARTINEZ</v>
          </cell>
          <cell r="M2438">
            <v>31</v>
          </cell>
          <cell r="N2438" t="str">
            <v>RESOLUCION</v>
          </cell>
          <cell r="O2438">
            <v>2509</v>
          </cell>
          <cell r="P2438">
            <v>43277</v>
          </cell>
          <cell r="Q2438" t="str">
            <v>AYUDA TEMPORAL A LAS FAMILIAS DE VARIAS LOCALIDADES, PARA LA RELOCALIZACIÓN DE HOGARES LOCALIZADOS EN ZONAS DE ALTO RIESGO NO MITIGABLE ID:2012-19-14046, LOCALIDAD:19 CIUDAD BOLÍVAR, UPZ:68 EL TESORO, SECTOR:QUEBRADA TROMPETA</v>
          </cell>
          <cell r="R2438">
            <v>3374280</v>
          </cell>
          <cell r="S2438">
            <v>0</v>
          </cell>
          <cell r="T2438">
            <v>0</v>
          </cell>
          <cell r="U2438">
            <v>3374280</v>
          </cell>
          <cell r="V2438">
            <v>482040</v>
          </cell>
        </row>
        <row r="2439">
          <cell r="J2439">
            <v>2224</v>
          </cell>
          <cell r="K2439">
            <v>43277</v>
          </cell>
          <cell r="L2439" t="str">
            <v>FLOR MARIA GARCIA CUAN</v>
          </cell>
          <cell r="M2439">
            <v>31</v>
          </cell>
          <cell r="N2439" t="str">
            <v>RESOLUCION</v>
          </cell>
          <cell r="O2439">
            <v>2508</v>
          </cell>
          <cell r="P2439">
            <v>43277</v>
          </cell>
          <cell r="Q2439" t="str">
            <v>AYUDA TEMPORAL A LAS FAMILIAS DE VARIAS LOCALIDADES, PARA LA RELOCALIZACIÓN DE HOGARES LOCALIZADOS EN ZONAS DE ALTO RIESGO NO MITIGABLE ID:2012-18-14270, LOCALIDAD:18 RAFAEL URIBE URIBE, UPZ:55 DIANA TURBAY</v>
          </cell>
          <cell r="R2439">
            <v>3570210</v>
          </cell>
          <cell r="S2439">
            <v>0</v>
          </cell>
          <cell r="T2439">
            <v>0</v>
          </cell>
          <cell r="U2439">
            <v>3570210</v>
          </cell>
          <cell r="V2439">
            <v>510030</v>
          </cell>
        </row>
        <row r="2440">
          <cell r="J2440">
            <v>2225</v>
          </cell>
          <cell r="K2440">
            <v>43277</v>
          </cell>
          <cell r="L2440" t="str">
            <v>GLORIA  LASSO CARDOSO</v>
          </cell>
          <cell r="M2440">
            <v>31</v>
          </cell>
          <cell r="N2440" t="str">
            <v>RESOLUCION</v>
          </cell>
          <cell r="O2440">
            <v>2561</v>
          </cell>
          <cell r="P2440">
            <v>43277</v>
          </cell>
          <cell r="Q2440" t="str">
            <v>AYUDA TEMPORAL A LAS FAMILIAS DE VARIAS LOCALIDADES, PARA LA RELOCALIZACIÓN DE HOGARES LOCALIZADOS EN ZONAS DE ALTO RIESGO NO MITIGABLE ID:2009-5-11196, LOCALIDAD:05 USME, UPZ:60 PARQUE ENTRENUBES</v>
          </cell>
          <cell r="R2440">
            <v>2872350</v>
          </cell>
          <cell r="S2440">
            <v>0</v>
          </cell>
          <cell r="T2440">
            <v>0</v>
          </cell>
          <cell r="U2440">
            <v>2872350</v>
          </cell>
          <cell r="V2440">
            <v>574470</v>
          </cell>
        </row>
        <row r="2441">
          <cell r="J2441">
            <v>2226</v>
          </cell>
          <cell r="K2441">
            <v>43277</v>
          </cell>
          <cell r="L2441" t="str">
            <v>LUZ ANGELA CASTRO REYES</v>
          </cell>
          <cell r="M2441">
            <v>31</v>
          </cell>
          <cell r="N2441" t="str">
            <v>RESOLUCION</v>
          </cell>
          <cell r="O2441">
            <v>2507</v>
          </cell>
          <cell r="P2441">
            <v>43277</v>
          </cell>
          <cell r="Q2441" t="str">
            <v>AYUDA TEMPORAL A LAS FAMILIAS DE VARIAS LOCALIDADES, PARA LA RELOCALIZACIÓN DE HOGARES LOCALIZADOS EN ZONAS DE ALTO RIESGO NO MITIGABLE ID:2012-19-13954, LOCALIDAD:19 CIUDAD BOLÍVAR, UPZ:68 EL TESORO</v>
          </cell>
          <cell r="R2441">
            <v>4491802</v>
          </cell>
          <cell r="S2441">
            <v>0</v>
          </cell>
          <cell r="T2441">
            <v>0</v>
          </cell>
          <cell r="U2441">
            <v>4491802</v>
          </cell>
          <cell r="V2441">
            <v>641686</v>
          </cell>
        </row>
        <row r="2442">
          <cell r="J2442">
            <v>2227</v>
          </cell>
          <cell r="K2442">
            <v>43277</v>
          </cell>
          <cell r="L2442" t="str">
            <v>SANDRA PATRICIA RODRIGUEZ ORTIZ</v>
          </cell>
          <cell r="M2442">
            <v>31</v>
          </cell>
          <cell r="N2442" t="str">
            <v>RESOLUCION</v>
          </cell>
          <cell r="O2442">
            <v>2506</v>
          </cell>
          <cell r="P2442">
            <v>43277</v>
          </cell>
          <cell r="Q2442" t="str">
            <v>AYUDA TEMPORAL A LAS FAMILIAS DE VARIAS LOCALIDADES, PARA LA RELOCALIZACIÓN DE HOGARES LOCALIZADOS EN ZONAS DE ALTO RIESGO NO MITIGABLE ID:2014-OTR-01170, LOCALIDAD:11 SUBA, UPZ:71 TIBABUYES, SECTOR:GAVILANES</v>
          </cell>
          <cell r="R2442">
            <v>3516527</v>
          </cell>
          <cell r="S2442">
            <v>0</v>
          </cell>
          <cell r="T2442">
            <v>0</v>
          </cell>
          <cell r="U2442">
            <v>3516527</v>
          </cell>
          <cell r="V2442">
            <v>502361</v>
          </cell>
        </row>
        <row r="2443">
          <cell r="J2443">
            <v>2228</v>
          </cell>
          <cell r="K2443">
            <v>43278</v>
          </cell>
          <cell r="L2443" t="str">
            <v>MARTHA LILIANA SANCHEZ SANCHEZ</v>
          </cell>
          <cell r="M2443">
            <v>31</v>
          </cell>
          <cell r="N2443" t="str">
            <v>RESOLUCION</v>
          </cell>
          <cell r="O2443">
            <v>2495</v>
          </cell>
          <cell r="P2443">
            <v>43278</v>
          </cell>
          <cell r="Q2443" t="str">
            <v>AYUDA TEMPORAL A LAS FAMILIAS DE VARIAS LOCALIDADES, PARA LA RELOCALIZACIÓN DE HOGARES LOCALIZADOS EN ZONAS DE ALTO RIESGO NO MITIGABLE ID:2011-4-12673, LOCALIDAD:04 SAN CRISTÓBAL, UPZ:32 SAN BLAS</v>
          </cell>
          <cell r="R2443">
            <v>2796906</v>
          </cell>
          <cell r="S2443">
            <v>0</v>
          </cell>
          <cell r="T2443">
            <v>0</v>
          </cell>
          <cell r="U2443">
            <v>2796906</v>
          </cell>
          <cell r="V2443">
            <v>399558</v>
          </cell>
        </row>
        <row r="2444">
          <cell r="J2444">
            <v>2229</v>
          </cell>
          <cell r="K2444">
            <v>43278</v>
          </cell>
          <cell r="L2444" t="str">
            <v>DIANA PAOLA ARIAS CASTILLO</v>
          </cell>
          <cell r="M2444">
            <v>31</v>
          </cell>
          <cell r="N2444" t="str">
            <v>RESOLUCION</v>
          </cell>
          <cell r="O2444">
            <v>2494</v>
          </cell>
          <cell r="P2444">
            <v>43278</v>
          </cell>
          <cell r="Q2444" t="str">
            <v>AYUDA TEMPORAL A LAS FAMILIAS DE VARIAS LOCALIDADES, PARA LA RELOCALIZACIÓN DE HOGARES LOCALIZADOS EN ZONAS DE ALTO RIESGO NO MITIGABLE ID:2012-ALES-231, LOCALIDAD:19 CIUDAD BOLÍVAR, UPZ:69 ISMAEL PERDOMO</v>
          </cell>
          <cell r="R2444">
            <v>3157315</v>
          </cell>
          <cell r="S2444">
            <v>0</v>
          </cell>
          <cell r="T2444">
            <v>0</v>
          </cell>
          <cell r="U2444">
            <v>3157315</v>
          </cell>
          <cell r="V2444">
            <v>451045</v>
          </cell>
        </row>
        <row r="2445">
          <cell r="J2445">
            <v>2230</v>
          </cell>
          <cell r="K2445">
            <v>43278</v>
          </cell>
          <cell r="L2445" t="str">
            <v>GLADYS  JOAQUI DIAZ</v>
          </cell>
          <cell r="M2445">
            <v>31</v>
          </cell>
          <cell r="N2445" t="str">
            <v>RESOLUCION</v>
          </cell>
          <cell r="O2445">
            <v>2493</v>
          </cell>
          <cell r="P2445">
            <v>43278</v>
          </cell>
          <cell r="Q2445" t="str">
            <v>AYUDA TEMPORAL A LAS FAMILIAS DE VARIAS LOCALIDADES, PARA RELOCALIZACIÓN DE HOGARES LOCALIZADOS EN ZONAS DE ALTO RIESGO NO MITIGABLE ID:2002-4-2711, LOCALIDAD:04 SAN CRISTÓBAL, UPZ:32 SAN BLAS</v>
          </cell>
          <cell r="R2445">
            <v>3383254</v>
          </cell>
          <cell r="S2445">
            <v>0</v>
          </cell>
          <cell r="T2445">
            <v>0</v>
          </cell>
          <cell r="U2445">
            <v>3383254</v>
          </cell>
          <cell r="V2445">
            <v>483322</v>
          </cell>
        </row>
        <row r="2446">
          <cell r="J2446">
            <v>2231</v>
          </cell>
          <cell r="K2446">
            <v>43278</v>
          </cell>
          <cell r="L2446" t="str">
            <v>JENNY PAOLA CABALLERO TORRES</v>
          </cell>
          <cell r="M2446">
            <v>31</v>
          </cell>
          <cell r="N2446" t="str">
            <v>RESOLUCION</v>
          </cell>
          <cell r="O2446">
            <v>2446</v>
          </cell>
          <cell r="P2446">
            <v>43278</v>
          </cell>
          <cell r="Q2446" t="str">
            <v>AYUDA TEMPORAL A LAS FAMILIAS DE VARIAS LOCALIDADES, PARA LA RELOCALIZACIÓN DE HOGARES LOCALIZADOS EN ZONAS DE ALTO RIESGO NO MITIGABLE ID:2015-Q03-01432, LOCALIDAD:19 CIUDAD BOLÍVAR, UPZ:66 SAN FRANCISCO, SECTOR:LIMAS</v>
          </cell>
          <cell r="R2446">
            <v>3157315</v>
          </cell>
          <cell r="S2446">
            <v>0</v>
          </cell>
          <cell r="T2446">
            <v>0</v>
          </cell>
          <cell r="U2446">
            <v>3157315</v>
          </cell>
          <cell r="V2446">
            <v>451045</v>
          </cell>
        </row>
        <row r="2447">
          <cell r="J2447">
            <v>2232</v>
          </cell>
          <cell r="K2447">
            <v>43278</v>
          </cell>
          <cell r="L2447" t="str">
            <v>ALDEMAR  MALAVER CRUZ</v>
          </cell>
          <cell r="M2447">
            <v>31</v>
          </cell>
          <cell r="N2447" t="str">
            <v>RESOLUCION</v>
          </cell>
          <cell r="O2447">
            <v>2445</v>
          </cell>
          <cell r="P2447">
            <v>43278</v>
          </cell>
          <cell r="Q2447" t="str">
            <v>AYUDA TEMPORAL A LAS FAMILIAS DE VARIAS LOCALIDADES, PARA LA RELOCALIZACIÓN DE HOGARES LOCALIZADOS EN ZONAS DE ALTO RIESGO NO MITIGABLE ID:2015-Q03-01488, LOCALIDAD:19 CIUDAD BOLÍVAR, UPZ:66 SAN FRANCISCO, SECTOR:LIMAS</v>
          </cell>
          <cell r="R2447">
            <v>2582006</v>
          </cell>
          <cell r="S2447">
            <v>0</v>
          </cell>
          <cell r="T2447">
            <v>0</v>
          </cell>
          <cell r="U2447">
            <v>2582006</v>
          </cell>
          <cell r="V2447">
            <v>368858</v>
          </cell>
        </row>
        <row r="2448">
          <cell r="J2448">
            <v>2233</v>
          </cell>
          <cell r="K2448">
            <v>43278</v>
          </cell>
          <cell r="L2448" t="str">
            <v>LUIS AUDICEL MELO MARTIN</v>
          </cell>
          <cell r="M2448">
            <v>31</v>
          </cell>
          <cell r="N2448" t="str">
            <v>RESOLUCION</v>
          </cell>
          <cell r="O2448">
            <v>2444</v>
          </cell>
          <cell r="P2448">
            <v>43278</v>
          </cell>
          <cell r="Q2448" t="str">
            <v>AYUDA TEMPORAL A LAS FAMILIAS DE VARIAS LOCALIDADES, PARA LA RELOCALIZACIÓN DE HOGARES LOCALIZADOS EN ZONAS DE ALTO RIESGO NO MITIGABLE ID:2017-19-14969, LOCALIDAD:19 CIUDAD BOLÍVAR, UPZ:67 LUCERO, SECTOR:LAS MANITAS II</v>
          </cell>
          <cell r="R2448">
            <v>4131218</v>
          </cell>
          <cell r="S2448">
            <v>0</v>
          </cell>
          <cell r="T2448">
            <v>0</v>
          </cell>
          <cell r="U2448">
            <v>4131218</v>
          </cell>
          <cell r="V2448">
            <v>590174</v>
          </cell>
        </row>
        <row r="2449">
          <cell r="J2449">
            <v>2234</v>
          </cell>
          <cell r="K2449">
            <v>43278</v>
          </cell>
          <cell r="L2449" t="str">
            <v>ANGIE CENID TAPIA LOZANO</v>
          </cell>
          <cell r="M2449">
            <v>31</v>
          </cell>
          <cell r="N2449" t="str">
            <v>RESOLUCION</v>
          </cell>
          <cell r="O2449">
            <v>2443</v>
          </cell>
          <cell r="P2449">
            <v>43278</v>
          </cell>
          <cell r="Q2449" t="str">
            <v>AYUDA TEMPORAL A LAS FAMILIAS DE VARIAS LOCALIDADES, PARA LA RELOCALIZACIÓN DE HOGARES LOCALIZADOS EN ZONAS DE ALTO RIESGO NO MITIGABLE ID:2015-Q03-01486, LOCALIDAD:19 CIUDAD BOLÍVAR, UPZ:66 SAN FRANCISCO, SECTOR:LIMAS</v>
          </cell>
          <cell r="R2449">
            <v>2582006</v>
          </cell>
          <cell r="S2449">
            <v>0</v>
          </cell>
          <cell r="T2449">
            <v>0</v>
          </cell>
          <cell r="U2449">
            <v>2582006</v>
          </cell>
          <cell r="V2449">
            <v>368858</v>
          </cell>
        </row>
        <row r="2450">
          <cell r="J2450">
            <v>2235</v>
          </cell>
          <cell r="K2450">
            <v>43278</v>
          </cell>
          <cell r="L2450" t="str">
            <v>ANGIE JULIETTE ROJAS CARRILLO</v>
          </cell>
          <cell r="M2450">
            <v>31</v>
          </cell>
          <cell r="N2450" t="str">
            <v>RESOLUCION</v>
          </cell>
          <cell r="O2450">
            <v>2442</v>
          </cell>
          <cell r="P2450">
            <v>43278</v>
          </cell>
          <cell r="Q2450" t="str">
            <v>AYUDA TEMPORAL A LAS FAMILIAS DE VARIAS LOCALIDADES, PARA LA RELOCALIZACIÓN DE HOGARES LOCALIZADOS EN ZONAS DE ALTO RIESGO NO MITIGABLE ID:2015-Q03-01433, LOCALIDAD:19 CIUDAD BOLÍVAR, UPZ:66 SAN FRANCISCO, SECTOR:LIMAS</v>
          </cell>
          <cell r="R2450">
            <v>3157315</v>
          </cell>
          <cell r="S2450">
            <v>0</v>
          </cell>
          <cell r="T2450">
            <v>0</v>
          </cell>
          <cell r="U2450">
            <v>3157315</v>
          </cell>
          <cell r="V2450">
            <v>451045</v>
          </cell>
        </row>
        <row r="2451">
          <cell r="J2451">
            <v>2236</v>
          </cell>
          <cell r="K2451">
            <v>43278</v>
          </cell>
          <cell r="L2451" t="str">
            <v>CONSUELO DEL CARMEN HERNANDEZ ARCIA</v>
          </cell>
          <cell r="M2451">
            <v>31</v>
          </cell>
          <cell r="N2451" t="str">
            <v>RESOLUCION</v>
          </cell>
          <cell r="O2451">
            <v>2441</v>
          </cell>
          <cell r="P2451">
            <v>43278</v>
          </cell>
          <cell r="Q2451" t="str">
            <v>AYUDA TEMPORAL A LAS FAMILIAS DE VARIAS LOCALIDADES, PARA LA RELOCALIZACIÓN DE HOGARES LOCALIZADOS EN ZONAS DE ALTO RIESGO NO MITIGABLE ID:2015-Q04-01434, LOCALIDAD:19 CIUDAD BOLÍVAR, UPZ:67 LUCERO, SECTOR:PEÑA COLORADA</v>
          </cell>
          <cell r="R2451">
            <v>3157315</v>
          </cell>
          <cell r="S2451">
            <v>0</v>
          </cell>
          <cell r="T2451">
            <v>0</v>
          </cell>
          <cell r="U2451">
            <v>3157315</v>
          </cell>
          <cell r="V2451">
            <v>451045</v>
          </cell>
        </row>
        <row r="2452">
          <cell r="J2452">
            <v>2237</v>
          </cell>
          <cell r="K2452">
            <v>43278</v>
          </cell>
          <cell r="L2452" t="str">
            <v>EDITH  MALAGON RINCON</v>
          </cell>
          <cell r="M2452">
            <v>31</v>
          </cell>
          <cell r="N2452" t="str">
            <v>RESOLUCION</v>
          </cell>
          <cell r="O2452">
            <v>2440</v>
          </cell>
          <cell r="P2452">
            <v>43278</v>
          </cell>
          <cell r="Q2452" t="str">
            <v>AYUDA TEMPORAL A LAS FAMILIAS DE VARIAS LOCALIDADES, PARA LA RELOCALIZACIÓN DE HOGARES LOCALIZADOS EN ZONAS DE ALTO RIESGO NO MITIGABLE ID:2016-08-14829, LOCALIDAD:08 KENNEDY, UPZ:82 PATIO BONITO, SECTOR:PALMITAS</v>
          </cell>
          <cell r="R2452">
            <v>3098410</v>
          </cell>
          <cell r="S2452">
            <v>0</v>
          </cell>
          <cell r="T2452">
            <v>0</v>
          </cell>
          <cell r="U2452">
            <v>3098410</v>
          </cell>
          <cell r="V2452">
            <v>442630</v>
          </cell>
        </row>
        <row r="2453">
          <cell r="J2453">
            <v>2238</v>
          </cell>
          <cell r="K2453">
            <v>43278</v>
          </cell>
          <cell r="L2453" t="str">
            <v>BENEDICTO  VALBUENA LEON</v>
          </cell>
          <cell r="M2453">
            <v>31</v>
          </cell>
          <cell r="N2453" t="str">
            <v>RESOLUCION</v>
          </cell>
          <cell r="O2453">
            <v>2439</v>
          </cell>
          <cell r="P2453">
            <v>43278</v>
          </cell>
          <cell r="Q2453" t="str">
            <v>AYUDA TEMPORAL A LAS FAMILIAS DE VARIAS LOCALIDADES, PARA LA RELOCALIZACIÓN DE HOGARES LOCALIZADOS EN ZONAS DE ALTO RIESGO NO MITIGABLE ID:2014-OTR-00978, LOCALIDAD:19 CIUDAD BOLÍVAR, UPZ:67 LUCERO, SECTOR:TABOR ALTALOMA</v>
          </cell>
          <cell r="R2453">
            <v>3017000</v>
          </cell>
          <cell r="S2453">
            <v>0</v>
          </cell>
          <cell r="T2453">
            <v>0</v>
          </cell>
          <cell r="U2453">
            <v>3017000</v>
          </cell>
          <cell r="V2453">
            <v>431000</v>
          </cell>
        </row>
        <row r="2454">
          <cell r="J2454">
            <v>2239</v>
          </cell>
          <cell r="K2454">
            <v>43278</v>
          </cell>
          <cell r="L2454" t="str">
            <v>FLOR ALBA ARIZA MOSQUERA</v>
          </cell>
          <cell r="M2454">
            <v>31</v>
          </cell>
          <cell r="N2454" t="str">
            <v>RESOLUCION</v>
          </cell>
          <cell r="O2454">
            <v>2438</v>
          </cell>
          <cell r="P2454">
            <v>43278</v>
          </cell>
          <cell r="Q2454" t="str">
            <v>AYUDA TEMPORAL A LAS FAMILIAS DE VARIAS LOCALIDADES, PARA LA RELOCALIZACIÓN DE HOGARES LOCALIZADOS EN ZONAS DE ALTO RIESGO NO MITIGABLE ID:2013-Q18-00093, LOCALIDAD:19 CIUDAD BOLÍVAR, UPZ:69 ISMAEL PERDOMO, SECTOR:ZANJÓN MURALLA</v>
          </cell>
          <cell r="R2454">
            <v>2843722</v>
          </cell>
          <cell r="S2454">
            <v>0</v>
          </cell>
          <cell r="T2454">
            <v>0</v>
          </cell>
          <cell r="U2454">
            <v>2843722</v>
          </cell>
          <cell r="V2454">
            <v>406246</v>
          </cell>
        </row>
        <row r="2455">
          <cell r="J2455">
            <v>2240</v>
          </cell>
          <cell r="K2455">
            <v>43278</v>
          </cell>
          <cell r="L2455" t="str">
            <v>NELSON  DELGADO LOPEZ</v>
          </cell>
          <cell r="M2455">
            <v>31</v>
          </cell>
          <cell r="N2455" t="str">
            <v>RESOLUCION</v>
          </cell>
          <cell r="O2455">
            <v>2437</v>
          </cell>
          <cell r="P2455">
            <v>43278</v>
          </cell>
          <cell r="Q2455" t="str">
            <v>AYUDA TEMPORAL A LAS FAMILIAS DE VARIAS LOCALIDADES, PARA LA RELOCALIZACIÓN DE HOGARES LOCALIZADOS EN ZONAS DE ALTO RIESGO NO MITIGABLE ID:2014-OTR-00884, LOCALIDAD:03 SANTA FE, UPZ:96 LOURDES, SECTOR:CASA 2</v>
          </cell>
          <cell r="R2455">
            <v>3516527</v>
          </cell>
          <cell r="S2455">
            <v>0</v>
          </cell>
          <cell r="T2455">
            <v>0</v>
          </cell>
          <cell r="U2455">
            <v>3516527</v>
          </cell>
          <cell r="V2455">
            <v>502361</v>
          </cell>
        </row>
        <row r="2456">
          <cell r="J2456">
            <v>2241</v>
          </cell>
          <cell r="K2456">
            <v>43278</v>
          </cell>
          <cell r="L2456" t="str">
            <v>HECTOR GUILLERMO GOMEZ SALINAS</v>
          </cell>
          <cell r="M2456">
            <v>31</v>
          </cell>
          <cell r="N2456" t="str">
            <v>RESOLUCION</v>
          </cell>
          <cell r="O2456">
            <v>2436</v>
          </cell>
          <cell r="P2456">
            <v>43278</v>
          </cell>
          <cell r="Q2456" t="str">
            <v>AYUDA TEMPORAL A LAS FAMILIAS DE VARIAS LOCALIDADES, PARA LA RELOCALIZACIÓN DE HOGARES LOCALIZADOS EN ZONAS DE ALTO RIESGO NO MITIGABLE ID:2013-Q05-00009, LOCALIDAD:19 CIUDAD BOLÍVAR, UPZ:67 LUCERO, SECTOR:QUEBRADA CAÑO BAÚL</v>
          </cell>
          <cell r="R2456">
            <v>3363507</v>
          </cell>
          <cell r="S2456">
            <v>0</v>
          </cell>
          <cell r="T2456">
            <v>0</v>
          </cell>
          <cell r="U2456">
            <v>3363507</v>
          </cell>
          <cell r="V2456">
            <v>480501</v>
          </cell>
        </row>
        <row r="2457">
          <cell r="J2457">
            <v>2242</v>
          </cell>
          <cell r="K2457">
            <v>43278</v>
          </cell>
          <cell r="L2457" t="str">
            <v>MANUEL GUILLERMO PEÑA GONZALEZ</v>
          </cell>
          <cell r="M2457">
            <v>31</v>
          </cell>
          <cell r="N2457" t="str">
            <v>RESOLUCION</v>
          </cell>
          <cell r="O2457">
            <v>2435</v>
          </cell>
          <cell r="P2457">
            <v>43278</v>
          </cell>
          <cell r="Q2457" t="str">
            <v>AYUDA TEMPORAL A LAS FAMILIAS DE VARIAS LOCALIDADES, PARA LA RELOCALIZACIÓN DE HOGARES LOCALIZADOS EN ZONAS DE ALTO RIESGO NO MITIGABLE ID:2014-Q07-00924, LOCALIDAD:19 CIUDAD BOLÍVAR, UPZ:67 LUCERO, SECTOR:QUEBRADA TROMPETA</v>
          </cell>
          <cell r="R2457">
            <v>2582006</v>
          </cell>
          <cell r="S2457">
            <v>0</v>
          </cell>
          <cell r="T2457">
            <v>0</v>
          </cell>
          <cell r="U2457">
            <v>2582006</v>
          </cell>
          <cell r="V2457">
            <v>368858</v>
          </cell>
        </row>
        <row r="2458">
          <cell r="J2458">
            <v>2243</v>
          </cell>
          <cell r="K2458">
            <v>43278</v>
          </cell>
          <cell r="L2458" t="str">
            <v>JOSE NELSON BOCANEGRA SILVA</v>
          </cell>
          <cell r="M2458">
            <v>31</v>
          </cell>
          <cell r="N2458" t="str">
            <v>RESOLUCION</v>
          </cell>
          <cell r="O2458">
            <v>2434</v>
          </cell>
          <cell r="P2458">
            <v>43278</v>
          </cell>
          <cell r="Q2458" t="str">
            <v>AYUDA TEMPORAL A LAS FAMILIAS DE VARIAS LOCALIDADES, PARA LA RELOCALIZACIÓN DE HOGARES LOCALIZADOS EN ZONAS DE ALTO RIESGO NO MITIGABLE ID:2011-4-12633, LOCALIDAD:04 SAN CRISTÓBAL, UPZ:32 SAN BLAS</v>
          </cell>
          <cell r="R2458">
            <v>3557432</v>
          </cell>
          <cell r="S2458">
            <v>0</v>
          </cell>
          <cell r="T2458">
            <v>0</v>
          </cell>
          <cell r="U2458">
            <v>3557432</v>
          </cell>
          <cell r="V2458">
            <v>444679</v>
          </cell>
        </row>
        <row r="2459">
          <cell r="J2459">
            <v>2244</v>
          </cell>
          <cell r="K2459">
            <v>43278</v>
          </cell>
          <cell r="L2459" t="str">
            <v>LIZETH  FRANCO OLAYA</v>
          </cell>
          <cell r="M2459">
            <v>31</v>
          </cell>
          <cell r="N2459" t="str">
            <v>RESOLUCION</v>
          </cell>
          <cell r="O2459">
            <v>2433</v>
          </cell>
          <cell r="P2459">
            <v>43278</v>
          </cell>
          <cell r="Q2459" t="str">
            <v>AYUDA TEMPORAL A LAS FAMILIAS DE VARIAS LOCALIDADES, PARA LA RELOCALIZACIÓN DE HOGARES LOCALIZADOS EN ZONAS DE ALTO RIESGO NO MITIGABLE ID:2011-19-12905, LOCALIDAD:19 CIUDAD BOLÍVAR, UPZ:68 EL TESORO</v>
          </cell>
          <cell r="R2459">
            <v>2582006</v>
          </cell>
          <cell r="S2459">
            <v>0</v>
          </cell>
          <cell r="T2459">
            <v>0</v>
          </cell>
          <cell r="U2459">
            <v>2582006</v>
          </cell>
          <cell r="V2459">
            <v>368858</v>
          </cell>
        </row>
        <row r="2460">
          <cell r="J2460">
            <v>2245</v>
          </cell>
          <cell r="K2460">
            <v>43278</v>
          </cell>
          <cell r="L2460" t="str">
            <v>YESMY MILENA CRUZ GIL</v>
          </cell>
          <cell r="M2460">
            <v>31</v>
          </cell>
          <cell r="N2460" t="str">
            <v>RESOLUCION</v>
          </cell>
          <cell r="O2460">
            <v>2432</v>
          </cell>
          <cell r="P2460">
            <v>43278</v>
          </cell>
          <cell r="Q2460" t="str">
            <v>AYUDA TEMPORAL A LAS FAMILIAS DE VARIAS LOCALIDADES, PARA LA RELOCALIZACIÓN DE HOGARES LOCALIZADOS EN ZONAS DE ALTO RIESGO NO MITIGABLE ID:2011-4-12975, LOCALIDAD:04 SAN CRISTÓBAL, UPZ:32 SAN BLAS</v>
          </cell>
          <cell r="R2460">
            <v>3112599</v>
          </cell>
          <cell r="S2460">
            <v>0</v>
          </cell>
          <cell r="T2460">
            <v>0</v>
          </cell>
          <cell r="U2460">
            <v>3112599</v>
          </cell>
          <cell r="V2460">
            <v>444657</v>
          </cell>
        </row>
        <row r="2461">
          <cell r="J2461">
            <v>2246</v>
          </cell>
          <cell r="K2461">
            <v>43278</v>
          </cell>
          <cell r="L2461" t="str">
            <v>JHON FAVIO MORALES GUARNIZO</v>
          </cell>
          <cell r="M2461">
            <v>31</v>
          </cell>
          <cell r="N2461" t="str">
            <v>RESOLUCION</v>
          </cell>
          <cell r="O2461">
            <v>2431</v>
          </cell>
          <cell r="P2461">
            <v>43278</v>
          </cell>
          <cell r="Q2461" t="str">
            <v>AYUDA TEMPORAL A LAS FAMILIAS DE VARIAS LOCALIDADES, PARA LA RELOCALIZACIÓN DE HOGARES LOCALIZADOS EN ZONAS DE ALTO RIESGO NO MITIGABLE ID:2017-19-15043, LOCALIDAD:19 CIUDAD BOLÍVAR, UPZ:67 EL LUCERO, SECTOR:BELLA FLOR</v>
          </cell>
          <cell r="R2461">
            <v>3614814</v>
          </cell>
          <cell r="S2461">
            <v>0</v>
          </cell>
          <cell r="T2461">
            <v>0</v>
          </cell>
          <cell r="U2461">
            <v>3614814</v>
          </cell>
          <cell r="V2461">
            <v>516402</v>
          </cell>
        </row>
        <row r="2462">
          <cell r="J2462">
            <v>2247</v>
          </cell>
          <cell r="K2462">
            <v>43278</v>
          </cell>
          <cell r="L2462" t="str">
            <v>LEONILDE  GARZON CORTES</v>
          </cell>
          <cell r="M2462">
            <v>31</v>
          </cell>
          <cell r="N2462" t="str">
            <v>RESOLUCION</v>
          </cell>
          <cell r="O2462">
            <v>2430</v>
          </cell>
          <cell r="P2462">
            <v>43278</v>
          </cell>
          <cell r="Q2462" t="str">
            <v>AYUDA TEMPORAL A LAS FAMILIAS DE VARIAS LOCALIDADES, PARA LA RELOCALIZACIÓN DE HOGARES LOCALIZADOS EN ZONAS DE ALTO RIESGO NO MITIGABLE ID:2012-19-14130, LOCALIDAD:19 CIUDAD BOLÍVAR, UPZ:68 EL TESORO, SECTOR:QUEBRADA TROMPETA</v>
          </cell>
          <cell r="R2462">
            <v>2734347</v>
          </cell>
          <cell r="S2462">
            <v>0</v>
          </cell>
          <cell r="T2462">
            <v>0</v>
          </cell>
          <cell r="U2462">
            <v>2734347</v>
          </cell>
          <cell r="V2462">
            <v>390621</v>
          </cell>
        </row>
        <row r="2463">
          <cell r="J2463">
            <v>2248</v>
          </cell>
          <cell r="K2463">
            <v>43278</v>
          </cell>
          <cell r="L2463" t="str">
            <v>JOSE JOAQUIN MONROY RODRIGUEZ</v>
          </cell>
          <cell r="M2463">
            <v>31</v>
          </cell>
          <cell r="N2463" t="str">
            <v>RESOLUCION</v>
          </cell>
          <cell r="O2463">
            <v>2429</v>
          </cell>
          <cell r="P2463">
            <v>43278</v>
          </cell>
          <cell r="Q2463" t="str">
            <v>AYUDA TEMPORAL A LAS FAMILIAS DE VARIAS LOCALIDADES, PARA LA RELOCALIZACIÓN DE HOGARES LOCALIZADOS EN ZONAS DE ALTO RIESGO NO MITIGABLE ID:2013-4-14662, LOCALIDAD:04 SAN CRISTÓBAL, UPZ:32 SAN BLAS</v>
          </cell>
          <cell r="R2463">
            <v>4324509</v>
          </cell>
          <cell r="S2463">
            <v>0</v>
          </cell>
          <cell r="T2463">
            <v>0</v>
          </cell>
          <cell r="U2463">
            <v>4324509</v>
          </cell>
          <cell r="V2463">
            <v>480501</v>
          </cell>
        </row>
        <row r="2464">
          <cell r="J2464">
            <v>2249</v>
          </cell>
          <cell r="K2464">
            <v>43278</v>
          </cell>
          <cell r="L2464" t="str">
            <v>SANDRA PILAR GUAVITA GAITAN</v>
          </cell>
          <cell r="M2464">
            <v>31</v>
          </cell>
          <cell r="N2464" t="str">
            <v>RESOLUCION</v>
          </cell>
          <cell r="O2464">
            <v>2428</v>
          </cell>
          <cell r="P2464">
            <v>43278</v>
          </cell>
          <cell r="Q2464" t="str">
            <v>AYUDA TEMPORAL A LAS FAMILIAS DE VARIAS LOCALIDADES, PARA LA RELOCALIZACIÓN DE HOGARES LOCALIZADOS EN ZONAS DE ALTO RIESGO NO MITIGABLE ID:2010-5-11643, LOCALIDAD:05 USME, UPZ:57 GRAN YOMASA, SECTOR:OLA INVERNAL 2010 FOPAE</v>
          </cell>
          <cell r="R2464">
            <v>2582006</v>
          </cell>
          <cell r="S2464">
            <v>0</v>
          </cell>
          <cell r="T2464">
            <v>0</v>
          </cell>
          <cell r="U2464">
            <v>2582006</v>
          </cell>
          <cell r="V2464">
            <v>368858</v>
          </cell>
        </row>
        <row r="2465">
          <cell r="J2465">
            <v>2250</v>
          </cell>
          <cell r="K2465">
            <v>43278</v>
          </cell>
          <cell r="L2465" t="str">
            <v>ISABEL  GOMEZ JIMENEZ</v>
          </cell>
          <cell r="M2465">
            <v>31</v>
          </cell>
          <cell r="N2465" t="str">
            <v>RESOLUCION</v>
          </cell>
          <cell r="O2465">
            <v>2427</v>
          </cell>
          <cell r="P2465">
            <v>43278</v>
          </cell>
          <cell r="Q2465" t="str">
            <v>AYUDA TEMPORAL A LAS FAMILIAS DE VARIAS LOCALIDADES, PARA LA RELOCALIZACIÓN DE HOGARES LOCALIZADOS EN ZONAS DE ALTO RIESGO NO MITIGABLE ID:2012-ALES-227, LOCALIDAD:19 CIUDAD BOLÍVAR, UPZ:69 ISMAEL PERDOMO, SECTOR:ALTOS DE LA ESTANCIA</v>
          </cell>
          <cell r="R2465">
            <v>3382995</v>
          </cell>
          <cell r="S2465">
            <v>0</v>
          </cell>
          <cell r="T2465">
            <v>0</v>
          </cell>
          <cell r="U2465">
            <v>3382995</v>
          </cell>
          <cell r="V2465">
            <v>483285</v>
          </cell>
        </row>
        <row r="2466">
          <cell r="J2466">
            <v>2251</v>
          </cell>
          <cell r="K2466">
            <v>43279</v>
          </cell>
          <cell r="L2466" t="str">
            <v>HERMENCIA EMILIA CASTAÑEDA BERNAL</v>
          </cell>
          <cell r="M2466">
            <v>31</v>
          </cell>
          <cell r="N2466" t="str">
            <v>RESOLUCION</v>
          </cell>
          <cell r="O2466">
            <v>2643</v>
          </cell>
          <cell r="P2466">
            <v>43279</v>
          </cell>
          <cell r="Q2466" t="str">
            <v>AYUDA TEMPORAL A LAS FAMILIAS DE VARIAS LOCALIDADES, PARA LA RELOCALIZACIÓN DE HOGARES LOCALIZADOS EN ZONAS DE ALTO RIESGO NO MITIGABLE ID:2012-19-14070, LOCALIDAD:19 CIUDAD BOLÍVAR, UPZ:68 EL TESORO, SECTOR:QUEBRADA TROMPETA</v>
          </cell>
          <cell r="R2466">
            <v>3374280</v>
          </cell>
          <cell r="S2466">
            <v>0</v>
          </cell>
          <cell r="T2466">
            <v>0</v>
          </cell>
          <cell r="U2466">
            <v>3374280</v>
          </cell>
          <cell r="V2466">
            <v>482040</v>
          </cell>
        </row>
        <row r="2467">
          <cell r="J2467">
            <v>2252</v>
          </cell>
          <cell r="K2467">
            <v>43279</v>
          </cell>
          <cell r="L2467" t="str">
            <v>GLORIA CECILIA QUIMBAYO SUAREZ</v>
          </cell>
          <cell r="M2467">
            <v>31</v>
          </cell>
          <cell r="N2467" t="str">
            <v>RESOLUCION</v>
          </cell>
          <cell r="O2467">
            <v>2725</v>
          </cell>
          <cell r="P2467">
            <v>43279</v>
          </cell>
          <cell r="Q2467" t="str">
            <v>AYUDA TEMPORAL A LAS FAMILIAS DE VARIAS LOCALIDADES, PARA LA RELOCALIZACIÓN DE HOGARES LOCALIZADOS EN ZONAS DE ALTO RIESGO NO MITIGABLE ID:2003-19-4618, LOCALIDAD:19 CIUDAD BOLÍVAR, UPZ:69 ISMAEL PERDOMO, SECTOR:ALTOS DE LA ESTANCIA</v>
          </cell>
          <cell r="R2467">
            <v>2845920</v>
          </cell>
          <cell r="S2467">
            <v>0</v>
          </cell>
          <cell r="T2467">
            <v>0</v>
          </cell>
          <cell r="U2467">
            <v>2845920</v>
          </cell>
          <cell r="V2467">
            <v>406560</v>
          </cell>
        </row>
        <row r="2468">
          <cell r="J2468">
            <v>2253</v>
          </cell>
          <cell r="K2468">
            <v>43279</v>
          </cell>
          <cell r="L2468" t="str">
            <v>NELIDA MARTHA CASTILLO HERNANDEZ</v>
          </cell>
          <cell r="M2468">
            <v>31</v>
          </cell>
          <cell r="N2468" t="str">
            <v>RESOLUCION</v>
          </cell>
          <cell r="O2468">
            <v>2724</v>
          </cell>
          <cell r="P2468">
            <v>43279</v>
          </cell>
          <cell r="Q2468" t="str">
            <v>AYUDA TEMPORAL A LAS FAMILIAS DE VARIAS LOCALIDADES, PARA LA RELOCALIZACIÓN DE HOGARES LOCALIZADOS EN ZONAS DE ALTO RIESGO NO MITIGABLE ID:2011-18-12496, LOCALIDAD:18 RAFAEL URIBE URIBE, UPZ:53 MARCO FIDEL SUÁREZ, SECTOR:OLA INVERNAL 2010 FOPAE</v>
          </cell>
          <cell r="R2468">
            <v>3100419</v>
          </cell>
          <cell r="S2468">
            <v>0</v>
          </cell>
          <cell r="T2468">
            <v>0</v>
          </cell>
          <cell r="U2468">
            <v>3100419</v>
          </cell>
          <cell r="V2468">
            <v>442917</v>
          </cell>
        </row>
        <row r="2469">
          <cell r="J2469">
            <v>2254</v>
          </cell>
          <cell r="K2469">
            <v>43279</v>
          </cell>
          <cell r="L2469" t="str">
            <v>ANADELIA  MELO JOYA</v>
          </cell>
          <cell r="M2469">
            <v>31</v>
          </cell>
          <cell r="N2469" t="str">
            <v>RESOLUCION</v>
          </cell>
          <cell r="O2469">
            <v>2723</v>
          </cell>
          <cell r="P2469">
            <v>43279</v>
          </cell>
          <cell r="Q2469" t="str">
            <v>AYUDA TEMPORAL A LAS FAMILIAS DE VARIAS LOCALIDADES, PARA LA RELOCALIZACIÓN DE HOGARES LOCALIZADOS EN ZONAS DE ALTO RIESGO NO MITIGABLE ID:2003-19-5220, LOCALIDAD:19 CIUDAD BOLÍVAR, UPZ:69 ISMAEL PERDOMO, SECTOR:ALTOS DE LA ESTANCIA</v>
          </cell>
          <cell r="R2469">
            <v>2883006</v>
          </cell>
          <cell r="S2469">
            <v>2883006</v>
          </cell>
          <cell r="T2469">
            <v>0</v>
          </cell>
          <cell r="U2469">
            <v>0</v>
          </cell>
          <cell r="V2469">
            <v>0</v>
          </cell>
        </row>
        <row r="2470">
          <cell r="J2470">
            <v>2255</v>
          </cell>
          <cell r="K2470">
            <v>43279</v>
          </cell>
          <cell r="L2470" t="str">
            <v>LUZ DARY VIRVIESCAS SANCHEZ</v>
          </cell>
          <cell r="M2470">
            <v>31</v>
          </cell>
          <cell r="N2470" t="str">
            <v>RESOLUCION</v>
          </cell>
          <cell r="O2470">
            <v>2722</v>
          </cell>
          <cell r="P2470">
            <v>43279</v>
          </cell>
          <cell r="Q2470" t="str">
            <v>AYUDA TEMPORAL A LAS FAMILIAS DE VARIAS LOCALIDADES, PARA LA RELOCALIZACIÓN DE HOGARES LOCALIZADOS EN ZONAS DE ALTO RIESGO NO MITIGABLE ID:2011-19-12751, LOCALIDAD:19 CIUDAD BOLÍVAR, UPZ:68 EL TESORO, SECTOR:QUEBRADA EL INFIERNO</v>
          </cell>
          <cell r="R2470">
            <v>2845920</v>
          </cell>
          <cell r="S2470">
            <v>0</v>
          </cell>
          <cell r="T2470">
            <v>0</v>
          </cell>
          <cell r="U2470">
            <v>2845920</v>
          </cell>
          <cell r="V2470">
            <v>406560</v>
          </cell>
        </row>
        <row r="2471">
          <cell r="J2471">
            <v>2256</v>
          </cell>
          <cell r="K2471">
            <v>43279</v>
          </cell>
          <cell r="L2471" t="str">
            <v>MARCELINA  VARGAS GONZALEZ</v>
          </cell>
          <cell r="M2471">
            <v>31</v>
          </cell>
          <cell r="N2471" t="str">
            <v>RESOLUCION</v>
          </cell>
          <cell r="O2471">
            <v>2721</v>
          </cell>
          <cell r="P2471">
            <v>43279</v>
          </cell>
          <cell r="Q2471" t="str">
            <v>AYUDA TEMPORAL A LAS FAMILIAS DE VARIAS LOCALIDADES, PARA LA RELOCALIZACIÓN DE HOGARES LOCALIZADOS EN ZONAS DE ALTO RIESGO NO MITIGABLE ID:2005-19-5791, LOCALIDAD:19 CIUDAD BOLÍVAR, UPZ:67 LUCERO, SECTOR:LIMAS</v>
          </cell>
          <cell r="R2471">
            <v>3563175</v>
          </cell>
          <cell r="S2471">
            <v>0</v>
          </cell>
          <cell r="T2471">
            <v>0</v>
          </cell>
          <cell r="U2471">
            <v>3563175</v>
          </cell>
          <cell r="V2471">
            <v>509025</v>
          </cell>
        </row>
        <row r="2472">
          <cell r="J2472">
            <v>2257</v>
          </cell>
          <cell r="K2472">
            <v>43279</v>
          </cell>
          <cell r="L2472" t="str">
            <v>CAMPO ELIAS VELASCO DUARTE</v>
          </cell>
          <cell r="M2472">
            <v>31</v>
          </cell>
          <cell r="N2472" t="str">
            <v>RESOLUCION</v>
          </cell>
          <cell r="O2472">
            <v>2671</v>
          </cell>
          <cell r="P2472">
            <v>43279</v>
          </cell>
          <cell r="Q2472" t="str">
            <v>AYUDA TEMPORAL A LAS FAMILIAS DE VARIAS LOCALIDADES, PARA LA RELOCALIZACIÓN DE HOGARES LOCALIZADOS EN ZONAS DE ALTO RIESGO NO MITIGABLE ID:2014-OTR-01213, LOCALIDAD:11 SUBA, UPZ:71 TIBABUYES, SECTOR:GAVILANES</v>
          </cell>
          <cell r="R2472">
            <v>3017000</v>
          </cell>
          <cell r="S2472">
            <v>0</v>
          </cell>
          <cell r="T2472">
            <v>0</v>
          </cell>
          <cell r="U2472">
            <v>3017000</v>
          </cell>
          <cell r="V2472">
            <v>431000</v>
          </cell>
        </row>
        <row r="2473">
          <cell r="J2473">
            <v>2258</v>
          </cell>
          <cell r="K2473">
            <v>43279</v>
          </cell>
          <cell r="L2473" t="str">
            <v>EDGAR GERMAN LEON HERNANDEZ</v>
          </cell>
          <cell r="M2473">
            <v>31</v>
          </cell>
          <cell r="N2473" t="str">
            <v>RESOLUCION</v>
          </cell>
          <cell r="O2473">
            <v>2720</v>
          </cell>
          <cell r="P2473">
            <v>43279</v>
          </cell>
          <cell r="Q2473" t="str">
            <v>AYUDA TEMPORAL A LAS FAMILIAS DE VARIAS LOCALIDADES, PARA LA RELOCALIZACIÓN DE HOGARES LOCALIZADOS EN ZONAS DE ALTO RIESGO NO MITIGABLE ID:2011-19-13539, LOCALIDAD:19 CIUDAD BOLÍVAR, UPZ:68 EL TESORO</v>
          </cell>
          <cell r="R2473">
            <v>2582006</v>
          </cell>
          <cell r="S2473">
            <v>0</v>
          </cell>
          <cell r="T2473">
            <v>0</v>
          </cell>
          <cell r="U2473">
            <v>2582006</v>
          </cell>
          <cell r="V2473">
            <v>368858</v>
          </cell>
        </row>
        <row r="2474">
          <cell r="J2474">
            <v>2259</v>
          </cell>
          <cell r="K2474">
            <v>43279</v>
          </cell>
          <cell r="L2474" t="str">
            <v>MYRIAM JACQUELINE ABRIL CRUZ</v>
          </cell>
          <cell r="M2474">
            <v>31</v>
          </cell>
          <cell r="N2474" t="str">
            <v>RESOLUCION</v>
          </cell>
          <cell r="O2474">
            <v>2719</v>
          </cell>
          <cell r="P2474">
            <v>43279</v>
          </cell>
          <cell r="Q2474" t="str">
            <v>AYUDA TEMPORAL A LAS FAMILIAS DE VARIAS LOCALIDADES, PARA LA RELOCALIZACIÓN DE HOGARES LOCALIZADOS EN ZONAS DE ALTO RIESGO NO MITIGABLE ID:2012-18-14319, LOCALIDAD:18 RAFAEL URIBE URIBE, UPZ:55 DIANA TURBAY</v>
          </cell>
          <cell r="R2474">
            <v>3094182</v>
          </cell>
          <cell r="S2474">
            <v>0</v>
          </cell>
          <cell r="T2474">
            <v>0</v>
          </cell>
          <cell r="U2474">
            <v>3094182</v>
          </cell>
          <cell r="V2474">
            <v>442026</v>
          </cell>
        </row>
        <row r="2475">
          <cell r="J2475">
            <v>2260</v>
          </cell>
          <cell r="K2475">
            <v>43279</v>
          </cell>
          <cell r="L2475" t="str">
            <v>MARIA EMILIA CELY SANCHEZ</v>
          </cell>
          <cell r="M2475">
            <v>31</v>
          </cell>
          <cell r="N2475" t="str">
            <v>RESOLUCION</v>
          </cell>
          <cell r="O2475">
            <v>2718</v>
          </cell>
          <cell r="P2475">
            <v>43279</v>
          </cell>
          <cell r="Q2475" t="str">
            <v>AYUDA TEMPORAL A LAS FAMILIAS DE VARIAS LOCALIDADES, PARA LA RELOCALIZACIÓN DE HOGARES LOCALIZADOS EN ZONAS DE ALTO RIESGO NO MITIGABLE ID:2011-4-12634, LOCALIDAD:04 SAN CRISTÓBAL, UPZ:32 SAN BLAS</v>
          </cell>
          <cell r="R2475">
            <v>2796906</v>
          </cell>
          <cell r="S2475">
            <v>0</v>
          </cell>
          <cell r="T2475">
            <v>0</v>
          </cell>
          <cell r="U2475">
            <v>2796906</v>
          </cell>
          <cell r="V2475">
            <v>399558</v>
          </cell>
        </row>
        <row r="2476">
          <cell r="J2476">
            <v>2261</v>
          </cell>
          <cell r="K2476">
            <v>43279</v>
          </cell>
          <cell r="L2476" t="str">
            <v>JOSE DE LOS SANTOS RIOS SALGADO</v>
          </cell>
          <cell r="M2476">
            <v>31</v>
          </cell>
          <cell r="N2476" t="str">
            <v>RESOLUCION</v>
          </cell>
          <cell r="O2476">
            <v>2642</v>
          </cell>
          <cell r="P2476">
            <v>43279</v>
          </cell>
          <cell r="Q2476" t="str">
            <v>AYUDA TEMPORAL A LAS FAMILIAS DE VARIAS LOCALIDADES, PARA LA RELOCALIZACIÓN DE HOGARES LOCALIZADOS EN ZONAS DE ALTO RIESGO NO MITIGABLE ID:2012-ALES-261, LOCALIDAD:19 CIUDAD BOLÍVAR, UPZ:69 ISMAEL PERDOMO, SECTOR:ALTOS DE LA ESTANCIA</v>
          </cell>
          <cell r="R2476">
            <v>3788778</v>
          </cell>
          <cell r="S2476">
            <v>0</v>
          </cell>
          <cell r="T2476">
            <v>0</v>
          </cell>
          <cell r="U2476">
            <v>3788778</v>
          </cell>
          <cell r="V2476">
            <v>541254</v>
          </cell>
        </row>
        <row r="2477">
          <cell r="J2477">
            <v>2262</v>
          </cell>
          <cell r="K2477">
            <v>43279</v>
          </cell>
          <cell r="L2477" t="str">
            <v>ROSA MARIA MUÑOZ QUISABONI</v>
          </cell>
          <cell r="M2477">
            <v>31</v>
          </cell>
          <cell r="N2477" t="str">
            <v>RESOLUCION</v>
          </cell>
          <cell r="O2477">
            <v>2641</v>
          </cell>
          <cell r="P2477">
            <v>43279</v>
          </cell>
          <cell r="Q2477" t="str">
            <v>AYUDA TEMPORAL A LAS FAMILIAS DE VARIAS LOCALIDADES, PARA LA RELOCALIZACIÓN DE HOGARES LOCALIZADOS EN ZONAS DE ALTO RIESGO NO MITIGABLE ID:2012-18-14308, LOCALIDAD:18 RAFAEL URIBE URIBE, UPZ:55 DIANA TURBAY</v>
          </cell>
          <cell r="R2477">
            <v>3094175</v>
          </cell>
          <cell r="S2477">
            <v>0</v>
          </cell>
          <cell r="T2477">
            <v>0</v>
          </cell>
          <cell r="U2477">
            <v>3094175</v>
          </cell>
          <cell r="V2477">
            <v>442025</v>
          </cell>
        </row>
        <row r="2478">
          <cell r="J2478">
            <v>2263</v>
          </cell>
          <cell r="K2478">
            <v>43279</v>
          </cell>
          <cell r="L2478" t="str">
            <v>YANID ASTRID DIAZ MONTAÑEZ</v>
          </cell>
          <cell r="M2478">
            <v>31</v>
          </cell>
          <cell r="N2478" t="str">
            <v>RESOLUCION</v>
          </cell>
          <cell r="O2478">
            <v>2640</v>
          </cell>
          <cell r="P2478">
            <v>43279</v>
          </cell>
          <cell r="Q2478" t="str">
            <v>AYUDA TEMPORAL A LAS FAMILIAS DE VARIAS LOCALIDADES, PARA LA RELOCALIZACIÓN DE HOGARES LOCALIZADOS EN ZONAS DE ALTO RIESGO NO MITIGABLE ID:2011-4-12709, LOCALIDAD:04 SAN CRISTÓBAL, UPZ:32 SAN BLAS</v>
          </cell>
          <cell r="R2478">
            <v>2582006</v>
          </cell>
          <cell r="S2478">
            <v>0</v>
          </cell>
          <cell r="T2478">
            <v>0</v>
          </cell>
          <cell r="U2478">
            <v>2582006</v>
          </cell>
          <cell r="V2478">
            <v>368858</v>
          </cell>
        </row>
        <row r="2479">
          <cell r="J2479">
            <v>2264</v>
          </cell>
          <cell r="K2479">
            <v>43279</v>
          </cell>
          <cell r="L2479" t="str">
            <v>LUZ MARINA GARCIA</v>
          </cell>
          <cell r="M2479">
            <v>31</v>
          </cell>
          <cell r="N2479" t="str">
            <v>RESOLUCION</v>
          </cell>
          <cell r="O2479">
            <v>2639</v>
          </cell>
          <cell r="P2479">
            <v>43279</v>
          </cell>
          <cell r="Q2479" t="str">
            <v>AYUDA TEMPORAL A LAS FAMILIAS DE VARIAS LOCALIDADES, PARA LA RELOCALIZACIÓN DE HOGARES LOCALIZADOS EN ZONAS DE ALTO RIESGO NO MITIGABLE ID:2011-5-13414, LOCALIDAD:05 USME, UPZ:58 COMUNEROS</v>
          </cell>
          <cell r="R2479">
            <v>3363360</v>
          </cell>
          <cell r="S2479">
            <v>0</v>
          </cell>
          <cell r="T2479">
            <v>0</v>
          </cell>
          <cell r="U2479">
            <v>3363360</v>
          </cell>
          <cell r="V2479">
            <v>480480</v>
          </cell>
        </row>
        <row r="2480">
          <cell r="J2480">
            <v>2265</v>
          </cell>
          <cell r="K2480">
            <v>43279</v>
          </cell>
          <cell r="L2480" t="str">
            <v>DORIS  DIAZ CASTILLO</v>
          </cell>
          <cell r="M2480">
            <v>31</v>
          </cell>
          <cell r="N2480" t="str">
            <v>RESOLUCION</v>
          </cell>
          <cell r="O2480">
            <v>2638</v>
          </cell>
          <cell r="P2480">
            <v>43279</v>
          </cell>
          <cell r="Q2480" t="str">
            <v>AYUDA TEMPORAL A LAS FAMILIAS DE VARIAS LOCALIDADES, PARA LA RELOCALIZACIÓN DE HOGARES LOCALIZADOS EN ZONAS DE ALTO RIESGO NO MITIGABLE ID:2011-4-12721, LOCALIDAD:04 SAN CRISTÓBAL, UPZ:32 SAN BLAS</v>
          </cell>
          <cell r="R2480">
            <v>2530367</v>
          </cell>
          <cell r="S2480">
            <v>0</v>
          </cell>
          <cell r="T2480">
            <v>0</v>
          </cell>
          <cell r="U2480">
            <v>2530367</v>
          </cell>
          <cell r="V2480">
            <v>361481</v>
          </cell>
        </row>
        <row r="2481">
          <cell r="J2481">
            <v>2266</v>
          </cell>
          <cell r="K2481">
            <v>43279</v>
          </cell>
          <cell r="L2481" t="str">
            <v>JUAN CARLOS DUEÑAS HERNANDEZ</v>
          </cell>
          <cell r="M2481">
            <v>31</v>
          </cell>
          <cell r="N2481" t="str">
            <v>RESOLUCION</v>
          </cell>
          <cell r="O2481">
            <v>2637</v>
          </cell>
          <cell r="P2481">
            <v>43279</v>
          </cell>
          <cell r="Q2481" t="str">
            <v>AYUDA TEMPORAL A LAS FAMILIAS DE VARIAS LOCALIDADES, PARA LA RELOCALIZACIÓN DE HOGARES LOCALIZADOS EN ZONAS DE ALTO RIESGO NO MITIGABLE ID:2012-19-13977, LOCALIDAD:19 CIUDAD BOLÍVAR, UPZ:68 EL TESORO</v>
          </cell>
          <cell r="R2481">
            <v>3098410</v>
          </cell>
          <cell r="S2481">
            <v>0</v>
          </cell>
          <cell r="T2481">
            <v>0</v>
          </cell>
          <cell r="U2481">
            <v>3098410</v>
          </cell>
          <cell r="V2481">
            <v>442630</v>
          </cell>
        </row>
        <row r="2482">
          <cell r="J2482">
            <v>2267</v>
          </cell>
          <cell r="K2482">
            <v>43279</v>
          </cell>
          <cell r="L2482" t="str">
            <v>JONATHAN JULIAN GUZMAN RODRIGUEZ</v>
          </cell>
          <cell r="M2482">
            <v>31</v>
          </cell>
          <cell r="N2482" t="str">
            <v>RESOLUCION</v>
          </cell>
          <cell r="O2482">
            <v>2636</v>
          </cell>
          <cell r="P2482">
            <v>43279</v>
          </cell>
          <cell r="Q2482" t="str">
            <v>AYUDA TEMPORAL A LAS FAMILIAS DE VARIAS LOCALIDADES, PARA LA RELOCALIZACIÓN DE HOGARES LOCALIZADOS EN ZONAS DE ALTO RIESGO NO MITIGABLE ID:2013-Q04-00277, LOCALIDAD:19 CIUDAD BOLÍVAR, UPZ:67 LUCERO, SECTOR:PEÑA COLORADA</v>
          </cell>
          <cell r="R2482">
            <v>3046771</v>
          </cell>
          <cell r="S2482">
            <v>0</v>
          </cell>
          <cell r="T2482">
            <v>0</v>
          </cell>
          <cell r="U2482">
            <v>3046771</v>
          </cell>
          <cell r="V2482">
            <v>435253</v>
          </cell>
        </row>
        <row r="2483">
          <cell r="J2483">
            <v>2268</v>
          </cell>
          <cell r="K2483">
            <v>43279</v>
          </cell>
          <cell r="L2483" t="str">
            <v>NELSON  GALEANO CORZO</v>
          </cell>
          <cell r="M2483">
            <v>31</v>
          </cell>
          <cell r="N2483" t="str">
            <v>RESOLUCION</v>
          </cell>
          <cell r="O2483">
            <v>2635</v>
          </cell>
          <cell r="P2483">
            <v>43279</v>
          </cell>
          <cell r="Q2483" t="str">
            <v>AYUDA TEMPORAL A LAS FAMILIAS DE VARIAS LOCALIDADES, PARA LA RELOCALIZACIÓN DE HOGARES LOCALIZADOS EN ZONAS DE ALTO RIESGO NO MITIGABLE ID:2013-Q05-00054, LOCALIDAD:19 CIUDAD BOLÍVAR, UPZ:68 EL TESORO, SECTOR:QUEBRADA GALINDO</v>
          </cell>
          <cell r="R2483">
            <v>1947573</v>
          </cell>
          <cell r="S2483">
            <v>0</v>
          </cell>
          <cell r="T2483">
            <v>0</v>
          </cell>
          <cell r="U2483">
            <v>1947573</v>
          </cell>
          <cell r="V2483">
            <v>649191</v>
          </cell>
        </row>
        <row r="2484">
          <cell r="J2484">
            <v>2269</v>
          </cell>
          <cell r="K2484">
            <v>43279</v>
          </cell>
          <cell r="L2484" t="str">
            <v>ADOLFO  DAZA CAMARGO</v>
          </cell>
          <cell r="M2484">
            <v>31</v>
          </cell>
          <cell r="N2484" t="str">
            <v>RESOLUCION</v>
          </cell>
          <cell r="O2484">
            <v>2717</v>
          </cell>
          <cell r="P2484">
            <v>43279</v>
          </cell>
          <cell r="Q2484" t="str">
            <v>AYUDA TEMPORAL A LAS FAMILIAS DE VARIAS LOCALIDADES, PARA LA RELOCALIZACIÓN DE HOGARES LOCALIZADOS EN ZONAS DE ALTO RIESGO NO MITIGABLE ID:2013-Q21-00671, LOCALIDAD:19 CIUDAD BOLÍVAR, UPZ:67 LUCERO, SECTOR:BRAZO DERECHO DE LIMAS</v>
          </cell>
          <cell r="R2484">
            <v>2734347</v>
          </cell>
          <cell r="S2484">
            <v>0</v>
          </cell>
          <cell r="T2484">
            <v>0</v>
          </cell>
          <cell r="U2484">
            <v>2734347</v>
          </cell>
          <cell r="V2484">
            <v>390621</v>
          </cell>
        </row>
        <row r="2485">
          <cell r="J2485">
            <v>2270</v>
          </cell>
          <cell r="K2485">
            <v>43279</v>
          </cell>
          <cell r="L2485" t="str">
            <v>INGRID YULIET BARRAGAN CARVAJAL</v>
          </cell>
          <cell r="M2485">
            <v>31</v>
          </cell>
          <cell r="N2485" t="str">
            <v>RESOLUCION</v>
          </cell>
          <cell r="O2485">
            <v>2634</v>
          </cell>
          <cell r="P2485">
            <v>43279</v>
          </cell>
          <cell r="Q2485" t="str">
            <v>AYUDA TEMPORAL A LAS FAMILIAS DE VARIAS LOCALIDADES, PARA LA RELOCALIZACIÓN DE HOGARES LOCALIZADOS EN ZONAS DE ALTO RIESGO NO MITIGABLE ID:2014-LC-00792, LOCALIDAD:19 CIUDAD BOLÍVAR, UPZ:69 ISMAEL PERDOMO</v>
          </cell>
          <cell r="R2485">
            <v>2846620</v>
          </cell>
          <cell r="S2485">
            <v>0</v>
          </cell>
          <cell r="T2485">
            <v>0</v>
          </cell>
          <cell r="U2485">
            <v>2846620</v>
          </cell>
          <cell r="V2485">
            <v>406660</v>
          </cell>
        </row>
        <row r="2486">
          <cell r="J2486">
            <v>2271</v>
          </cell>
          <cell r="K2486">
            <v>43279</v>
          </cell>
          <cell r="L2486" t="str">
            <v>MARIA DANIELA MORTIGO BOCANEGRA</v>
          </cell>
          <cell r="M2486">
            <v>31</v>
          </cell>
          <cell r="N2486" t="str">
            <v>RESOLUCION</v>
          </cell>
          <cell r="O2486">
            <v>2716</v>
          </cell>
          <cell r="P2486">
            <v>43279</v>
          </cell>
          <cell r="Q2486" t="str">
            <v>AYUDA TEMPORAL A LAS FAMILIAS DE VARIAS LOCALIDADES, PARA LA RELOCALIZACIÓN DE HOGARES LOCALIZADOS EN ZONAS DE ALTO RIESGO NO MITIGABLE ID:2011-18-13337, LOCALIDAD:18 RAFAEL URIBE URIBE, UPZ:54 MARRUECOS</v>
          </cell>
          <cell r="R2486">
            <v>914770</v>
          </cell>
          <cell r="S2486">
            <v>0</v>
          </cell>
          <cell r="T2486">
            <v>0</v>
          </cell>
          <cell r="U2486">
            <v>914770</v>
          </cell>
          <cell r="V2486">
            <v>457385</v>
          </cell>
        </row>
        <row r="2487">
          <cell r="J2487">
            <v>2272</v>
          </cell>
          <cell r="K2487">
            <v>43279</v>
          </cell>
          <cell r="L2487" t="str">
            <v>ANA MARIA JIMENEZ MARTINEZ</v>
          </cell>
          <cell r="M2487">
            <v>31</v>
          </cell>
          <cell r="N2487" t="str">
            <v>RESOLUCION</v>
          </cell>
          <cell r="O2487">
            <v>2633</v>
          </cell>
          <cell r="P2487">
            <v>43279</v>
          </cell>
          <cell r="Q2487" t="str">
            <v>AYUDA TEMPORAL A LAS FAMILIAS DE VARIAS LOCALIDADES, PARA LA RELOCALIZACIÓN DE HOGARES LOCALIZADOS EN ZONAS DE ALTO RIESGO NO MITIGABLE ID:2013-4-14643, LOCALIDAD:04 SAN CRISTÓBAL, UPZ:32 SAN BLAS</v>
          </cell>
          <cell r="R2487">
            <v>3619000</v>
          </cell>
          <cell r="S2487">
            <v>0</v>
          </cell>
          <cell r="T2487">
            <v>0</v>
          </cell>
          <cell r="U2487">
            <v>3619000</v>
          </cell>
          <cell r="V2487">
            <v>517000</v>
          </cell>
        </row>
        <row r="2488">
          <cell r="J2488">
            <v>2273</v>
          </cell>
          <cell r="K2488">
            <v>43279</v>
          </cell>
          <cell r="L2488" t="str">
            <v>JOEL ANTONIO VARELA LUGO</v>
          </cell>
          <cell r="M2488">
            <v>31</v>
          </cell>
          <cell r="N2488" t="str">
            <v>RESOLUCION</v>
          </cell>
          <cell r="O2488">
            <v>2632</v>
          </cell>
          <cell r="P2488">
            <v>43279</v>
          </cell>
          <cell r="Q2488" t="str">
            <v>AYUDA TEMPORAL A LAS FAMILIAS DE VARIAS LOCALIDADES, PARA LA RELOCALIZACIÓN DE HOGARES LOCALIZADOS EN ZONAS DE ALTO RIESGO NO MITIGABLE ID:2012-T314-16, LOCALIDAD:04 SAN CRISTÓBAL, UPZ:50 LA GLORIA</v>
          </cell>
          <cell r="R2488">
            <v>2723490</v>
          </cell>
          <cell r="S2488">
            <v>0</v>
          </cell>
          <cell r="T2488">
            <v>0</v>
          </cell>
          <cell r="U2488">
            <v>2723490</v>
          </cell>
          <cell r="V2488">
            <v>389070</v>
          </cell>
        </row>
        <row r="2489">
          <cell r="J2489">
            <v>2274</v>
          </cell>
          <cell r="K2489">
            <v>43279</v>
          </cell>
          <cell r="L2489" t="str">
            <v>NELSON  BERMUDEZ RAMIREZ</v>
          </cell>
          <cell r="M2489">
            <v>31</v>
          </cell>
          <cell r="N2489" t="str">
            <v>RESOLUCION</v>
          </cell>
          <cell r="O2489">
            <v>2715</v>
          </cell>
          <cell r="P2489">
            <v>43279</v>
          </cell>
          <cell r="Q2489" t="str">
            <v>AYUDA TEMPORAL A LAS FAMILIAS DE VARIAS LOCALIDADES, PARA LA RELOCALIZACIÓN DE HOGARES LOCALIZADOS EN ZONAS DE ALTO RIESGO NO MITIGABLE ID:2011-4-12636, LOCALIDAD:04 SAN CRISTÓBAL, UPZ:32 SAN BLAS</v>
          </cell>
          <cell r="R2489">
            <v>3022327</v>
          </cell>
          <cell r="S2489">
            <v>0</v>
          </cell>
          <cell r="T2489">
            <v>0</v>
          </cell>
          <cell r="U2489">
            <v>3022327</v>
          </cell>
          <cell r="V2489">
            <v>431761</v>
          </cell>
        </row>
        <row r="2490">
          <cell r="J2490">
            <v>2275</v>
          </cell>
          <cell r="K2490">
            <v>43279</v>
          </cell>
          <cell r="L2490" t="str">
            <v>BLANCA CONSUELO BEJARANO</v>
          </cell>
          <cell r="M2490">
            <v>31</v>
          </cell>
          <cell r="N2490" t="str">
            <v>RESOLUCION</v>
          </cell>
          <cell r="O2490">
            <v>2714</v>
          </cell>
          <cell r="P2490">
            <v>43279</v>
          </cell>
          <cell r="Q2490" t="str">
            <v>AYUDA TEMPORAL A LAS FAMILIAS DE VARIAS LOCALIDADES, PARA LA RELOCALIZACIÓN DE HOGARES LOCALIZADOS EN ZONAS DE ALTO RIESGO NO MITIGABLE ID:2005-4-6465, LOCALIDAD:04 SAN CRISTÓBAL, UPZ:51 LOS LIBERTADORES</v>
          </cell>
          <cell r="R2490">
            <v>2582006</v>
          </cell>
          <cell r="S2490">
            <v>0</v>
          </cell>
          <cell r="T2490">
            <v>0</v>
          </cell>
          <cell r="U2490">
            <v>2582006</v>
          </cell>
          <cell r="V2490">
            <v>368858</v>
          </cell>
        </row>
        <row r="2491">
          <cell r="J2491">
            <v>2276</v>
          </cell>
          <cell r="K2491">
            <v>43279</v>
          </cell>
          <cell r="L2491" t="str">
            <v>JAIME ORLANDO CHECA MORA</v>
          </cell>
          <cell r="M2491">
            <v>31</v>
          </cell>
          <cell r="N2491" t="str">
            <v>RESOLUCION</v>
          </cell>
          <cell r="O2491">
            <v>2631</v>
          </cell>
          <cell r="P2491">
            <v>43279</v>
          </cell>
          <cell r="Q2491" t="str">
            <v>AYUDA TEMPORAL A LAS FAMILIAS DE VARIAS LOCALIDADES, PARA LA RELOCALIZACIÓN DE HOGARES LOCALIZADOS EN ZONAS DE ALTO RIESGO NO MITIGABLE ID:2011-4-13653, LOCALIDAD:04 SAN CRISTÓBAL, UPZ:34 20 DE JULIO</v>
          </cell>
          <cell r="R2491">
            <v>2943493</v>
          </cell>
          <cell r="S2491">
            <v>0</v>
          </cell>
          <cell r="T2491">
            <v>0</v>
          </cell>
          <cell r="U2491">
            <v>2943493</v>
          </cell>
          <cell r="V2491">
            <v>420499</v>
          </cell>
        </row>
        <row r="2492">
          <cell r="J2492">
            <v>2277</v>
          </cell>
          <cell r="K2492">
            <v>43279</v>
          </cell>
          <cell r="L2492" t="str">
            <v>LUZ MARINA MESA MOLINA</v>
          </cell>
          <cell r="M2492">
            <v>31</v>
          </cell>
          <cell r="N2492" t="str">
            <v>RESOLUCION</v>
          </cell>
          <cell r="O2492">
            <v>2713</v>
          </cell>
          <cell r="P2492">
            <v>43279</v>
          </cell>
          <cell r="Q2492" t="str">
            <v>AYUDA TEMPORAL A LAS FAMILIAS DE VARIAS LOCALIDADES, PARA LA RELOCALIZACIÓN DE HOGARES LOCALIZADOS EN ZONAS DE ALTO RIESGO NO MITIGABLE ID:2007-4-10615, LOCALIDAD:04 SAN CRISTÓBAL, UPZ:34 20 DE JULIO</v>
          </cell>
          <cell r="R2492">
            <v>3201695</v>
          </cell>
          <cell r="S2492">
            <v>0</v>
          </cell>
          <cell r="T2492">
            <v>0</v>
          </cell>
          <cell r="U2492">
            <v>3201695</v>
          </cell>
          <cell r="V2492">
            <v>457385</v>
          </cell>
        </row>
        <row r="2493">
          <cell r="J2493">
            <v>2278</v>
          </cell>
          <cell r="K2493">
            <v>43279</v>
          </cell>
          <cell r="L2493" t="str">
            <v>ORFA MARIA MURCIA GUZMAN</v>
          </cell>
          <cell r="M2493">
            <v>31</v>
          </cell>
          <cell r="N2493" t="str">
            <v>RESOLUCION</v>
          </cell>
          <cell r="O2493">
            <v>2630</v>
          </cell>
          <cell r="P2493">
            <v>43279</v>
          </cell>
          <cell r="Q2493" t="str">
            <v>AYUDA TEMPORAL A LAS FAMILIAS DE VARIAS LOCALIDADES, PARA LA RELOCALIZACIÓN DE HOGARES LOCALIZADOS EN ZONAS DE ALTO RIESGO NO MITIGABLE ID:2013-Q21-00634, LOCALIDAD:19 CIUDAD BOLÍVAR, UPZ:67 LUCERO, SECTOR:BRAZO DERECHO DE LIMAS</v>
          </cell>
          <cell r="R2493">
            <v>2788569</v>
          </cell>
          <cell r="S2493">
            <v>0</v>
          </cell>
          <cell r="T2493">
            <v>0</v>
          </cell>
          <cell r="U2493">
            <v>2788569</v>
          </cell>
          <cell r="V2493">
            <v>398367</v>
          </cell>
        </row>
        <row r="2494">
          <cell r="J2494">
            <v>2279</v>
          </cell>
          <cell r="K2494">
            <v>43279</v>
          </cell>
          <cell r="L2494" t="str">
            <v>MARTHA CECILIA LASSO MACHADO</v>
          </cell>
          <cell r="M2494">
            <v>31</v>
          </cell>
          <cell r="N2494" t="str">
            <v>RESOLUCION</v>
          </cell>
          <cell r="O2494">
            <v>2712</v>
          </cell>
          <cell r="P2494">
            <v>43279</v>
          </cell>
          <cell r="Q2494" t="str">
            <v>AYUDA TEMPORAL A LAS FAMILIAS DE VARIAS LOCALIDADES, PARA LA RELOCALIZACIÓN DE HOGARES LOCALIZADOS EN ZONAS DE ALTO RIESGO NO MITIGABLE ID:2011-19-12867, LOCALIDAD:19 CIUDAD BOLÍVAR, UPZ:67 LUCERO</v>
          </cell>
          <cell r="R2494">
            <v>2924376</v>
          </cell>
          <cell r="S2494">
            <v>0</v>
          </cell>
          <cell r="T2494">
            <v>0</v>
          </cell>
          <cell r="U2494">
            <v>2924376</v>
          </cell>
          <cell r="V2494">
            <v>417768</v>
          </cell>
        </row>
        <row r="2495">
          <cell r="J2495">
            <v>2280</v>
          </cell>
          <cell r="K2495">
            <v>43279</v>
          </cell>
          <cell r="L2495" t="str">
            <v>LUIS CARLOS COY GUIO</v>
          </cell>
          <cell r="M2495">
            <v>31</v>
          </cell>
          <cell r="N2495" t="str">
            <v>RESOLUCION</v>
          </cell>
          <cell r="O2495">
            <v>2711</v>
          </cell>
          <cell r="P2495">
            <v>43279</v>
          </cell>
          <cell r="Q2495" t="str">
            <v>AYUDA TEMPORAL A LAS FAMILIAS DE VARIAS LOCALIDADES, PARA LA RELOCALIZACIÓN DE HOGARES LOCALIZADOS EN ZONAS DE ALTO RIESGO NO MITIGABLE ID:2011-4-12631, LOCALIDAD:04 SAN CRISTÓBAL, UPZ:32 SAN BLAS</v>
          </cell>
          <cell r="R2495">
            <v>2661239</v>
          </cell>
          <cell r="S2495">
            <v>0</v>
          </cell>
          <cell r="T2495">
            <v>0</v>
          </cell>
          <cell r="U2495">
            <v>2661239</v>
          </cell>
          <cell r="V2495">
            <v>380177</v>
          </cell>
        </row>
        <row r="2496">
          <cell r="J2496">
            <v>2281</v>
          </cell>
          <cell r="K2496">
            <v>43279</v>
          </cell>
          <cell r="L2496" t="str">
            <v>RUBELIA  JARAMILLO ATEHORTUA</v>
          </cell>
          <cell r="M2496">
            <v>31</v>
          </cell>
          <cell r="N2496" t="str">
            <v>RESOLUCION</v>
          </cell>
          <cell r="O2496">
            <v>2710</v>
          </cell>
          <cell r="P2496">
            <v>43279</v>
          </cell>
          <cell r="Q2496" t="str">
            <v>AYUDA TEMPORAL A LAS FAMILIAS DE VARIAS LOCALIDADES, PARA LA RELOCALIZACIÓN DE HOGARES LOCALIZADOS EN ZONAS DE ALTO RIESGO NO MITIGABLE ID:2014-C01-00687, LOCALIDAD:19 CIUDAD BOLÍVAR, UPZ:68 EL TESORO</v>
          </cell>
          <cell r="R2496">
            <v>2846046</v>
          </cell>
          <cell r="S2496">
            <v>0</v>
          </cell>
          <cell r="T2496">
            <v>0</v>
          </cell>
          <cell r="U2496">
            <v>2846046</v>
          </cell>
          <cell r="V2496">
            <v>406578</v>
          </cell>
        </row>
        <row r="2497">
          <cell r="J2497">
            <v>2282</v>
          </cell>
          <cell r="K2497">
            <v>43279</v>
          </cell>
          <cell r="L2497" t="str">
            <v>SANDRA PATRICIA ADAN</v>
          </cell>
          <cell r="M2497">
            <v>31</v>
          </cell>
          <cell r="N2497" t="str">
            <v>RESOLUCION</v>
          </cell>
          <cell r="O2497">
            <v>2709</v>
          </cell>
          <cell r="P2497">
            <v>43279</v>
          </cell>
          <cell r="Q2497" t="str">
            <v>AYUDA TEMPORAL A LAS FAMILIAS DE VARIAS LOCALIDADES, PARA LA RELOCALIZACIÓN DE HOGARES LOCALIZADOS EN ZONAS DE ALTO RIESGO NO MITIGABLE ID:2014-OTR-00870, LOCALIDAD:03 SANTA FE, UPZ:96 LOURDES, SECTOR:CASA 1</v>
          </cell>
          <cell r="R2497">
            <v>3606526</v>
          </cell>
          <cell r="S2497">
            <v>0</v>
          </cell>
          <cell r="T2497">
            <v>0</v>
          </cell>
          <cell r="U2497">
            <v>3606526</v>
          </cell>
          <cell r="V2497">
            <v>515218</v>
          </cell>
        </row>
        <row r="2498">
          <cell r="J2498">
            <v>2283</v>
          </cell>
          <cell r="K2498">
            <v>43279</v>
          </cell>
          <cell r="L2498" t="str">
            <v>MANUEL LIBARDO ARIAS MARQUEZ</v>
          </cell>
          <cell r="M2498">
            <v>31</v>
          </cell>
          <cell r="N2498" t="str">
            <v>RESOLUCION</v>
          </cell>
          <cell r="O2498">
            <v>2698</v>
          </cell>
          <cell r="P2498">
            <v>43279</v>
          </cell>
          <cell r="Q2498" t="str">
            <v>AYUDA TEMPORAL A LAS FAMILIAS DE VARIAS LOCALIDADES, PARA LA RELOCALIZACIÓN DE HOGARES LOCALIZADOS EN ZONAS DE ALTO RIESGO NO MITIGABLE ID:2007-19-9702, LOCALIDAD:19 CIUDAD BOLÍVAR, UPZ:69 ISMAEL PERDOMO</v>
          </cell>
          <cell r="R2498">
            <v>2582006</v>
          </cell>
          <cell r="S2498">
            <v>0</v>
          </cell>
          <cell r="T2498">
            <v>0</v>
          </cell>
          <cell r="U2498">
            <v>2582006</v>
          </cell>
          <cell r="V2498">
            <v>368858</v>
          </cell>
        </row>
        <row r="2499">
          <cell r="J2499">
            <v>2284</v>
          </cell>
          <cell r="K2499">
            <v>43279</v>
          </cell>
          <cell r="L2499" t="str">
            <v>ELVIRA  FAJARDO</v>
          </cell>
          <cell r="M2499">
            <v>31</v>
          </cell>
          <cell r="N2499" t="str">
            <v>RESOLUCION</v>
          </cell>
          <cell r="O2499">
            <v>2697</v>
          </cell>
          <cell r="P2499">
            <v>43279</v>
          </cell>
          <cell r="Q2499" t="str">
            <v>AYUDA TEMPORAL A LAS FAMILIAS DE VARIAS LOCALIDADES, PARA LA RELOCALIZACIÓN DE HOGARES LOCALIZADOS EN ZONAS DE ALTO RIESGO NO MITIGABLE ID:2013000529, LOCALIDAD:19 CIUDAD BOLÍVAR, UPZ:67 LUCERO, SECTOR:BRAZO DERECHO DE LIMAS</v>
          </cell>
          <cell r="R2499">
            <v>3773399</v>
          </cell>
          <cell r="S2499">
            <v>0</v>
          </cell>
          <cell r="T2499">
            <v>0</v>
          </cell>
          <cell r="U2499">
            <v>3773399</v>
          </cell>
          <cell r="V2499">
            <v>539057</v>
          </cell>
        </row>
        <row r="2500">
          <cell r="J2500">
            <v>2285</v>
          </cell>
          <cell r="K2500">
            <v>43279</v>
          </cell>
          <cell r="L2500" t="str">
            <v>ANA MILENA JIMENEZ VARGAS</v>
          </cell>
          <cell r="M2500">
            <v>31</v>
          </cell>
          <cell r="N2500" t="str">
            <v>RESOLUCION</v>
          </cell>
          <cell r="O2500">
            <v>2708</v>
          </cell>
          <cell r="P2500">
            <v>43279</v>
          </cell>
          <cell r="Q2500" t="str">
            <v>AYUDA TEMPORAL A LAS FAMILIAS DE VARIAS LOCALIDADES, PARA LA RELOCALIZACIÓN DE HOGARES LOCALIZADOS EN ZONAS DE ALTO RIESGO NO MITIGABLE ID:2014-OTR-00867, LOCALIDAD:03 SANTA FE, UPZ:96 LOURDES, SECTOR:CASA 1</v>
          </cell>
          <cell r="R2500">
            <v>2975525</v>
          </cell>
          <cell r="S2500">
            <v>0</v>
          </cell>
          <cell r="T2500">
            <v>0</v>
          </cell>
          <cell r="U2500">
            <v>2975525</v>
          </cell>
          <cell r="V2500">
            <v>425075</v>
          </cell>
        </row>
        <row r="2501">
          <cell r="J2501">
            <v>2286</v>
          </cell>
          <cell r="K2501">
            <v>43279</v>
          </cell>
          <cell r="L2501" t="str">
            <v>MARIA WFELMIDA ANZOLA GALINDO</v>
          </cell>
          <cell r="M2501">
            <v>31</v>
          </cell>
          <cell r="N2501" t="str">
            <v>RESOLUCION</v>
          </cell>
          <cell r="O2501">
            <v>2696</v>
          </cell>
          <cell r="P2501">
            <v>43279</v>
          </cell>
          <cell r="Q2501" t="str">
            <v>AYUDA TEMPORAL A LAS FAMILIAS DE VARIAS LOCALIDADES, PARA LA RELOCALIZACIÓN DE HOGARES LOCALIZADOS EN ZONAS DE ALTO RIESGO NO MITIGABLE ID:2012-19-14192, LOCALIDAD:19 CIUDAD BOLÍVAR, UPZ:68 EL TESORO, SECTOR:QUEBRADA TROMPETA</v>
          </cell>
          <cell r="R2501">
            <v>2582006</v>
          </cell>
          <cell r="S2501">
            <v>0</v>
          </cell>
          <cell r="T2501">
            <v>0</v>
          </cell>
          <cell r="U2501">
            <v>2582006</v>
          </cell>
          <cell r="V2501">
            <v>368858</v>
          </cell>
        </row>
        <row r="2502">
          <cell r="J2502">
            <v>2287</v>
          </cell>
          <cell r="K2502">
            <v>43279</v>
          </cell>
          <cell r="L2502" t="str">
            <v>ADRIANA PATRICIA QUIÑONES BUSTOS</v>
          </cell>
          <cell r="M2502">
            <v>31</v>
          </cell>
          <cell r="N2502" t="str">
            <v>RESOLUCION</v>
          </cell>
          <cell r="O2502">
            <v>2707</v>
          </cell>
          <cell r="P2502">
            <v>43279</v>
          </cell>
          <cell r="Q2502" t="str">
            <v>AYUDA TEMPORAL A LAS FAMILIAS DE VARIAS LOCALIDADES, PARA LA RELOCALIZACIÓN DE HOGARES LOCALIZADOS EN ZONAS DE ALTO RIESGO NO MITIGABLE ID:2013-Q04-00528, LOCALIDAD:19 CIUDAD BOLÍVAR, UPZ:67 LUCERO, SECTOR:PEÑA COLORADA</v>
          </cell>
          <cell r="R2502">
            <v>3788778</v>
          </cell>
          <cell r="S2502">
            <v>0</v>
          </cell>
          <cell r="T2502">
            <v>0</v>
          </cell>
          <cell r="U2502">
            <v>3788778</v>
          </cell>
          <cell r="V2502">
            <v>541254</v>
          </cell>
        </row>
        <row r="2503">
          <cell r="J2503">
            <v>2288</v>
          </cell>
          <cell r="K2503">
            <v>43279</v>
          </cell>
          <cell r="L2503" t="str">
            <v>CILVINA  RODRIGUEZ ROMERO</v>
          </cell>
          <cell r="M2503">
            <v>31</v>
          </cell>
          <cell r="N2503" t="str">
            <v>RESOLUCION</v>
          </cell>
          <cell r="O2503">
            <v>2695</v>
          </cell>
          <cell r="P2503">
            <v>43279</v>
          </cell>
          <cell r="Q2503" t="str">
            <v>AYUDA TEMPORAL A LAS FAMILIAS DE VARIAS LOCALIDADES, PARA LA RELOCALIZACIÓN DE HOGARES LOCALIZADOS EN ZONAS DE ALTO RIESGO NO MITIGABLE ID:2011-4-12707, LOCALIDAD:04 SAN CRISTÓBAL, UPZ:32 SAN BLAS</v>
          </cell>
          <cell r="R2503">
            <v>2977345</v>
          </cell>
          <cell r="S2503">
            <v>0</v>
          </cell>
          <cell r="T2503">
            <v>0</v>
          </cell>
          <cell r="U2503">
            <v>2977345</v>
          </cell>
          <cell r="V2503">
            <v>425335</v>
          </cell>
        </row>
        <row r="2504">
          <cell r="J2504">
            <v>2289</v>
          </cell>
          <cell r="K2504">
            <v>43279</v>
          </cell>
          <cell r="L2504" t="str">
            <v>ROSARIO  PINO PEREZ</v>
          </cell>
          <cell r="M2504">
            <v>31</v>
          </cell>
          <cell r="N2504" t="str">
            <v>RESOLUCION</v>
          </cell>
          <cell r="O2504">
            <v>2694</v>
          </cell>
          <cell r="P2504">
            <v>43279</v>
          </cell>
          <cell r="Q2504" t="str">
            <v>AYUDA TEMPORAL A LAS FAMILIAS DE VARIAS LOCALIDADES, PARA LA RELOCALIZACIÓN DE HOGARES LOCALIZADOS EN ZONAS DE ALTO RIESGO NO MITIGABLE ID:2012-T314-03, LOCALIDAD:04 SAN CRISTÓBAL, UPZ:50 LA GLORIA</v>
          </cell>
          <cell r="R2504">
            <v>2582006</v>
          </cell>
          <cell r="S2504">
            <v>0</v>
          </cell>
          <cell r="T2504">
            <v>0</v>
          </cell>
          <cell r="U2504">
            <v>2582006</v>
          </cell>
          <cell r="V2504">
            <v>368858</v>
          </cell>
        </row>
        <row r="2505">
          <cell r="J2505">
            <v>2290</v>
          </cell>
          <cell r="K2505">
            <v>43279</v>
          </cell>
          <cell r="L2505" t="str">
            <v>YURI ALEJANDRA VISCAYA COPAJITA</v>
          </cell>
          <cell r="M2505">
            <v>31</v>
          </cell>
          <cell r="N2505" t="str">
            <v>RESOLUCION</v>
          </cell>
          <cell r="O2505">
            <v>2693</v>
          </cell>
          <cell r="P2505">
            <v>43279</v>
          </cell>
          <cell r="Q2505" t="str">
            <v>AYUDA TEMPORAL A LAS FAMILIAS DE VARIAS LOCALIDADES, PARA LA RELOCALIZACIÓN DE HOGARES LOCALIZADOS EN ZONAS DE ALTO RIESGO NO MITIGABLE ID:2014-OTR-01214, LOCALIDAD:11 SUBA, UPZ:71 TIBABUYES, SECTOR:GAVILANES</v>
          </cell>
          <cell r="R2505">
            <v>2975525</v>
          </cell>
          <cell r="S2505">
            <v>0</v>
          </cell>
          <cell r="T2505">
            <v>0</v>
          </cell>
          <cell r="U2505">
            <v>2975525</v>
          </cell>
          <cell r="V2505">
            <v>425075</v>
          </cell>
        </row>
        <row r="2506">
          <cell r="J2506">
            <v>2291</v>
          </cell>
          <cell r="K2506">
            <v>43279</v>
          </cell>
          <cell r="L2506" t="str">
            <v>GERTRUDIS  MORALES TOMBE</v>
          </cell>
          <cell r="M2506">
            <v>31</v>
          </cell>
          <cell r="N2506" t="str">
            <v>RESOLUCION</v>
          </cell>
          <cell r="O2506">
            <v>2706</v>
          </cell>
          <cell r="P2506">
            <v>43279</v>
          </cell>
          <cell r="Q2506" t="str">
            <v>AYUDA TEMPORAL A LAS FAMILIAS DE VARIAS LOCALIDADES, PARA LA RELOCALIZACIÓN DE HOGARES LOCALIZADOS EN ZONAS DE ALTO RIESGO NO MITIGABLE ID:2013-Q09-00429, LOCALIDAD:19 CIUDAD BOLÍVAR, UPZ:67 LUCERO, SECTOR:QUEBRADA TROMPETA</v>
          </cell>
          <cell r="R2506">
            <v>3459890</v>
          </cell>
          <cell r="S2506">
            <v>0</v>
          </cell>
          <cell r="T2506">
            <v>0</v>
          </cell>
          <cell r="U2506">
            <v>3459890</v>
          </cell>
          <cell r="V2506">
            <v>494270</v>
          </cell>
        </row>
        <row r="2507">
          <cell r="J2507">
            <v>2292</v>
          </cell>
          <cell r="K2507">
            <v>43279</v>
          </cell>
          <cell r="L2507" t="str">
            <v>GEIMAR ARLEY NIÑO SANCHEZ</v>
          </cell>
          <cell r="M2507">
            <v>31</v>
          </cell>
          <cell r="N2507" t="str">
            <v>RESOLUCION</v>
          </cell>
          <cell r="O2507">
            <v>2692</v>
          </cell>
          <cell r="P2507">
            <v>43279</v>
          </cell>
          <cell r="Q2507" t="str">
            <v>AYUDA TEMPORAL A LAS FAMILIAS DE VARIAS LOCALIDADES, PARA LA RELOCALIZACIÓN DE HOGARES LOCALIZADOS EN ZONAS DE ALTO RIESGO NO MITIGABLE ID:2014-Q03-01077, LOCALIDAD:19 CIUDAD BOLÍVAR, UPZ:66 SAN FRANCISCO, SECTOR:LIMAS</v>
          </cell>
          <cell r="R2507">
            <v>3712008</v>
          </cell>
          <cell r="S2507">
            <v>0</v>
          </cell>
          <cell r="T2507">
            <v>0</v>
          </cell>
          <cell r="U2507">
            <v>3712008</v>
          </cell>
          <cell r="V2507">
            <v>464001</v>
          </cell>
        </row>
        <row r="2508">
          <cell r="J2508">
            <v>2293</v>
          </cell>
          <cell r="K2508">
            <v>43279</v>
          </cell>
          <cell r="L2508" t="str">
            <v>ORLANDO  COTRINA COTRINA</v>
          </cell>
          <cell r="M2508">
            <v>31</v>
          </cell>
          <cell r="N2508" t="str">
            <v>RESOLUCION</v>
          </cell>
          <cell r="O2508">
            <v>2691</v>
          </cell>
          <cell r="P2508">
            <v>43279</v>
          </cell>
          <cell r="Q2508" t="str">
            <v>AYUDA TEMPORAL A LAS FAMILIAS DE VARIAS LOCALIDADES, PARA LA RELOCALIZACIÓN DE HOGARES LOCALIZADOS EN ZONAS DE ALTO RIESGO NO MITIGABLE ID:2015-Q03-03408, LOCALIDAD:19 CIUDAD BOLÍVAR, UPZ:66 SAN FRANCISCO, SECTOR:LIMAS</v>
          </cell>
          <cell r="R2508">
            <v>2685291</v>
          </cell>
          <cell r="S2508">
            <v>0</v>
          </cell>
          <cell r="T2508">
            <v>0</v>
          </cell>
          <cell r="U2508">
            <v>2685291</v>
          </cell>
          <cell r="V2508">
            <v>383613</v>
          </cell>
        </row>
        <row r="2509">
          <cell r="J2509">
            <v>2294</v>
          </cell>
          <cell r="K2509">
            <v>43279</v>
          </cell>
          <cell r="L2509" t="str">
            <v>NUBIA ENID MENDEZ CORREDOR</v>
          </cell>
          <cell r="M2509">
            <v>31</v>
          </cell>
          <cell r="N2509" t="str">
            <v>RESOLUCION</v>
          </cell>
          <cell r="O2509">
            <v>2629</v>
          </cell>
          <cell r="P2509">
            <v>43279</v>
          </cell>
          <cell r="Q2509" t="str">
            <v>AYUDA TEMPORAL A LAS FAMILIAS DE VARIAS LOCALIDADES, PARA LA RELOCALIZACIÓN DE HOGARES LOCALIZADOS EN ZONAS DE ALTO RIESGO NO MITIGABLE ID:2014-LC-00812, LOCALIDAD:19 CIUDAD BOLÍVAR, UPZ:69 ISMAEL PERDOMO</v>
          </cell>
          <cell r="R2509">
            <v>3363360</v>
          </cell>
          <cell r="S2509">
            <v>0</v>
          </cell>
          <cell r="T2509">
            <v>0</v>
          </cell>
          <cell r="U2509">
            <v>3363360</v>
          </cell>
          <cell r="V2509">
            <v>480480</v>
          </cell>
        </row>
        <row r="2510">
          <cell r="J2510">
            <v>2295</v>
          </cell>
          <cell r="K2510">
            <v>43279</v>
          </cell>
          <cell r="L2510" t="str">
            <v>LIDIA RUTH DAZA BUSTOS</v>
          </cell>
          <cell r="M2510">
            <v>31</v>
          </cell>
          <cell r="N2510" t="str">
            <v>RESOLUCION</v>
          </cell>
          <cell r="O2510">
            <v>2690</v>
          </cell>
          <cell r="P2510">
            <v>43279</v>
          </cell>
          <cell r="Q2510" t="str">
            <v>AYUDA TEMPORAL A LAS FAMILIAS DE VARIAS LOCALIDADES, PARA LA RELOCALIZACIÓN DE HOGARES LOCALIZADOS EN ZONAS DE ALTO RIESGO NO MITIGABLE ID:2014-Q04-00915, LOCALIDAD:19 CIUDAD BOLÍVAR, UPZ:67 LUCERO, SECTOR:PEÑA COLORADA</v>
          </cell>
          <cell r="R2510">
            <v>3098403</v>
          </cell>
          <cell r="S2510">
            <v>0</v>
          </cell>
          <cell r="T2510">
            <v>0</v>
          </cell>
          <cell r="U2510">
            <v>3098403</v>
          </cell>
          <cell r="V2510">
            <v>442629</v>
          </cell>
        </row>
        <row r="2511">
          <cell r="J2511">
            <v>2296</v>
          </cell>
          <cell r="K2511">
            <v>43279</v>
          </cell>
          <cell r="L2511" t="str">
            <v>ROSA ELENA GUTIERREZ</v>
          </cell>
          <cell r="M2511">
            <v>31</v>
          </cell>
          <cell r="N2511" t="str">
            <v>RESOLUCION</v>
          </cell>
          <cell r="O2511">
            <v>2705</v>
          </cell>
          <cell r="P2511">
            <v>43279</v>
          </cell>
          <cell r="Q2511" t="str">
            <v>AYUDA TEMPORAL A LAS FAMILIAS DE VARIAS LOCALIDADES, PARA LA RELOCALIZACIÓN DE HOGARES LOCALIZADOS EN ZONAS DE ALTO RIESGO NO MITIGABLE ID:2011-4-12651, LOCALIDAD:04 SAN CRISTÓBAL, UPZ:32 SAN BLAS</v>
          </cell>
          <cell r="R2511">
            <v>2661239</v>
          </cell>
          <cell r="S2511">
            <v>0</v>
          </cell>
          <cell r="T2511">
            <v>0</v>
          </cell>
          <cell r="U2511">
            <v>2661239</v>
          </cell>
          <cell r="V2511">
            <v>380177</v>
          </cell>
        </row>
        <row r="2512">
          <cell r="J2512">
            <v>2297</v>
          </cell>
          <cell r="K2512">
            <v>43279</v>
          </cell>
          <cell r="L2512" t="str">
            <v>ALBENIS  TORRES</v>
          </cell>
          <cell r="M2512">
            <v>31</v>
          </cell>
          <cell r="N2512" t="str">
            <v>RESOLUCION</v>
          </cell>
          <cell r="O2512">
            <v>2628</v>
          </cell>
          <cell r="P2512">
            <v>43279</v>
          </cell>
          <cell r="Q2512" t="str">
            <v>AYUDA TEMPORAL A LAS FAMILIAS DE VARIAS LOCALIDADES, PARA LA RELOCALIZACIÓN DE HOGARES LOCALIZADOS EN ZONAS DE ALTO RIESGO NO MITIGABLE ID:2013-Q10-00213, LOCALIDAD:04 SAN CRISTÓBAL, UPZ:51 LOS LIBERTADORES, SECTOR:QUEBRADA VEREJONES</v>
          </cell>
          <cell r="R2512">
            <v>2887073</v>
          </cell>
          <cell r="S2512">
            <v>0</v>
          </cell>
          <cell r="T2512">
            <v>0</v>
          </cell>
          <cell r="U2512">
            <v>2887073</v>
          </cell>
          <cell r="V2512">
            <v>412439</v>
          </cell>
        </row>
        <row r="2513">
          <cell r="J2513">
            <v>2298</v>
          </cell>
          <cell r="K2513">
            <v>43279</v>
          </cell>
          <cell r="L2513" t="str">
            <v>EDGAR  FRANCO GAONA</v>
          </cell>
          <cell r="M2513">
            <v>31</v>
          </cell>
          <cell r="N2513" t="str">
            <v>RESOLUCION</v>
          </cell>
          <cell r="O2513">
            <v>2689</v>
          </cell>
          <cell r="P2513">
            <v>43279</v>
          </cell>
          <cell r="Q2513" t="str">
            <v>AYUDA TEMPORAL A LAS FAMILIAS DE VARIAS LOCALIDADES, PARA LA RELOCALIZACIÓN DE HOGARES LOCALIZADOS EN ZONAS DE ALTO RIESGO NO MITIGABLE ID:2013-19-14624, LOCALIDAD:19 CIUDAD BOLÍVAR, UPZ:68 EL TESORO</v>
          </cell>
          <cell r="R2513">
            <v>2661659</v>
          </cell>
          <cell r="S2513">
            <v>0</v>
          </cell>
          <cell r="T2513">
            <v>0</v>
          </cell>
          <cell r="U2513">
            <v>2661659</v>
          </cell>
          <cell r="V2513">
            <v>380237</v>
          </cell>
        </row>
        <row r="2514">
          <cell r="J2514">
            <v>2299</v>
          </cell>
          <cell r="K2514">
            <v>43279</v>
          </cell>
          <cell r="L2514" t="str">
            <v>GUSTAVO  PARRA CORTES</v>
          </cell>
          <cell r="M2514">
            <v>31</v>
          </cell>
          <cell r="N2514" t="str">
            <v>RESOLUCION</v>
          </cell>
          <cell r="O2514">
            <v>2627</v>
          </cell>
          <cell r="P2514">
            <v>43279</v>
          </cell>
          <cell r="Q2514" t="str">
            <v>AYUDA TEMPORAL A LAS FAMILIAS DE VARIAS LOCALIDADES, PARA LA RELOCALIZACIÓN DE HOGARES LOCALIZADOS EN ZONAS DE ALTO RIESGO NO MITIGABLE ID:2013-Q09-00082, LOCALIDAD:19 CIUDAD BOLÍVAR, UPZ:67 LUCERO, SECTOR:QUEBRADA HONDA</v>
          </cell>
          <cell r="R2514">
            <v>3098410</v>
          </cell>
          <cell r="S2514">
            <v>0</v>
          </cell>
          <cell r="T2514">
            <v>0</v>
          </cell>
          <cell r="U2514">
            <v>3098410</v>
          </cell>
          <cell r="V2514">
            <v>442630</v>
          </cell>
        </row>
        <row r="2515">
          <cell r="J2515">
            <v>2300</v>
          </cell>
          <cell r="K2515">
            <v>43279</v>
          </cell>
          <cell r="L2515" t="str">
            <v>SILVIA ESPERANZA ALDANA PULIDO</v>
          </cell>
          <cell r="M2515">
            <v>31</v>
          </cell>
          <cell r="N2515" t="str">
            <v>RESOLUCION</v>
          </cell>
          <cell r="O2515">
            <v>2688</v>
          </cell>
          <cell r="P2515">
            <v>43279</v>
          </cell>
          <cell r="Q2515" t="str">
            <v>AYUDA TEMPORAL A LAS FAMILIAS DE VARIAS LOCALIDADES, PARA LA RELOCALIZACIÓN DE HOGARES LOCALIZADOS EN ZONAS DE ALTO RIESGO NO MITIGABLE ID:2012-T314-12, LOCALIDAD:04 SAN CRISTÓBAL, UPZ:50 LA GLORIA</v>
          </cell>
          <cell r="R2515">
            <v>2723490</v>
          </cell>
          <cell r="S2515">
            <v>0</v>
          </cell>
          <cell r="T2515">
            <v>0</v>
          </cell>
          <cell r="U2515">
            <v>2723490</v>
          </cell>
          <cell r="V2515">
            <v>389070</v>
          </cell>
        </row>
        <row r="2516">
          <cell r="J2516">
            <v>2301</v>
          </cell>
          <cell r="K2516">
            <v>43279</v>
          </cell>
          <cell r="L2516" t="str">
            <v>OSWALDO ANTONIO GARCIA GOMEZ</v>
          </cell>
          <cell r="M2516">
            <v>31</v>
          </cell>
          <cell r="N2516" t="str">
            <v>RESOLUCION</v>
          </cell>
          <cell r="O2516">
            <v>2704</v>
          </cell>
          <cell r="P2516">
            <v>43279</v>
          </cell>
          <cell r="Q2516" t="str">
            <v>AYUDA TEMPORAL A LAS FAMILIAS DE VARIAS LOCALIDADES, PARA LA RELOCALIZACIÓN DE HOGARES LOCALIZADOS EN ZONAS DE ALTO RIESGO NO MITIGABLE ID:2011-4-12691, LOCALIDAD:04 SAN CRISTÓBAL, UPZ:32 SAN BLAS</v>
          </cell>
          <cell r="R2516">
            <v>3608675</v>
          </cell>
          <cell r="S2516">
            <v>0</v>
          </cell>
          <cell r="T2516">
            <v>0</v>
          </cell>
          <cell r="U2516">
            <v>3608675</v>
          </cell>
          <cell r="V2516">
            <v>515525</v>
          </cell>
        </row>
        <row r="2517">
          <cell r="J2517">
            <v>2302</v>
          </cell>
          <cell r="K2517">
            <v>43279</v>
          </cell>
          <cell r="L2517" t="str">
            <v>MARIA DEL CARMEN MANCILLA LADINO</v>
          </cell>
          <cell r="M2517">
            <v>31</v>
          </cell>
          <cell r="N2517" t="str">
            <v>RESOLUCION</v>
          </cell>
          <cell r="O2517">
            <v>2626</v>
          </cell>
          <cell r="P2517">
            <v>43279</v>
          </cell>
          <cell r="Q2517" t="str">
            <v>AYUDA TEMPORAL A LAS FAMILIAS DE VARIAS LOCALIDADES, PARA LA RELOCALIZACIÓN DE HOGARES LOCALIZADOS EN ZONAS DE ALTO RIESGO NO MITIGABLE ID:2013-Q04-00299, LOCALIDAD:19 CIUDAD BOLÍVAR, UPZ:67 LUCERO, SECTOR:PEÑA COLORADA</v>
          </cell>
          <cell r="R2517">
            <v>3017000</v>
          </cell>
          <cell r="S2517">
            <v>0</v>
          </cell>
          <cell r="T2517">
            <v>0</v>
          </cell>
          <cell r="U2517">
            <v>3017000</v>
          </cell>
          <cell r="V2517">
            <v>431000</v>
          </cell>
        </row>
        <row r="2518">
          <cell r="J2518">
            <v>2303</v>
          </cell>
          <cell r="K2518">
            <v>43279</v>
          </cell>
          <cell r="L2518" t="str">
            <v>ALBA RUBI TORRES FORERO</v>
          </cell>
          <cell r="M2518">
            <v>31</v>
          </cell>
          <cell r="N2518" t="str">
            <v>RESOLUCION</v>
          </cell>
          <cell r="O2518">
            <v>2687</v>
          </cell>
          <cell r="P2518">
            <v>43279</v>
          </cell>
          <cell r="Q2518" t="str">
            <v>AYUDA TEMPORAL A LAS FAMILIAS DE VARIAS LOCALIDADES, PARA LA RELOCALIZACIÓN DE HOGARES LOCALIZADOS EN ZONAS DE ALTO RIESGO NO MITIGABLE ID:2014-5-14734, LOCALIDAD:05 USME, UPZ:57 GRAN YOMASA</v>
          </cell>
          <cell r="R2518">
            <v>3038112</v>
          </cell>
          <cell r="S2518">
            <v>0</v>
          </cell>
          <cell r="T2518">
            <v>0</v>
          </cell>
          <cell r="U2518">
            <v>3038112</v>
          </cell>
          <cell r="V2518">
            <v>434016</v>
          </cell>
        </row>
        <row r="2519">
          <cell r="J2519">
            <v>2304</v>
          </cell>
          <cell r="K2519">
            <v>43279</v>
          </cell>
          <cell r="L2519" t="str">
            <v>LUZ MARINA TUNJUELO BARBOSA</v>
          </cell>
          <cell r="M2519">
            <v>31</v>
          </cell>
          <cell r="N2519" t="str">
            <v>RESOLUCION</v>
          </cell>
          <cell r="O2519">
            <v>2703</v>
          </cell>
          <cell r="P2519">
            <v>43279</v>
          </cell>
          <cell r="Q2519" t="str">
            <v>AYUDA TEMPORAL A LAS FAMILIAS DE VARIAS LOCALIDADES, PARA LA RELOCALIZACIÓN DE HOGARES LOCALIZADOS EN ZONAS DE ALTO RIESGO NO MITIGABLE ID:2011-4-12662, LOCALIDAD:04 SAN CRISTÓBAL, UPZ:32 SAN BLAS</v>
          </cell>
          <cell r="R2519">
            <v>3022327</v>
          </cell>
          <cell r="S2519">
            <v>0</v>
          </cell>
          <cell r="T2519">
            <v>0</v>
          </cell>
          <cell r="U2519">
            <v>3022327</v>
          </cell>
          <cell r="V2519">
            <v>431761</v>
          </cell>
        </row>
        <row r="2520">
          <cell r="J2520">
            <v>2305</v>
          </cell>
          <cell r="K2520">
            <v>43279</v>
          </cell>
          <cell r="L2520" t="str">
            <v>ELIANA PATRICIA MORENO ARDILA</v>
          </cell>
          <cell r="M2520">
            <v>31</v>
          </cell>
          <cell r="N2520" t="str">
            <v>RESOLUCION</v>
          </cell>
          <cell r="O2520">
            <v>2686</v>
          </cell>
          <cell r="P2520">
            <v>43279</v>
          </cell>
          <cell r="Q2520" t="str">
            <v>AYUDA TEMPORAL A LAS FAMILIAS DE VARIAS LOCALIDADES, PARA LA RELOCALIZACIÓN DE HOGARES LOCALIZADOS EN ZONAS DE ALTO RIESGO NO MITIGABLE ID:2013-Q10-00650, LOCALIDAD:04 SAN CRISTÓBAL, UPZ:51 LOS LIBERTADORES, SECTOR:QUEBRADA VEREJONES</v>
          </cell>
          <cell r="R2520">
            <v>3017000</v>
          </cell>
          <cell r="S2520">
            <v>0</v>
          </cell>
          <cell r="T2520">
            <v>0</v>
          </cell>
          <cell r="U2520">
            <v>3017000</v>
          </cell>
          <cell r="V2520">
            <v>431000</v>
          </cell>
        </row>
        <row r="2521">
          <cell r="J2521">
            <v>2306</v>
          </cell>
          <cell r="K2521">
            <v>43279</v>
          </cell>
          <cell r="L2521" t="str">
            <v>GLADYS  OCAMPO ESPINOSA</v>
          </cell>
          <cell r="M2521">
            <v>31</v>
          </cell>
          <cell r="N2521" t="str">
            <v>RESOLUCION</v>
          </cell>
          <cell r="O2521">
            <v>2702</v>
          </cell>
          <cell r="P2521">
            <v>43279</v>
          </cell>
          <cell r="Q2521" t="str">
            <v>AYUDA TEMPORAL A LAS FAMILIAS DE VARIAS LOCALIDADES, PARA LA RELOCALIZACIÓN DE HOGARES LOCALIZADOS EN ZONAS DE ALTO RIESGO NO MITIGABLE ID:2014-Q01-01064, LOCALIDAD:05 USME, UPZ:56 DANUBIO, SECTOR:HOYA DEL RAMO</v>
          </cell>
          <cell r="R2521">
            <v>4131218</v>
          </cell>
          <cell r="S2521">
            <v>0</v>
          </cell>
          <cell r="T2521">
            <v>0</v>
          </cell>
          <cell r="U2521">
            <v>4131218</v>
          </cell>
          <cell r="V2521">
            <v>590174</v>
          </cell>
        </row>
        <row r="2522">
          <cell r="J2522">
            <v>2307</v>
          </cell>
          <cell r="K2522">
            <v>43279</v>
          </cell>
          <cell r="L2522" t="str">
            <v>ADRIANA  SIERRA</v>
          </cell>
          <cell r="M2522">
            <v>31</v>
          </cell>
          <cell r="N2522" t="str">
            <v>RESOLUCION</v>
          </cell>
          <cell r="O2522">
            <v>2685</v>
          </cell>
          <cell r="P2522">
            <v>43279</v>
          </cell>
          <cell r="Q2522" t="str">
            <v>AYUDA TEMPORAL A LAS FAMILIAS DE VARIAS LOCALIDADES, PARA LA RELOCALIZACIÓN DE HOGARES LOCALIZADOS EN ZONAS DE ALTO RIESGO NO MITIGABLE ID:2014-OTR-00952, LOCALIDAD:19 CIUDAD BOLÍVAR, UPZ:67 LUCERO, SECTOR:TABOR ALTALOMA</v>
          </cell>
          <cell r="R2522">
            <v>3017000</v>
          </cell>
          <cell r="S2522">
            <v>0</v>
          </cell>
          <cell r="T2522">
            <v>0</v>
          </cell>
          <cell r="U2522">
            <v>3017000</v>
          </cell>
          <cell r="V2522">
            <v>431000</v>
          </cell>
        </row>
        <row r="2523">
          <cell r="J2523">
            <v>2308</v>
          </cell>
          <cell r="K2523">
            <v>43279</v>
          </cell>
          <cell r="L2523" t="str">
            <v>HEIDY CAROLINA CONTRERAS GONZALEZ</v>
          </cell>
          <cell r="M2523">
            <v>31</v>
          </cell>
          <cell r="N2523" t="str">
            <v>RESOLUCION</v>
          </cell>
          <cell r="O2523">
            <v>2670</v>
          </cell>
          <cell r="P2523">
            <v>43279</v>
          </cell>
          <cell r="Q2523" t="str">
            <v>AYUDA TEMPORAL A LAS FAMILIAS DE VARIAS LOCALIDADES, PARA LA RELOCALIZACIÓN DE HOGARES LOCALIZADOS EN ZONAS DE ALTO RIESGO NO MITIGABLE ID:2014-OTR-01216, LOCALIDAD:11 SUBA, UPZ:71 TIBABUYES, SECTOR:GAVILANES</v>
          </cell>
          <cell r="R2523">
            <v>3873016</v>
          </cell>
          <cell r="S2523">
            <v>0</v>
          </cell>
          <cell r="T2523">
            <v>0</v>
          </cell>
          <cell r="U2523">
            <v>3873016</v>
          </cell>
          <cell r="V2523">
            <v>553288</v>
          </cell>
        </row>
        <row r="2524">
          <cell r="J2524">
            <v>2309</v>
          </cell>
          <cell r="K2524">
            <v>43279</v>
          </cell>
          <cell r="L2524" t="str">
            <v>MARIA ALEJANDRA SANCHEZ MENESES</v>
          </cell>
          <cell r="M2524">
            <v>31</v>
          </cell>
          <cell r="N2524" t="str">
            <v>RESOLUCION</v>
          </cell>
          <cell r="O2524">
            <v>2684</v>
          </cell>
          <cell r="P2524">
            <v>43279</v>
          </cell>
          <cell r="Q2524" t="str">
            <v>AYUDA TEMPORAL A LAS FAMILIAS DE VARIAS LOCALIDADES, PARA LA RELOCALIZACIÓN DE HOGARES LOCALIZADOS EN ZONAS DE ALTO RIESGO NO MITIGABLE ID:2014-OTR-01167, LOCALIDAD:11 SUBA, UPZ:71 TIBABUYES, SECTOR:GAVILANES</v>
          </cell>
          <cell r="R2524">
            <v>3017000</v>
          </cell>
          <cell r="S2524">
            <v>0</v>
          </cell>
          <cell r="T2524">
            <v>0</v>
          </cell>
          <cell r="U2524">
            <v>3017000</v>
          </cell>
          <cell r="V2524">
            <v>431000</v>
          </cell>
        </row>
        <row r="2525">
          <cell r="J2525">
            <v>2310</v>
          </cell>
          <cell r="K2525">
            <v>43279</v>
          </cell>
          <cell r="L2525" t="str">
            <v>DIEGO FERNANDO TOCANCIPA CORREA</v>
          </cell>
          <cell r="M2525">
            <v>31</v>
          </cell>
          <cell r="N2525" t="str">
            <v>RESOLUCION</v>
          </cell>
          <cell r="O2525">
            <v>2669</v>
          </cell>
          <cell r="P2525">
            <v>43279</v>
          </cell>
          <cell r="Q2525" t="str">
            <v>AYUDA TEMPORAL A LAS FAMILIAS DE VARIAS LOCALIDADES, PARA LA RELOCALIZACIÓN DE HOGARES LOCALIZADOS EN ZONAS DE ALTO RIESGO NO MITIGABLE ID:2016-4-00007, LOCALIDAD:04 SAN CRISTÓBAL, UPZ:32 SAN BLAS, SECTOR:TRIANGULO ALTO</v>
          </cell>
          <cell r="R2525">
            <v>3253334</v>
          </cell>
          <cell r="S2525">
            <v>0</v>
          </cell>
          <cell r="T2525">
            <v>0</v>
          </cell>
          <cell r="U2525">
            <v>3253334</v>
          </cell>
          <cell r="V2525">
            <v>464762</v>
          </cell>
        </row>
        <row r="2526">
          <cell r="J2526">
            <v>2311</v>
          </cell>
          <cell r="K2526">
            <v>43279</v>
          </cell>
          <cell r="L2526" t="str">
            <v>ROSMIRA  ASPRILLA MOSQUERA</v>
          </cell>
          <cell r="M2526">
            <v>31</v>
          </cell>
          <cell r="N2526" t="str">
            <v>RESOLUCION</v>
          </cell>
          <cell r="O2526">
            <v>2701</v>
          </cell>
          <cell r="P2526">
            <v>43279</v>
          </cell>
          <cell r="Q2526" t="str">
            <v>AYUDA TEMPORAL A LAS FAMILIAS DE VARIAS LOCALIDADES, PARA LA RELOCALIZACIÓN DE HOGARES LOCALIZADOS EN ZONAS DE ALTO RIESGO NO MITIGABLE ID:2011-4-12712, LOCALIDAD:04 SAN CRISTÓBAL, UPZ:32 SAN BLAS</v>
          </cell>
          <cell r="R2526">
            <v>2582006</v>
          </cell>
          <cell r="S2526">
            <v>0</v>
          </cell>
          <cell r="T2526">
            <v>0</v>
          </cell>
          <cell r="U2526">
            <v>2582006</v>
          </cell>
          <cell r="V2526">
            <v>368858</v>
          </cell>
        </row>
        <row r="2527">
          <cell r="J2527">
            <v>2312</v>
          </cell>
          <cell r="K2527">
            <v>43279</v>
          </cell>
          <cell r="L2527" t="str">
            <v>MERY LILIA FURQUE VEGA</v>
          </cell>
          <cell r="M2527">
            <v>31</v>
          </cell>
          <cell r="N2527" t="str">
            <v>RESOLUCION</v>
          </cell>
          <cell r="O2527">
            <v>2625</v>
          </cell>
          <cell r="P2527">
            <v>43279</v>
          </cell>
          <cell r="Q2527" t="str">
            <v>AYUDA TEMPORAL A LAS FAMILIAS DE VARIAS LOCALIDADES, PARA LA RELOCALIZACIÓN DE HOGARES LOCALIZADOS EN ZONAS DE ALTO RIESGO NO MITIGABLE ID:2007-4-9376, LOCALIDAD:04 SAN CRISTÓBAL, UPZ:32 SAN BLAS</v>
          </cell>
          <cell r="R2527">
            <v>3983670</v>
          </cell>
          <cell r="S2527">
            <v>0</v>
          </cell>
          <cell r="T2527">
            <v>0</v>
          </cell>
          <cell r="U2527">
            <v>3983670</v>
          </cell>
          <cell r="V2527">
            <v>442630</v>
          </cell>
        </row>
        <row r="2528">
          <cell r="J2528">
            <v>2313</v>
          </cell>
          <cell r="K2528">
            <v>43279</v>
          </cell>
          <cell r="L2528" t="str">
            <v>PEDRO ANTONIO RODRIGUEZ CIFUENTES</v>
          </cell>
          <cell r="M2528">
            <v>31</v>
          </cell>
          <cell r="N2528" t="str">
            <v>RESOLUCION</v>
          </cell>
          <cell r="O2528">
            <v>2700</v>
          </cell>
          <cell r="P2528">
            <v>43279</v>
          </cell>
          <cell r="Q2528" t="str">
            <v>AYUDA TEMPORAL A LAS FAMILIAS DE VARIAS LOCALIDADES, PARA LA RELOCALIZACIÓN DE HOGARES LOCALIZADOS EN ZONAS DE ALTO RIESGO NO MITIGABLE ID:2012-19-13964, LOCALIDAD:19 CIUDAD BOLÍVAR, UPZ:67 LUCERO, SECTOR:ZANJÓN DE LA ESTRELLA</v>
          </cell>
          <cell r="R2528">
            <v>3017000</v>
          </cell>
          <cell r="S2528">
            <v>0</v>
          </cell>
          <cell r="T2528">
            <v>0</v>
          </cell>
          <cell r="U2528">
            <v>3017000</v>
          </cell>
          <cell r="V2528">
            <v>431000</v>
          </cell>
        </row>
        <row r="2529">
          <cell r="J2529">
            <v>2314</v>
          </cell>
          <cell r="K2529">
            <v>43279</v>
          </cell>
          <cell r="L2529" t="str">
            <v>ANA VICTORIA MOLINA VARGAS</v>
          </cell>
          <cell r="M2529">
            <v>31</v>
          </cell>
          <cell r="N2529" t="str">
            <v>RESOLUCION</v>
          </cell>
          <cell r="O2529">
            <v>2667</v>
          </cell>
          <cell r="P2529">
            <v>43279</v>
          </cell>
          <cell r="Q2529" t="str">
            <v>AYUDA TEMPORAL A LAS FAMILIAS DE VARIAS LOCALIDADES, PARA LA RELOCALIZACIÓN DE HOGARES LOCALIZADOS EN ZONAS DE ALTO RIESGO NO MITIGABLE ID:2016-4-14767, LOCALIDAD:04 SAN CRISTÓBAL, UPZ:32 SAN BLAS</v>
          </cell>
          <cell r="R2529">
            <v>3614814</v>
          </cell>
          <cell r="S2529">
            <v>0</v>
          </cell>
          <cell r="T2529">
            <v>0</v>
          </cell>
          <cell r="U2529">
            <v>3614814</v>
          </cell>
          <cell r="V2529">
            <v>516402</v>
          </cell>
        </row>
        <row r="2530">
          <cell r="J2530">
            <v>2315</v>
          </cell>
          <cell r="K2530">
            <v>43279</v>
          </cell>
          <cell r="L2530" t="str">
            <v>ROSA MARIA MONTENEGRO DE SAYAGO</v>
          </cell>
          <cell r="M2530">
            <v>31</v>
          </cell>
          <cell r="N2530" t="str">
            <v>RESOLUCION</v>
          </cell>
          <cell r="O2530">
            <v>2699</v>
          </cell>
          <cell r="P2530">
            <v>43279</v>
          </cell>
          <cell r="Q2530" t="str">
            <v>AYUDA TEMPORAL A LAS FAMILIAS DE VARIAS LOCALIDADES, PARA LA RELOCALIZACIÓN DE HOGARES LOCALIZADOS EN ZONAS DE ALTO RIESGO NO MITIGABLE ID:2011-5-13264, LOCALIDAD:05 USME, UPZ:56 DANUBIO</v>
          </cell>
          <cell r="R2530">
            <v>4288472</v>
          </cell>
          <cell r="S2530">
            <v>0</v>
          </cell>
          <cell r="T2530">
            <v>0</v>
          </cell>
          <cell r="U2530">
            <v>4288472</v>
          </cell>
          <cell r="V2530">
            <v>536059</v>
          </cell>
        </row>
        <row r="2531">
          <cell r="J2531">
            <v>2316</v>
          </cell>
          <cell r="K2531">
            <v>43279</v>
          </cell>
          <cell r="L2531" t="str">
            <v>NOHORA LIGIA LONDOÑO RINCON</v>
          </cell>
          <cell r="M2531">
            <v>31</v>
          </cell>
          <cell r="N2531" t="str">
            <v>RESOLUCION</v>
          </cell>
          <cell r="O2531">
            <v>2666</v>
          </cell>
          <cell r="P2531">
            <v>43279</v>
          </cell>
          <cell r="Q2531" t="str">
            <v>AYUDA TEMPORAL A LAS FAMILIAS DE VARIAS LOCALIDADES, PARA LA RELOCALIZACIÓN DE HOGARES LOCALIZADOS EN ZONAS DE ALTO RIESGO NO MITIGABLE ID:2012-19-14388, LOCALIDAD:19 CIUDAD BOLÍVAR, UPZ:68 EL TESORO</v>
          </cell>
          <cell r="R2531">
            <v>3584160</v>
          </cell>
          <cell r="S2531">
            <v>0</v>
          </cell>
          <cell r="T2531">
            <v>0</v>
          </cell>
          <cell r="U2531">
            <v>3584160</v>
          </cell>
          <cell r="V2531">
            <v>448020</v>
          </cell>
        </row>
        <row r="2532">
          <cell r="J2532">
            <v>2317</v>
          </cell>
          <cell r="K2532">
            <v>43279</v>
          </cell>
          <cell r="L2532" t="str">
            <v>OLGA LUCIA ANDRADE SANCHEZ</v>
          </cell>
          <cell r="M2532">
            <v>31</v>
          </cell>
          <cell r="N2532" t="str">
            <v>RESOLUCION</v>
          </cell>
          <cell r="O2532">
            <v>2665</v>
          </cell>
          <cell r="P2532">
            <v>43279</v>
          </cell>
          <cell r="Q2532" t="str">
            <v>AYUDA TEMPORAL A LAS FAMILIAS DE VARIAS LOCALIDADES, PARA LA RELOCALIZACIÓN DE HOGARES LOCALIZADOS EN ZONAS DE ALTO RIESGO NO MITIGABLE ID:2013000459, LOCALIDAD:04 SAN CRISTÓBAL, UPZ:51 LOS LIBERTADORES, SECTOR:QUEBRADA VEREJONES</v>
          </cell>
          <cell r="R2532">
            <v>3828083</v>
          </cell>
          <cell r="S2532">
            <v>0</v>
          </cell>
          <cell r="T2532">
            <v>0</v>
          </cell>
          <cell r="U2532">
            <v>3828083</v>
          </cell>
          <cell r="V2532">
            <v>546869</v>
          </cell>
        </row>
        <row r="2533">
          <cell r="J2533">
            <v>2318</v>
          </cell>
          <cell r="K2533">
            <v>43279</v>
          </cell>
          <cell r="L2533" t="str">
            <v>JACOBA  MORENO GUERRERO</v>
          </cell>
          <cell r="M2533">
            <v>31</v>
          </cell>
          <cell r="N2533" t="str">
            <v>RESOLUCION</v>
          </cell>
          <cell r="O2533">
            <v>2683</v>
          </cell>
          <cell r="P2533">
            <v>43279</v>
          </cell>
          <cell r="Q2533" t="str">
            <v>AYUDA TEMPORAL A LAS FAMILIAS DE VARIAS LOCALIDADES, PARA LA RELOCALIZACIÓN DE HOGARES LOCALIZADOS EN ZONAS DE ALTO RIESGO NO MITIGABLE ID:2014-OTR-00893, LOCALIDAD:03 SANTA FE, UPZ:96 LOURDES, SECTOR:CASA 3</v>
          </cell>
          <cell r="R2533">
            <v>2975525</v>
          </cell>
          <cell r="S2533">
            <v>0</v>
          </cell>
          <cell r="T2533">
            <v>0</v>
          </cell>
          <cell r="U2533">
            <v>2975525</v>
          </cell>
          <cell r="V2533">
            <v>425075</v>
          </cell>
        </row>
        <row r="2534">
          <cell r="J2534">
            <v>2319</v>
          </cell>
          <cell r="K2534">
            <v>43279</v>
          </cell>
          <cell r="L2534" t="str">
            <v>LEIDY JOHANA GUTIERREZ ABELLO</v>
          </cell>
          <cell r="M2534">
            <v>31</v>
          </cell>
          <cell r="N2534" t="str">
            <v>RESOLUCION</v>
          </cell>
          <cell r="O2534">
            <v>2664</v>
          </cell>
          <cell r="P2534">
            <v>43279</v>
          </cell>
          <cell r="Q2534" t="str">
            <v>AYUDA TEMPORAL A LAS FAMILIAS DE VARIAS LOCALIDADES, PARA LA RELOCALIZACIÓN DE HOGARES LOCALIZADOS EN ZONAS DE ALTO RIESGO NO MITIGABLE ID:2010-19-11937, LOCALIDAD:19 CIUDAD BOLÍVAR, UPZ:67 LUCERO, SECTOR:LIMAS</v>
          </cell>
          <cell r="R2534">
            <v>2845920</v>
          </cell>
          <cell r="S2534">
            <v>0</v>
          </cell>
          <cell r="T2534">
            <v>0</v>
          </cell>
          <cell r="U2534">
            <v>2845920</v>
          </cell>
          <cell r="V2534">
            <v>406560</v>
          </cell>
        </row>
        <row r="2535">
          <cell r="J2535">
            <v>2320</v>
          </cell>
          <cell r="K2535">
            <v>43279</v>
          </cell>
          <cell r="L2535" t="str">
            <v>LUZ AMANDA CASTRO</v>
          </cell>
          <cell r="M2535">
            <v>31</v>
          </cell>
          <cell r="N2535" t="str">
            <v>RESOLUCION</v>
          </cell>
          <cell r="O2535">
            <v>2682</v>
          </cell>
          <cell r="P2535">
            <v>43279</v>
          </cell>
          <cell r="Q2535" t="str">
            <v>AYUDA TEMPORAL A LAS FAMILIAS DE VARIAS LOCALIDADES, PARA LA RELOCALIZACIÓN DE HOGARES LOCALIZADOS EN ZONAS DE ALTO RIESGO NO MITIGABLE ID:2014-LC-00811, LOCALIDAD:19 CIUDAD BOLÍVAR, UPZ:69 ISMAEL PERDOMO</v>
          </cell>
          <cell r="R2535">
            <v>2842000</v>
          </cell>
          <cell r="S2535">
            <v>0</v>
          </cell>
          <cell r="T2535">
            <v>0</v>
          </cell>
          <cell r="U2535">
            <v>2842000</v>
          </cell>
          <cell r="V2535">
            <v>406000</v>
          </cell>
        </row>
        <row r="2536">
          <cell r="J2536">
            <v>2321</v>
          </cell>
          <cell r="K2536">
            <v>43279</v>
          </cell>
          <cell r="L2536" t="str">
            <v>SOLEDAD  PINO PEREZ</v>
          </cell>
          <cell r="M2536">
            <v>31</v>
          </cell>
          <cell r="N2536" t="str">
            <v>RESOLUCION</v>
          </cell>
          <cell r="O2536">
            <v>2681</v>
          </cell>
          <cell r="P2536">
            <v>43279</v>
          </cell>
          <cell r="Q2536" t="str">
            <v>AYUDA TEMPORAL A LAS FAMILIAS DE VARIAS LOCALIDADES, PARA LA RELOCALIZACIÓN DE HOGARES LOCALIZADOS EN ZONAS DE ALTO RIESGO NO MITIGABLE ID:2012-T314-15, LOCALIDAD:04 SAN CRISTÓBAL, UPZ:50 LA GLORIA</v>
          </cell>
          <cell r="R2536">
            <v>3157574</v>
          </cell>
          <cell r="S2536">
            <v>0</v>
          </cell>
          <cell r="T2536">
            <v>0</v>
          </cell>
          <cell r="U2536">
            <v>3157574</v>
          </cell>
          <cell r="V2536">
            <v>451082</v>
          </cell>
        </row>
        <row r="2537">
          <cell r="J2537">
            <v>2322</v>
          </cell>
          <cell r="K2537">
            <v>43279</v>
          </cell>
          <cell r="L2537" t="str">
            <v>ANA CLAUDINA ESCOBAR ROJAS</v>
          </cell>
          <cell r="M2537">
            <v>31</v>
          </cell>
          <cell r="N2537" t="str">
            <v>RESOLUCION</v>
          </cell>
          <cell r="O2537">
            <v>2663</v>
          </cell>
          <cell r="P2537">
            <v>43279</v>
          </cell>
          <cell r="Q2537" t="str">
            <v>AYUDA TEMPORAL A LAS FAMILIAS DE VARIAS LOCALIDADES, PARA LA RELOCALIZACIÓN DE HOGARES LOCALIZADOS EN ZONAS DE ALTO RIESGO NO MITIGABLE ID:2013000468, LOCALIDAD:04 SAN CRISTÓBAL, UPZ:51 LOS LIBERTADORES, SECTOR:QUEBRADA VEREJONES</v>
          </cell>
          <cell r="R2537">
            <v>3335906</v>
          </cell>
          <cell r="S2537">
            <v>0</v>
          </cell>
          <cell r="T2537">
            <v>0</v>
          </cell>
          <cell r="U2537">
            <v>3335906</v>
          </cell>
          <cell r="V2537">
            <v>476558</v>
          </cell>
        </row>
        <row r="2538">
          <cell r="J2538">
            <v>2323</v>
          </cell>
          <cell r="K2538">
            <v>43279</v>
          </cell>
          <cell r="L2538" t="str">
            <v>NORALBA  OYOLA BOTACHE</v>
          </cell>
          <cell r="M2538">
            <v>31</v>
          </cell>
          <cell r="N2538" t="str">
            <v>RESOLUCION</v>
          </cell>
          <cell r="O2538">
            <v>2662</v>
          </cell>
          <cell r="P2538">
            <v>43279</v>
          </cell>
          <cell r="Q2538" t="str">
            <v>AYUDA TEMPORAL A LAS FAMILIAS DE VARIAS LOCALIDADES, PARA LA RELOCALIZACIÓN DE HOGARES LOCALIZADOS EN ZONAS DE ALTO RIESGO NO MITIGABLE ID:2013000169, LOCALIDAD:19 CIUDAD BOLÍVAR, UPZ:67 LUCERO, SECTOR:QUEBRADA TROMPETA</v>
          </cell>
          <cell r="R2538">
            <v>3022327</v>
          </cell>
          <cell r="S2538">
            <v>0</v>
          </cell>
          <cell r="T2538">
            <v>0</v>
          </cell>
          <cell r="U2538">
            <v>3022327</v>
          </cell>
          <cell r="V2538">
            <v>431761</v>
          </cell>
        </row>
        <row r="2539">
          <cell r="J2539">
            <v>2324</v>
          </cell>
          <cell r="K2539">
            <v>43279</v>
          </cell>
          <cell r="L2539" t="str">
            <v>HARRISON DAVID BARBOSA RINCON</v>
          </cell>
          <cell r="M2539">
            <v>31</v>
          </cell>
          <cell r="N2539" t="str">
            <v>RESOLUCION</v>
          </cell>
          <cell r="O2539">
            <v>2661</v>
          </cell>
          <cell r="P2539">
            <v>43279</v>
          </cell>
          <cell r="Q2539" t="str">
            <v>AYUDA TEMPORAL A LAS FAMILIAS DE VARIAS LOCALIDADES, PARA LA RELOCALIZACIÓN DE HOGARES LOCALIZADOS EN ZONAS DE ALTO RIESGO NO MITIGABLE ID:2010-18-12342, LOCALIDAD:18 RAFAEL URIBE URIBE, UPZ:55 DIANA TURBAY, SECTOR:OLA INVERNAL 2010 FOPAE</v>
          </cell>
          <cell r="R2539">
            <v>1237317</v>
          </cell>
          <cell r="S2539">
            <v>0</v>
          </cell>
          <cell r="T2539">
            <v>0</v>
          </cell>
          <cell r="U2539">
            <v>1237317</v>
          </cell>
          <cell r="V2539">
            <v>412439</v>
          </cell>
        </row>
        <row r="2540">
          <cell r="J2540">
            <v>2325</v>
          </cell>
          <cell r="K2540">
            <v>43279</v>
          </cell>
          <cell r="L2540" t="str">
            <v>YANETH  QUIÑONES PRIETO</v>
          </cell>
          <cell r="M2540">
            <v>31</v>
          </cell>
          <cell r="N2540" t="str">
            <v>RESOLUCION</v>
          </cell>
          <cell r="O2540">
            <v>2660</v>
          </cell>
          <cell r="P2540">
            <v>43279</v>
          </cell>
          <cell r="Q2540" t="str">
            <v>AYUDA TEMPORAL A LAS FAMILIAS DE VARIAS LOCALIDADES, PARA LA RELOCALIZACIÓN DE HOGARES LOCALIZADOS EN ZONAS DE ALTO RIESGO NO MITIGABLE ID:2012-ALES-223, LOCALIDAD:19 CIUDAD BOLÍVAR, UPZ:69 ISMAEL PERDOMO</v>
          </cell>
          <cell r="R2540">
            <v>3017000</v>
          </cell>
          <cell r="S2540">
            <v>0</v>
          </cell>
          <cell r="T2540">
            <v>0</v>
          </cell>
          <cell r="U2540">
            <v>3017000</v>
          </cell>
          <cell r="V2540">
            <v>431000</v>
          </cell>
        </row>
        <row r="2541">
          <cell r="J2541">
            <v>2326</v>
          </cell>
          <cell r="K2541">
            <v>43279</v>
          </cell>
          <cell r="L2541" t="str">
            <v>MARIA DEL PILAR PINO PEREZ</v>
          </cell>
          <cell r="M2541">
            <v>31</v>
          </cell>
          <cell r="N2541" t="str">
            <v>RESOLUCION</v>
          </cell>
          <cell r="O2541">
            <v>2659</v>
          </cell>
          <cell r="P2541">
            <v>43279</v>
          </cell>
          <cell r="Q2541" t="str">
            <v>AYUDA TEMPORAL A LAS FAMILIAS DE VARIAS LOCALIDADES, PARA LA RELOCALIZACIÓN DE HOGARES LOCALIZADOS EN ZONAS DE ALTO RIESGO NO MITIGABLE ID:2012-T314-06, LOCALIDAD:04 SAN CRISTÓBAL, UPZ:50 LA GLORIA</v>
          </cell>
          <cell r="R2541">
            <v>3022327</v>
          </cell>
          <cell r="S2541">
            <v>0</v>
          </cell>
          <cell r="T2541">
            <v>0</v>
          </cell>
          <cell r="U2541">
            <v>3022327</v>
          </cell>
          <cell r="V2541">
            <v>431761</v>
          </cell>
        </row>
        <row r="2542">
          <cell r="J2542">
            <v>2327</v>
          </cell>
          <cell r="K2542">
            <v>43279</v>
          </cell>
          <cell r="L2542" t="str">
            <v>JAQUELINE  LOPEZ PEREZ</v>
          </cell>
          <cell r="M2542">
            <v>31</v>
          </cell>
          <cell r="N2542" t="str">
            <v>RESOLUCION</v>
          </cell>
          <cell r="O2542">
            <v>2658</v>
          </cell>
          <cell r="P2542">
            <v>43279</v>
          </cell>
          <cell r="Q2542" t="str">
            <v>AYUDA TEMPORAL A LAS FAMILIAS DE VARIAS LOCALIDADES, PARA LA RELOCALIZACIÓN DE HOGARES LOCALIZADOS EN ZONAS DE ALTO RIESGO NO MITIGABLE ID:2012-T314-10, LOCALIDAD:04 SAN CRISTÓBAL, UPZ:50 LA GLORIA</v>
          </cell>
          <cell r="R2542">
            <v>2618154</v>
          </cell>
          <cell r="S2542">
            <v>0</v>
          </cell>
          <cell r="T2542">
            <v>0</v>
          </cell>
          <cell r="U2542">
            <v>2618154</v>
          </cell>
          <cell r="V2542">
            <v>374022</v>
          </cell>
        </row>
        <row r="2543">
          <cell r="J2543">
            <v>2328</v>
          </cell>
          <cell r="K2543">
            <v>43279</v>
          </cell>
          <cell r="L2543" t="str">
            <v>GLORIA INES MEJIA VARGAS</v>
          </cell>
          <cell r="M2543">
            <v>31</v>
          </cell>
          <cell r="N2543" t="str">
            <v>RESOLUCION</v>
          </cell>
          <cell r="O2543">
            <v>2657</v>
          </cell>
          <cell r="P2543">
            <v>43279</v>
          </cell>
          <cell r="Q2543" t="str">
            <v>AYUDA TEMPORAL A LAS FAMILIAS DE VARIAS LOCALIDADES, PARA LA RELOCALIZACIÓN DE HOGARES LOCALIZADOS EN ZONAS DE ALTO RIESGO NO MITIGABLE ID:2012-T314-11, LOCALIDAD:04 SAN CRISTÓBAL, UPZ:50 LA GLORIA</v>
          </cell>
          <cell r="R2543">
            <v>3022327</v>
          </cell>
          <cell r="S2543">
            <v>0</v>
          </cell>
          <cell r="T2543">
            <v>0</v>
          </cell>
          <cell r="U2543">
            <v>3022327</v>
          </cell>
          <cell r="V2543">
            <v>431761</v>
          </cell>
        </row>
        <row r="2544">
          <cell r="J2544">
            <v>2329</v>
          </cell>
          <cell r="K2544">
            <v>43279</v>
          </cell>
          <cell r="L2544" t="str">
            <v>ANGELA MARIA RODRIGUEZ RUBIANO</v>
          </cell>
          <cell r="M2544">
            <v>31</v>
          </cell>
          <cell r="N2544" t="str">
            <v>RESOLUCION</v>
          </cell>
          <cell r="O2544">
            <v>2656</v>
          </cell>
          <cell r="P2544">
            <v>43279</v>
          </cell>
          <cell r="Q2544" t="str">
            <v>AYUDA TEMPORAL A LAS FAMILIAS DE VARIAS LOCALIDADES, PARA LA RELOCALIZACIÓN DE HOGARES LOCALIZADOS EN ZONAS DE ALTO RIESGO NO MITIGABLE ID:2014-Q09-00805, LOCALIDAD:19 CIUDAD BOLÍVAR, UPZ:67 LUCERO, SECTOR:QUEBRADA TROMPETA</v>
          </cell>
          <cell r="R2544">
            <v>3017000</v>
          </cell>
          <cell r="S2544">
            <v>0</v>
          </cell>
          <cell r="T2544">
            <v>0</v>
          </cell>
          <cell r="U2544">
            <v>3017000</v>
          </cell>
          <cell r="V2544">
            <v>431000</v>
          </cell>
        </row>
        <row r="2545">
          <cell r="J2545">
            <v>2330</v>
          </cell>
          <cell r="K2545">
            <v>43279</v>
          </cell>
          <cell r="L2545" t="str">
            <v>MABEL YADIRA ABRIL</v>
          </cell>
          <cell r="M2545">
            <v>31</v>
          </cell>
          <cell r="N2545" t="str">
            <v>RESOLUCION</v>
          </cell>
          <cell r="O2545">
            <v>2655</v>
          </cell>
          <cell r="P2545">
            <v>43279</v>
          </cell>
          <cell r="Q2545" t="str">
            <v>AYUDA TEMPORAL A LAS FAMILIAS DE VARIAS LOCALIDADES, PARA LA RELOCALIZACIÓN DE HOGARES LOCALIZADOS EN ZONAS DE ALTO RIESGO NO MITIGABLE ID:2015-OTR-01307, LOCALIDAD:19 CIUDAD BOLÍVAR, UPZ:68 EL TESORO, SECTOR:QUEBRADA TROMPETA</v>
          </cell>
          <cell r="R2545">
            <v>3471279</v>
          </cell>
          <cell r="S2545">
            <v>0</v>
          </cell>
          <cell r="T2545">
            <v>0</v>
          </cell>
          <cell r="U2545">
            <v>3471279</v>
          </cell>
          <cell r="V2545">
            <v>495897</v>
          </cell>
        </row>
        <row r="2546">
          <cell r="J2546">
            <v>2331</v>
          </cell>
          <cell r="K2546">
            <v>43279</v>
          </cell>
          <cell r="L2546" t="str">
            <v>LEONARDO FABIO ROJAS PEREZ</v>
          </cell>
          <cell r="M2546">
            <v>31</v>
          </cell>
          <cell r="N2546" t="str">
            <v>RESOLUCION</v>
          </cell>
          <cell r="O2546">
            <v>2654</v>
          </cell>
          <cell r="P2546">
            <v>43279</v>
          </cell>
          <cell r="Q2546" t="str">
            <v>AYUDA TEMPORAL A LAS FAMILIAS DE VARIAS LOCALIDADES, PARA LA RELOCALIZACIÓN DE HOGARES LOCALIZADOS EN ZONAS DE ALTO RIESGO NO MITIGABLE ID:2014-OTR-00894, LOCALIDAD:03 SANTA FE, UPZ:96 LOURDES, SECTOR:CASA 3</v>
          </cell>
          <cell r="R2546">
            <v>3714368</v>
          </cell>
          <cell r="S2546">
            <v>0</v>
          </cell>
          <cell r="T2546">
            <v>0</v>
          </cell>
          <cell r="U2546">
            <v>3714368</v>
          </cell>
          <cell r="V2546">
            <v>530624</v>
          </cell>
        </row>
        <row r="2547">
          <cell r="J2547">
            <v>2332</v>
          </cell>
          <cell r="K2547">
            <v>43279</v>
          </cell>
          <cell r="L2547" t="str">
            <v>MARIA HELENA GONZALEZ MENA</v>
          </cell>
          <cell r="M2547">
            <v>31</v>
          </cell>
          <cell r="N2547" t="str">
            <v>RESOLUCION</v>
          </cell>
          <cell r="O2547">
            <v>2653</v>
          </cell>
          <cell r="P2547">
            <v>43279</v>
          </cell>
          <cell r="Q2547" t="str">
            <v>AYUDA TEMPORAL A LAS FAMILIAS DE VARIAS LOCALIDADES, PARA LA RELOCALIZACIÓN DE HOGARES LOCALIZADOS EN ZONAS DE ALTO RIESGO NO MITIGABLE ID:2015-OTR-01462, LOCALIDAD:02 CHAPINERO, UPZ:90 PARDO RUBIO</v>
          </cell>
          <cell r="R2547">
            <v>4014528</v>
          </cell>
          <cell r="S2547">
            <v>0</v>
          </cell>
          <cell r="T2547">
            <v>0</v>
          </cell>
          <cell r="U2547">
            <v>4014528</v>
          </cell>
          <cell r="V2547">
            <v>573504</v>
          </cell>
        </row>
        <row r="2548">
          <cell r="J2548">
            <v>2333</v>
          </cell>
          <cell r="K2548">
            <v>43279</v>
          </cell>
          <cell r="L2548" t="str">
            <v>FRANCY YAMILE NIÑO GARCIA</v>
          </cell>
          <cell r="M2548">
            <v>31</v>
          </cell>
          <cell r="N2548" t="str">
            <v>RESOLUCION</v>
          </cell>
          <cell r="O2548">
            <v>2652</v>
          </cell>
          <cell r="P2548">
            <v>43279</v>
          </cell>
          <cell r="Q2548" t="str">
            <v>AYUDA TEMPORAL A LAS FAMILIAS DE VARIAS LOCALIDADES, PARA LA RELOCALIZACIÓN DE HOGARES LOCALIZADOS EN ZONAS DE ALTO RIESGO NO MITIGABLE ID:2014-5-14735, LOCALIDAD:05 USME, UPZ:57 GRAN YOMASA</v>
          </cell>
          <cell r="R2548">
            <v>3038112</v>
          </cell>
          <cell r="S2548">
            <v>0</v>
          </cell>
          <cell r="T2548">
            <v>0</v>
          </cell>
          <cell r="U2548">
            <v>3038112</v>
          </cell>
          <cell r="V2548">
            <v>434016</v>
          </cell>
        </row>
        <row r="2549">
          <cell r="J2549">
            <v>2334</v>
          </cell>
          <cell r="K2549">
            <v>43279</v>
          </cell>
          <cell r="L2549" t="str">
            <v>ROSA CECILIA LOPEZ PATARROYO</v>
          </cell>
          <cell r="M2549">
            <v>31</v>
          </cell>
          <cell r="N2549" t="str">
            <v>RESOLUCION</v>
          </cell>
          <cell r="O2549">
            <v>2651</v>
          </cell>
          <cell r="P2549">
            <v>43279</v>
          </cell>
          <cell r="Q2549" t="str">
            <v>AYUDA TEMPORAL A LAS FAMILIAS DE VARIAS LOCALIDADES, PARA LA RELOCALIZACIÓN DE HOGARES LOCALIZADOS EN ZONAS DE ALTO RIESGO NO MITIGABLE ID:2014-OTR-00885, LOCALIDAD:03 SANTA FE, UPZ:96 LOURDES, SECTOR:CASA 2</v>
          </cell>
          <cell r="R2549">
            <v>2976771</v>
          </cell>
          <cell r="S2549">
            <v>0</v>
          </cell>
          <cell r="T2549">
            <v>0</v>
          </cell>
          <cell r="U2549">
            <v>2976771</v>
          </cell>
          <cell r="V2549">
            <v>425253</v>
          </cell>
        </row>
        <row r="2550">
          <cell r="J2550">
            <v>2335</v>
          </cell>
          <cell r="K2550">
            <v>43279</v>
          </cell>
          <cell r="L2550" t="str">
            <v>MARTHA LILIANA PINO PEREZ</v>
          </cell>
          <cell r="M2550">
            <v>31</v>
          </cell>
          <cell r="N2550" t="str">
            <v>RESOLUCION</v>
          </cell>
          <cell r="O2550">
            <v>2680</v>
          </cell>
          <cell r="P2550">
            <v>43279</v>
          </cell>
          <cell r="Q2550" t="str">
            <v>AYUDA TEMPORAL A LAS FAMILIAS DE VARIAS LOCALIDADES, PARA LA RELOCALIZACIÓN DE HOGARES LOCALIZADOS EN ZONAS DE ALTO RIESGO NO MITIGABLE ID:2012-T314-14, LOCALIDAD:04 SAN CRISTÓBAL, UPZ:50 LA GLORIA</v>
          </cell>
          <cell r="R2550">
            <v>2887073</v>
          </cell>
          <cell r="S2550">
            <v>0</v>
          </cell>
          <cell r="T2550">
            <v>0</v>
          </cell>
          <cell r="U2550">
            <v>2887073</v>
          </cell>
          <cell r="V2550">
            <v>412439</v>
          </cell>
        </row>
        <row r="2551">
          <cell r="J2551">
            <v>2336</v>
          </cell>
          <cell r="K2551">
            <v>43279</v>
          </cell>
          <cell r="L2551" t="str">
            <v>ROSA YOHANA DELGADO LOPEZ</v>
          </cell>
          <cell r="M2551">
            <v>31</v>
          </cell>
          <cell r="N2551" t="str">
            <v>RESOLUCION</v>
          </cell>
          <cell r="O2551">
            <v>2650</v>
          </cell>
          <cell r="P2551">
            <v>43279</v>
          </cell>
          <cell r="Q2551" t="str">
            <v>AYUDA TEMPORAL A LAS FAMILIAS DE VARIAS LOCALIDADES, PARA LA RELOCALIZACIÓN DE HOGARES LOCALIZADOS EN ZONAS DE ALTO RIESGO NO MITIGABLE ID:2014-OTR-00881, LOCALIDAD:03 SANTA FE, UPZ:96 LOURDES, SECTOR:CASA 2</v>
          </cell>
          <cell r="R2551">
            <v>2976771</v>
          </cell>
          <cell r="S2551">
            <v>0</v>
          </cell>
          <cell r="T2551">
            <v>0</v>
          </cell>
          <cell r="U2551">
            <v>2976771</v>
          </cell>
          <cell r="V2551">
            <v>425253</v>
          </cell>
        </row>
        <row r="2552">
          <cell r="J2552">
            <v>2337</v>
          </cell>
          <cell r="K2552">
            <v>43279</v>
          </cell>
          <cell r="L2552" t="str">
            <v>ANDREA MILENA PRIETO</v>
          </cell>
          <cell r="M2552">
            <v>31</v>
          </cell>
          <cell r="N2552" t="str">
            <v>RESOLUCION</v>
          </cell>
          <cell r="O2552">
            <v>2649</v>
          </cell>
          <cell r="P2552">
            <v>43279</v>
          </cell>
          <cell r="Q2552" t="str">
            <v>AYUDA TEMPORAL A LAS FAMILIAS DE VARIAS LOCALIDADES, PARA LA RELOCALIZACIÓN DE HOGARES LOCALIZADOS EN ZONAS DE ALTO RIESGO NO MITIGABLE ID:2013-Q10-00207, LOCALIDAD:19 CIUDAD BOLÍVAR, UPZ:67 LUCERO, SECTOR:PEÑA COLORADA</v>
          </cell>
          <cell r="R2552">
            <v>3843840</v>
          </cell>
          <cell r="S2552">
            <v>0</v>
          </cell>
          <cell r="T2552">
            <v>0</v>
          </cell>
          <cell r="U2552">
            <v>3843840</v>
          </cell>
          <cell r="V2552">
            <v>480480</v>
          </cell>
        </row>
        <row r="2553">
          <cell r="J2553">
            <v>2338</v>
          </cell>
          <cell r="K2553">
            <v>43279</v>
          </cell>
          <cell r="L2553" t="str">
            <v>MABIL  BOBADILLA</v>
          </cell>
          <cell r="M2553">
            <v>31</v>
          </cell>
          <cell r="N2553" t="str">
            <v>RESOLUCION</v>
          </cell>
          <cell r="O2553">
            <v>2648</v>
          </cell>
          <cell r="P2553">
            <v>43279</v>
          </cell>
          <cell r="Q2553" t="str">
            <v>AYUDA TEMPORAL A LAS FAMILIAS DE VARIAS LOCALIDADES, PARA LA RELOCALIZACIÓN DE HOGARES LOCALIZADOS EN ZONAS DE ALTO RIESGO NO MITIGABLE ID:2014-OTR-00873, LOCALIDAD:03 SANTA FE, UPZ:96 LOURDES, SECTOR:CASA 1</v>
          </cell>
          <cell r="R2553">
            <v>3518186</v>
          </cell>
          <cell r="S2553">
            <v>0</v>
          </cell>
          <cell r="T2553">
            <v>0</v>
          </cell>
          <cell r="U2553">
            <v>3518186</v>
          </cell>
          <cell r="V2553">
            <v>502598</v>
          </cell>
        </row>
        <row r="2554">
          <cell r="J2554">
            <v>2339</v>
          </cell>
          <cell r="K2554">
            <v>43279</v>
          </cell>
          <cell r="L2554" t="str">
            <v>ALONSO  HERRERA CARPIO</v>
          </cell>
          <cell r="M2554">
            <v>31</v>
          </cell>
          <cell r="N2554" t="str">
            <v>RESOLUCION</v>
          </cell>
          <cell r="O2554">
            <v>2647</v>
          </cell>
          <cell r="P2554">
            <v>43279</v>
          </cell>
          <cell r="Q2554" t="str">
            <v>AYUDA TEMPORAL A LAS FAMILIAS DE VARIAS LOCALIDADES, PARA LA RELOCALIZACIÓN DE HOGARES LOCALIZADOS EN ZONAS DE ALTO RIESGO NO MITIGABLE ID:2011-4-12695, LOCALIDAD:04 SAN CRISTÓBAL, UPZ:32 SAN BLAS</v>
          </cell>
          <cell r="R2554">
            <v>2685291</v>
          </cell>
          <cell r="S2554">
            <v>0</v>
          </cell>
          <cell r="T2554">
            <v>0</v>
          </cell>
          <cell r="U2554">
            <v>2685291</v>
          </cell>
          <cell r="V2554">
            <v>383613</v>
          </cell>
        </row>
        <row r="2555">
          <cell r="J2555">
            <v>2340</v>
          </cell>
          <cell r="K2555">
            <v>43279</v>
          </cell>
          <cell r="L2555" t="str">
            <v>BLANCA NELLY SANCHEZ VARGAS</v>
          </cell>
          <cell r="M2555">
            <v>31</v>
          </cell>
          <cell r="N2555" t="str">
            <v>RESOLUCION</v>
          </cell>
          <cell r="O2555">
            <v>2646</v>
          </cell>
          <cell r="P2555">
            <v>43279</v>
          </cell>
          <cell r="Q2555" t="str">
            <v>AYUDA TEMPORAL A LAS FAMILIAS DE VARIAS LOCALIDADES, PARA LA RELOCALIZACIÓN DE HOGARES LOCALIZADOS EN ZONAS DE ALTO RIESGO NO MITIGABLE ID:2012-ALES-83, LOCALIDAD:19 CIUDAD BOLÍVAR, UPZ:69 ISMAEL PERDOMO, SECTOR:ALTOS DE LA ESTANCIA</v>
          </cell>
          <cell r="R2555">
            <v>3844008</v>
          </cell>
          <cell r="S2555">
            <v>0</v>
          </cell>
          <cell r="T2555">
            <v>0</v>
          </cell>
          <cell r="U2555">
            <v>3844008</v>
          </cell>
          <cell r="V2555">
            <v>480501</v>
          </cell>
        </row>
        <row r="2556">
          <cell r="J2556">
            <v>2341</v>
          </cell>
          <cell r="K2556">
            <v>43279</v>
          </cell>
          <cell r="L2556" t="str">
            <v>NUBIA XIMENA CAMACHO PUENTES</v>
          </cell>
          <cell r="M2556">
            <v>31</v>
          </cell>
          <cell r="N2556" t="str">
            <v>RESOLUCION</v>
          </cell>
          <cell r="O2556">
            <v>2645</v>
          </cell>
          <cell r="P2556">
            <v>43279</v>
          </cell>
          <cell r="Q2556" t="str">
            <v>AYUDA TEMPORAL A LAS FAMILIAS DE VARIAS LOCALIDADES, PARA LA RELOCALIZACIÓN DE HOGARES LOCALIZADOS EN ZONAS DE ALTO RIESGO NO MITIGABLE ID:2012-T314-02, LOCALIDAD:04 SAN CRISTÓBAL, UPZ:50 LA GLORIA</v>
          </cell>
          <cell r="R2556">
            <v>2887073</v>
          </cell>
          <cell r="S2556">
            <v>0</v>
          </cell>
          <cell r="T2556">
            <v>0</v>
          </cell>
          <cell r="U2556">
            <v>2887073</v>
          </cell>
          <cell r="V2556">
            <v>412439</v>
          </cell>
        </row>
        <row r="2557">
          <cell r="J2557">
            <v>2342</v>
          </cell>
          <cell r="K2557">
            <v>43279</v>
          </cell>
          <cell r="L2557" t="str">
            <v>RODRIGO  CORREDOR</v>
          </cell>
          <cell r="M2557">
            <v>31</v>
          </cell>
          <cell r="N2557" t="str">
            <v>RESOLUCION</v>
          </cell>
          <cell r="O2557">
            <v>2679</v>
          </cell>
          <cell r="P2557">
            <v>43279</v>
          </cell>
          <cell r="Q2557" t="str">
            <v>AYUDA TEMPORAL A LAS FAMILIAS DE VARIAS LOCALIDADES, PARA LA RELOCALIZACIÓN DE HOGARES LOCALIZADOS EN ZONAS DE ALTO RIESGO NO MITIGABLE ID:2013-Q09-00577, LOCALIDAD:19 CIUDAD BOLÍVAR, UPZ:67 LUCERO, SECTOR:QUEBRADA TROMPETA</v>
          </cell>
          <cell r="R2557">
            <v>3619000</v>
          </cell>
          <cell r="S2557">
            <v>0</v>
          </cell>
          <cell r="T2557">
            <v>0</v>
          </cell>
          <cell r="U2557">
            <v>3619000</v>
          </cell>
          <cell r="V2557">
            <v>517000</v>
          </cell>
        </row>
        <row r="2558">
          <cell r="J2558">
            <v>2343</v>
          </cell>
          <cell r="K2558">
            <v>43279</v>
          </cell>
          <cell r="L2558" t="str">
            <v>MARIA ADELIA LOPEZ QUINTERO</v>
          </cell>
          <cell r="M2558">
            <v>31</v>
          </cell>
          <cell r="N2558" t="str">
            <v>RESOLUCION</v>
          </cell>
          <cell r="O2558">
            <v>2644</v>
          </cell>
          <cell r="P2558">
            <v>43279</v>
          </cell>
          <cell r="Q2558" t="str">
            <v>AYUDA TEMPORAL A LAS FAMILIAS DE VARIAS LOCALIDADES, PARA LA RELOCALIZACIÓN DE HOGARES LOCALIZADOS EN ZONAS DE ALTO RIESGO NO MITIGABLE ID:2012-19-13791, LOCALIDAD:19 CIUDAD BOLÍVAR, UPZ:67 LUCERO</v>
          </cell>
          <cell r="R2558">
            <v>2924376</v>
          </cell>
          <cell r="S2558">
            <v>0</v>
          </cell>
          <cell r="T2558">
            <v>0</v>
          </cell>
          <cell r="U2558">
            <v>2924376</v>
          </cell>
          <cell r="V2558">
            <v>417768</v>
          </cell>
        </row>
        <row r="2559">
          <cell r="J2559">
            <v>2344</v>
          </cell>
          <cell r="K2559">
            <v>43279</v>
          </cell>
          <cell r="L2559" t="str">
            <v>JULIO ERNESTO LAGOS MOJICA</v>
          </cell>
          <cell r="M2559">
            <v>31</v>
          </cell>
          <cell r="N2559" t="str">
            <v>RESOLUCION</v>
          </cell>
          <cell r="O2559">
            <v>2678</v>
          </cell>
          <cell r="P2559">
            <v>43279</v>
          </cell>
          <cell r="Q2559" t="str">
            <v>AYUDA TEMPORAL A LAS FAMILIAS DE VARIAS LOCALIDADES, PARA LA RELOCALIZACIÓN DE HOGARES LOCALIZADOS EN ZONAS DE ALTO RIESGO NO MITIGABLE ID:2012-ALES-15, LOCALIDAD:19 CIUDAD BOLÍVAR, UPZ:69 ISMAEL PERDOMO</v>
          </cell>
          <cell r="R2559">
            <v>3157315</v>
          </cell>
          <cell r="S2559">
            <v>0</v>
          </cell>
          <cell r="T2559">
            <v>0</v>
          </cell>
          <cell r="U2559">
            <v>3157315</v>
          </cell>
          <cell r="V2559">
            <v>451045</v>
          </cell>
        </row>
        <row r="2560">
          <cell r="J2560">
            <v>2345</v>
          </cell>
          <cell r="K2560">
            <v>43279</v>
          </cell>
          <cell r="L2560" t="str">
            <v>HERNANDO  CASTRO MERGAREJO</v>
          </cell>
          <cell r="M2560">
            <v>31</v>
          </cell>
          <cell r="N2560" t="str">
            <v>RESOLUCION</v>
          </cell>
          <cell r="O2560">
            <v>2677</v>
          </cell>
          <cell r="P2560">
            <v>43279</v>
          </cell>
          <cell r="Q2560" t="str">
            <v>AYUDA TEMPORAL A LAS FAMILIAS DE VARIAS LOCALIDADES, PARA LA RELOCALIZACIÓN DE HOGARES LOCALIZADOS EN ZONAS DE ALTO RIESGO NO MITIGABLE ID:2013-Q09-00479, LOCALIDAD:19 CIUDAD BOLÍVAR, UPZ:67 LUCERO, SECTOR:QUEBRADA TROMPETA</v>
          </cell>
          <cell r="R2560">
            <v>3157315</v>
          </cell>
          <cell r="S2560">
            <v>0</v>
          </cell>
          <cell r="T2560">
            <v>0</v>
          </cell>
          <cell r="U2560">
            <v>3157315</v>
          </cell>
          <cell r="V2560">
            <v>451045</v>
          </cell>
        </row>
        <row r="2561">
          <cell r="J2561">
            <v>2346</v>
          </cell>
          <cell r="K2561">
            <v>43279</v>
          </cell>
          <cell r="L2561" t="str">
            <v>ALEXANDRA  REY GUTIERREZ</v>
          </cell>
          <cell r="M2561">
            <v>31</v>
          </cell>
          <cell r="N2561" t="str">
            <v>RESOLUCION</v>
          </cell>
          <cell r="O2561">
            <v>2676</v>
          </cell>
          <cell r="P2561">
            <v>43279</v>
          </cell>
          <cell r="Q2561" t="str">
            <v>AYUDA TEMPORAL A LAS FAMILIAS DE VARIAS LOCALIDADES, PARA LA RELOCALIZACIÓN DE HOGARES LOCALIZADOS EN ZONAS DE ALTO RIESGO NO MITIGABLE ID:2012-T314-05, LOCALIDAD:04 SAN CRISTÓBAL, UPZ:50 LA GLORIA</v>
          </cell>
          <cell r="R2561">
            <v>3570210</v>
          </cell>
          <cell r="S2561">
            <v>0</v>
          </cell>
          <cell r="T2561">
            <v>0</v>
          </cell>
          <cell r="U2561">
            <v>3570210</v>
          </cell>
          <cell r="V2561">
            <v>510030</v>
          </cell>
        </row>
        <row r="2562">
          <cell r="J2562">
            <v>2347</v>
          </cell>
          <cell r="K2562">
            <v>43279</v>
          </cell>
          <cell r="L2562" t="str">
            <v>CLARA LILIA AREVALO</v>
          </cell>
          <cell r="M2562">
            <v>31</v>
          </cell>
          <cell r="N2562" t="str">
            <v>RESOLUCION</v>
          </cell>
          <cell r="O2562">
            <v>2675</v>
          </cell>
          <cell r="P2562">
            <v>43279</v>
          </cell>
          <cell r="Q2562" t="str">
            <v>AYUDA TEMPORAL A LAS FAMILIAS DE VARIAS LOCALIDADES, PARA LA RELOCALIZACIÓN DE HOGARES LOCALIZADOS EN ZONAS DE ALTO RIESGO NO MITIGABLE ID:2011-5-13260, LOCALIDAD:05 USME, UPZ:56 DANUBIO</v>
          </cell>
          <cell r="R2562">
            <v>2953097</v>
          </cell>
          <cell r="S2562">
            <v>0</v>
          </cell>
          <cell r="T2562">
            <v>0</v>
          </cell>
          <cell r="U2562">
            <v>2953097</v>
          </cell>
          <cell r="V2562">
            <v>421871</v>
          </cell>
        </row>
        <row r="2563">
          <cell r="J2563">
            <v>2348</v>
          </cell>
          <cell r="K2563">
            <v>43279</v>
          </cell>
          <cell r="L2563" t="str">
            <v>JHON ALEXANDER SARMIENTO</v>
          </cell>
          <cell r="M2563">
            <v>31</v>
          </cell>
          <cell r="N2563" t="str">
            <v>RESOLUCION</v>
          </cell>
          <cell r="O2563">
            <v>2674</v>
          </cell>
          <cell r="P2563">
            <v>43279</v>
          </cell>
          <cell r="Q2563" t="str">
            <v>AYUDA TEMPORAL A LAS FAMILIAS DE VARIAS LOCALIDADES, PARA LA RELOCALIZACIÓN DE HOGARES LOCALIZADOS EN ZONAS DE ALTO RIESGO NO MITIGABLE ID:2012-T314-04, LOCALIDAD:04 SAN CRISTÓBAL, UPZ:50 LA GLORIA</v>
          </cell>
          <cell r="R2563">
            <v>3248007</v>
          </cell>
          <cell r="S2563">
            <v>0</v>
          </cell>
          <cell r="T2563">
            <v>0</v>
          </cell>
          <cell r="U2563">
            <v>3248007</v>
          </cell>
          <cell r="V2563">
            <v>464001</v>
          </cell>
        </row>
        <row r="2564">
          <cell r="J2564">
            <v>2349</v>
          </cell>
          <cell r="K2564">
            <v>43279</v>
          </cell>
          <cell r="L2564" t="str">
            <v>GILBERTO  FORERO</v>
          </cell>
          <cell r="M2564">
            <v>31</v>
          </cell>
          <cell r="N2564" t="str">
            <v>RESOLUCION</v>
          </cell>
          <cell r="O2564">
            <v>2673</v>
          </cell>
          <cell r="P2564">
            <v>43279</v>
          </cell>
          <cell r="Q2564" t="str">
            <v>AYUDA TEMPORAL A LAS FAMILIAS DE VARIAS LOCALIDADES, PARA LA RELOCALIZACIÓN DE HOGARES LOCALIZADOS EN ZONAS DE ALTO RIESGO NO MITIGABLE ID:2012-ALES-190, LOCALIDAD:19 CIUDAD BOLÍVAR, UPZ:69 ISMAEL PERDOMO, SECTOR:ALTOS DE LA ESTANCIA</v>
          </cell>
          <cell r="R2564">
            <v>2390202</v>
          </cell>
          <cell r="S2564">
            <v>0</v>
          </cell>
          <cell r="T2564">
            <v>0</v>
          </cell>
          <cell r="U2564">
            <v>2390202</v>
          </cell>
          <cell r="V2564">
            <v>398367</v>
          </cell>
        </row>
        <row r="2565">
          <cell r="J2565">
            <v>2350</v>
          </cell>
          <cell r="K2565">
            <v>43279</v>
          </cell>
          <cell r="L2565" t="str">
            <v>EFRAIN  TORRES</v>
          </cell>
          <cell r="M2565">
            <v>31</v>
          </cell>
          <cell r="N2565" t="str">
            <v>RESOLUCION</v>
          </cell>
          <cell r="O2565">
            <v>2672</v>
          </cell>
          <cell r="P2565">
            <v>43279</v>
          </cell>
          <cell r="Q2565" t="str">
            <v>AYUDA TEMPORAL A LAS FAMILIAS DE VARIAS LOCALIDADES, PARA LA RELOCALIZACIÓN DE HOGARES LOCALIZADOS EN ZONAS DE ALTO RIESGO NO MITIGABLE ID:2012-19-14090, LOCALIDAD:19 CIUDAD BOLÍVAR, UPZ:68 EL TESORO, SECTOR:QUEBRADA TROMPETA</v>
          </cell>
          <cell r="R2565">
            <v>3247176</v>
          </cell>
          <cell r="S2565">
            <v>0</v>
          </cell>
          <cell r="T2565">
            <v>0</v>
          </cell>
          <cell r="U2565">
            <v>3247176</v>
          </cell>
          <cell r="V2565">
            <v>405897</v>
          </cell>
        </row>
        <row r="2566">
          <cell r="J2566">
            <v>2351</v>
          </cell>
          <cell r="K2566">
            <v>43279</v>
          </cell>
          <cell r="L2566" t="str">
            <v>MERCEDES  CHAPARRO ROJAS</v>
          </cell>
          <cell r="M2566">
            <v>31</v>
          </cell>
          <cell r="N2566" t="str">
            <v>RESOLUCION</v>
          </cell>
          <cell r="O2566">
            <v>2554</v>
          </cell>
          <cell r="P2566">
            <v>43279</v>
          </cell>
          <cell r="Q2566" t="str">
            <v>AYUDA TEMPORAL A LAS FAMILIAS DE VARIAS LOCALIDADES, PARA LA RELOCALIZACIÓN DE HOGARES LOCALIZADOS EN ZONAS DE ALTO RIESGO NO MITIGABLE ID:2013-Q10-00520, LOCALIDAD:04 SAN CRISTÓBAL, UPZ:51 LOS LIBERTADORES, SECTOR:QUEBRADA VEREJONES</v>
          </cell>
          <cell r="R2566">
            <v>2685291</v>
          </cell>
          <cell r="S2566">
            <v>0</v>
          </cell>
          <cell r="T2566">
            <v>0</v>
          </cell>
          <cell r="U2566">
            <v>2685291</v>
          </cell>
          <cell r="V2566">
            <v>383613</v>
          </cell>
        </row>
        <row r="2567">
          <cell r="J2567">
            <v>2352</v>
          </cell>
          <cell r="K2567">
            <v>43279</v>
          </cell>
          <cell r="L2567" t="str">
            <v>CARMEN ROSA POVEDA VDA DE CAMACHO</v>
          </cell>
          <cell r="M2567">
            <v>31</v>
          </cell>
          <cell r="N2567" t="str">
            <v>RESOLUCION</v>
          </cell>
          <cell r="O2567">
            <v>2750</v>
          </cell>
          <cell r="P2567">
            <v>43279</v>
          </cell>
          <cell r="Q2567" t="str">
            <v>AYUDA TEMPORAL A LAS FAMILIAS DE VARIAS LOCALIDADES, PARA RELOCALIZACIÓN DE HOGARES LOCALIZADOS EN ZONAS DE ALTO RIESGO NO MITIGABLE ID:2014-Q07-00795, LOCALIDAD:19 CIUDAD BOLÍVAR, UPZ:68 EL TESORO, SECTOR:QUEBRADA GALINDO</v>
          </cell>
          <cell r="R2567">
            <v>3805784</v>
          </cell>
          <cell r="S2567">
            <v>0</v>
          </cell>
          <cell r="T2567">
            <v>0</v>
          </cell>
          <cell r="U2567">
            <v>3805784</v>
          </cell>
          <cell r="V2567">
            <v>475723</v>
          </cell>
        </row>
        <row r="2568">
          <cell r="J2568">
            <v>2353</v>
          </cell>
          <cell r="K2568">
            <v>43279</v>
          </cell>
          <cell r="L2568" t="str">
            <v>HECTOR JULIO GOMEZ HERRERA</v>
          </cell>
          <cell r="M2568">
            <v>31</v>
          </cell>
          <cell r="N2568" t="str">
            <v>RESOLUCION</v>
          </cell>
          <cell r="O2568">
            <v>2749</v>
          </cell>
          <cell r="P2568">
            <v>43279</v>
          </cell>
          <cell r="Q2568" t="str">
            <v>AYUDA TEMPORAL A LAS FAMILIAS DE VARIAS LOCALIDADES, PARA LA RELOCALIZACIÓN DE HOGARES LOCALIZADOS EN ZONAS DE ALTO RIESGO NO MITIGABLE ID:2010-5-11595, LOCALIDAD:05 USME, UPZ:57 GRAN YOMASA, SECTOR:OLA INVERNAL 2010 FOPAE</v>
          </cell>
          <cell r="R2568">
            <v>2582006</v>
          </cell>
          <cell r="S2568">
            <v>0</v>
          </cell>
          <cell r="T2568">
            <v>0</v>
          </cell>
          <cell r="U2568">
            <v>2582006</v>
          </cell>
          <cell r="V2568">
            <v>368858</v>
          </cell>
        </row>
        <row r="2569">
          <cell r="J2569">
            <v>2354</v>
          </cell>
          <cell r="K2569">
            <v>43279</v>
          </cell>
          <cell r="L2569" t="str">
            <v>PATRICIA  MALAGON RINCON</v>
          </cell>
          <cell r="M2569">
            <v>31</v>
          </cell>
          <cell r="N2569" t="str">
            <v>RESOLUCION</v>
          </cell>
          <cell r="O2569">
            <v>2748</v>
          </cell>
          <cell r="P2569">
            <v>43279</v>
          </cell>
          <cell r="Q2569" t="str">
            <v>AYUDA TEMPORAL A LAS FAMILIAS DE VARIAS LOCALIDADES, PARA RELOCALIZACIÓN DE HOGARES LOCALIZADOS EN ZONAS DE ALTO RIESGO NO MITIGABLE ID:2016-08-14840, LOCALIDAD:08 KENNEDY, UPZ:82 PATIO BONITO, SECTOR:PALMITAS</v>
          </cell>
          <cell r="R2569">
            <v>3098410</v>
          </cell>
          <cell r="S2569">
            <v>0</v>
          </cell>
          <cell r="T2569">
            <v>0</v>
          </cell>
          <cell r="U2569">
            <v>3098410</v>
          </cell>
          <cell r="V2569">
            <v>442630</v>
          </cell>
        </row>
        <row r="2570">
          <cell r="J2570">
            <v>2355</v>
          </cell>
          <cell r="K2570">
            <v>43279</v>
          </cell>
          <cell r="L2570" t="str">
            <v>MARLEN  BELTRAN CASTELLANOS</v>
          </cell>
          <cell r="M2570">
            <v>31</v>
          </cell>
          <cell r="N2570" t="str">
            <v>RESOLUCION</v>
          </cell>
          <cell r="O2570">
            <v>2747</v>
          </cell>
          <cell r="P2570">
            <v>43279</v>
          </cell>
          <cell r="Q2570" t="str">
            <v>AYUDA TEMPORAL A LAS FAMILIAS DE VARIAS LOCALIDADES, PARA RELOCALIZACIÓN DE HOGARES LOCALIZADOS EN ZONAS DE ALTO RIESGO NO MITIGABLE ID:2011-4-12671, LOCALIDAD:04 SAN CRISTÓBAL, UPZ:32 SAN BLAS</v>
          </cell>
          <cell r="R2570">
            <v>3022327</v>
          </cell>
          <cell r="S2570">
            <v>0</v>
          </cell>
          <cell r="T2570">
            <v>0</v>
          </cell>
          <cell r="U2570">
            <v>3022327</v>
          </cell>
          <cell r="V2570">
            <v>431761</v>
          </cell>
        </row>
        <row r="2571">
          <cell r="J2571">
            <v>2356</v>
          </cell>
          <cell r="K2571">
            <v>43279</v>
          </cell>
          <cell r="L2571" t="str">
            <v>JOSE DE JESUS RODRIGUEZ RODRIGUEZ</v>
          </cell>
          <cell r="M2571">
            <v>31</v>
          </cell>
          <cell r="N2571" t="str">
            <v>RESOLUCION</v>
          </cell>
          <cell r="O2571">
            <v>2746</v>
          </cell>
          <cell r="P2571">
            <v>43279</v>
          </cell>
          <cell r="Q2571" t="str">
            <v>AYUDA TEMPORAL A LAS FAMILIAS DE VARIAS LOCALIDADES, PARA RELOCALIZACIÓN DE HOGARES LOCALIZADOS EN ZONAS DE ALTO RIESGO NO MITIGABLE ID:2015-Q03-01427, LOCALIDAD:19 CIUDAD BOLÍVAR, UPZ:66 SAN FRANCISCO, SECTOR:LIMAS</v>
          </cell>
          <cell r="R2571">
            <v>4059405</v>
          </cell>
          <cell r="S2571">
            <v>0</v>
          </cell>
          <cell r="T2571">
            <v>0</v>
          </cell>
          <cell r="U2571">
            <v>4059405</v>
          </cell>
          <cell r="V2571">
            <v>451045</v>
          </cell>
        </row>
        <row r="2572">
          <cell r="J2572">
            <v>2357</v>
          </cell>
          <cell r="K2572">
            <v>43279</v>
          </cell>
          <cell r="L2572" t="str">
            <v>FABIAN  CASTRO CASTAÑEDA</v>
          </cell>
          <cell r="M2572">
            <v>31</v>
          </cell>
          <cell r="N2572" t="str">
            <v>RESOLUCION</v>
          </cell>
          <cell r="O2572">
            <v>2745</v>
          </cell>
          <cell r="P2572">
            <v>43279</v>
          </cell>
          <cell r="Q2572" t="str">
            <v>AYUDA TEMPORAL A LAS FAMILIAS DE VARIAS LOCALIDADES, PARA RELOCALIZACIÓN DE HOGARES LOCALIZADOS EN ZONAS DE ALTO RIESGO NO MITIGABLE ID:2015-OTR-01494, LOCALIDAD:11 SUBA, UPZ:71 TIBABUYES, SECTOR:GAVILANES</v>
          </cell>
          <cell r="R2572">
            <v>3585303</v>
          </cell>
          <cell r="S2572">
            <v>0</v>
          </cell>
          <cell r="T2572">
            <v>0</v>
          </cell>
          <cell r="U2572">
            <v>3585303</v>
          </cell>
          <cell r="V2572">
            <v>398367</v>
          </cell>
        </row>
        <row r="2573">
          <cell r="J2573">
            <v>2358</v>
          </cell>
          <cell r="K2573">
            <v>43279</v>
          </cell>
          <cell r="L2573" t="str">
            <v>ANADELIA  MELO JOYA</v>
          </cell>
          <cell r="M2573">
            <v>31</v>
          </cell>
          <cell r="N2573" t="str">
            <v>RESOLUCION</v>
          </cell>
          <cell r="O2573">
            <v>2723</v>
          </cell>
          <cell r="P2573">
            <v>43279</v>
          </cell>
          <cell r="Q2573" t="str">
            <v>AYUDA TEMPORAL A LAS FAMILIAS DE VARIAS LOCALIDADES, PARA LA RELOCALIZACIÓN DE HOGARES LOCALIZADOS EN ZONAS DE ALTO RIESGO NO MITIGABLE ID:2003-19-5220, LOCALIDAD:19 CIUDAD BOLÍVAR, UPZ:69 ISMAEL PERDOMO, SECTOR:ALTOS DE LA ESTANCIA</v>
          </cell>
          <cell r="R2573">
            <v>3363507</v>
          </cell>
          <cell r="S2573">
            <v>0</v>
          </cell>
          <cell r="T2573">
            <v>0</v>
          </cell>
          <cell r="U2573">
            <v>3363507</v>
          </cell>
          <cell r="V2573">
            <v>480501</v>
          </cell>
        </row>
        <row r="2574">
          <cell r="J2574">
            <v>2359</v>
          </cell>
          <cell r="K2574">
            <v>43279</v>
          </cell>
          <cell r="L2574" t="str">
            <v>JORGE RAUL BERMUDEZ ROMERO</v>
          </cell>
          <cell r="M2574">
            <v>31</v>
          </cell>
          <cell r="N2574" t="str">
            <v>RESOLUCION</v>
          </cell>
          <cell r="O2574">
            <v>2744</v>
          </cell>
          <cell r="P2574">
            <v>43279</v>
          </cell>
          <cell r="Q2574" t="str">
            <v>AYUDA TEMPORAL A LAS FAMILIAS DE VARIAS LOCALIDADES, PARA RELOCALIZACIÓN DE HOGARES LOCALIZADOS EN ZONAS DE ALTO RIESGO NO MITIGABLE ID:2009-4-11182, LOCALIDAD:04 SAN CRISTÓBAL, UPZ:50 LA GLORIA</v>
          </cell>
          <cell r="R2574">
            <v>4374958</v>
          </cell>
          <cell r="S2574">
            <v>0</v>
          </cell>
          <cell r="T2574">
            <v>0</v>
          </cell>
          <cell r="U2574">
            <v>4374958</v>
          </cell>
          <cell r="V2574">
            <v>624994</v>
          </cell>
        </row>
        <row r="2575">
          <cell r="J2575">
            <v>2360</v>
          </cell>
          <cell r="K2575">
            <v>43279</v>
          </cell>
          <cell r="L2575" t="str">
            <v>YENNY PAOLA DAZA MOTTA</v>
          </cell>
          <cell r="M2575">
            <v>31</v>
          </cell>
          <cell r="N2575" t="str">
            <v>RESOLUCION</v>
          </cell>
          <cell r="O2575">
            <v>2743</v>
          </cell>
          <cell r="P2575">
            <v>43279</v>
          </cell>
          <cell r="Q2575" t="str">
            <v>AYUDA TEMPORAL A LAS FAMILIAS DE VARIAS LOCALIDADES, PARA RELOCALIZACIÓN DE HOGARES LOCALIZADOS EN ZONAS DE ALTO RIESGO NO MITIGABLE ID:2014-4-14720, LOCALIDAD:04 SAN CRISTÓBAL, UPZ:32 SAN BLAS</v>
          </cell>
          <cell r="R2575">
            <v>3796839</v>
          </cell>
          <cell r="S2575">
            <v>0</v>
          </cell>
          <cell r="T2575">
            <v>0</v>
          </cell>
          <cell r="U2575">
            <v>3796839</v>
          </cell>
          <cell r="V2575">
            <v>421871</v>
          </cell>
        </row>
        <row r="2576">
          <cell r="J2576">
            <v>2361</v>
          </cell>
          <cell r="K2576">
            <v>43279</v>
          </cell>
          <cell r="L2576" t="str">
            <v>CLEOFELINA  GARCIA DE CASTRO</v>
          </cell>
          <cell r="M2576">
            <v>31</v>
          </cell>
          <cell r="N2576" t="str">
            <v>RESOLUCION</v>
          </cell>
          <cell r="O2576">
            <v>2742</v>
          </cell>
          <cell r="P2576">
            <v>43279</v>
          </cell>
          <cell r="Q2576" t="str">
            <v>AYUDA TEMPORAL A LAS FAMILIAS DE VARIAS LOCALIDADES, PARA RELOCALIZACIÓN DE HOGARES LOCALIZADOS EN ZONAS DE ALTO RIESGO NO MITIGABLE ID:2014-OTR-00888, LOCALIDAD:03 SANTA FE, UPZ:96 LOURDES, SECTOR:CASA 2</v>
          </cell>
          <cell r="R2576">
            <v>3516527</v>
          </cell>
          <cell r="S2576">
            <v>0</v>
          </cell>
          <cell r="T2576">
            <v>0</v>
          </cell>
          <cell r="U2576">
            <v>3516527</v>
          </cell>
          <cell r="V2576">
            <v>502361</v>
          </cell>
        </row>
        <row r="2577">
          <cell r="J2577">
            <v>2362</v>
          </cell>
          <cell r="K2577">
            <v>43280</v>
          </cell>
          <cell r="L2577" t="str">
            <v>MARIA DEL TRANSITO UYASABA LOPEZ</v>
          </cell>
          <cell r="M2577">
            <v>31</v>
          </cell>
          <cell r="N2577" t="str">
            <v>RESOLUCION</v>
          </cell>
          <cell r="O2577">
            <v>2752</v>
          </cell>
          <cell r="P2577">
            <v>43280</v>
          </cell>
          <cell r="Q2577" t="str">
            <v>AYUDA TEMPORAL A LAS FAMILIAS DE VARIAS LOCALIDADES, PARA RELOCALIZACIÓN DE HOGARES LOCALIZADOS EN ZONAS DE ALTO RIESGO NO MITIGABLE ID:2010-4-12315, LOCALIDAD:04 SAN CRISTÓBAL, UPZ:32 SAN BLAS, SECTOR:OLA INVERNAL 2010 FOPAE</v>
          </cell>
          <cell r="R2577">
            <v>2734347</v>
          </cell>
          <cell r="S2577">
            <v>0</v>
          </cell>
          <cell r="T2577">
            <v>0</v>
          </cell>
          <cell r="U2577">
            <v>2734347</v>
          </cell>
          <cell r="V2577">
            <v>390621</v>
          </cell>
        </row>
        <row r="2578">
          <cell r="J2578">
            <v>2363</v>
          </cell>
          <cell r="K2578">
            <v>43280</v>
          </cell>
          <cell r="L2578" t="str">
            <v>HERMINSO  ALTURO PERDOMO</v>
          </cell>
          <cell r="M2578">
            <v>31</v>
          </cell>
          <cell r="N2578" t="str">
            <v>RESOLUCION</v>
          </cell>
          <cell r="O2578">
            <v>2770</v>
          </cell>
          <cell r="P2578">
            <v>43280</v>
          </cell>
          <cell r="Q2578" t="str">
            <v>AYUDA TEMPORAL A LAS FAMILIAS DE VARIAS LOCALIDADES, PARA RELOCALIZACIÓN DE HOGARES LOCALIZADOS EN ZONAS DE ALTO RIESGO NO MITIGABLE ID:2014-Q07-00795, LOCALIDAD:19 CIUDAD BOLÍVAR, UPZ:68 EL TESORO, SECTOR:QUEBRADA GALINDO</v>
          </cell>
          <cell r="R2578">
            <v>3743922</v>
          </cell>
          <cell r="S2578">
            <v>3743922</v>
          </cell>
          <cell r="T2578">
            <v>0</v>
          </cell>
          <cell r="U2578">
            <v>0</v>
          </cell>
          <cell r="V2578">
            <v>0</v>
          </cell>
        </row>
        <row r="2579">
          <cell r="J2579">
            <v>2364</v>
          </cell>
          <cell r="K2579">
            <v>43280</v>
          </cell>
          <cell r="L2579" t="str">
            <v>MARIA FERNANDA ESPITIA SAGANOME</v>
          </cell>
          <cell r="M2579">
            <v>31</v>
          </cell>
          <cell r="N2579" t="str">
            <v>RESOLUCION</v>
          </cell>
          <cell r="O2579">
            <v>2769</v>
          </cell>
          <cell r="P2579">
            <v>43280</v>
          </cell>
          <cell r="Q2579" t="str">
            <v>AYUDA TEMPORAL A LAS FAMILIAS DE VARIAS LOCALIDADES, PARA LA RELOCALIZACIÓN DE HOGARES LOCALIZADOS EN ZONAS DE ALTO RIESGO NO MITIGABLE ID:2015-OTR-01378, LOCALIDAD:11 SUBA, UPZ:71 TIBABUYES, SECTOR:GAVILANES</v>
          </cell>
          <cell r="R2579">
            <v>2734347</v>
          </cell>
          <cell r="S2579">
            <v>0</v>
          </cell>
          <cell r="T2579">
            <v>0</v>
          </cell>
          <cell r="U2579">
            <v>2734347</v>
          </cell>
          <cell r="V2579">
            <v>390621</v>
          </cell>
        </row>
        <row r="2580">
          <cell r="J2580">
            <v>2365</v>
          </cell>
          <cell r="K2580">
            <v>43280</v>
          </cell>
          <cell r="L2580" t="str">
            <v>MARIA HELENA GALINDO GONZALEZ</v>
          </cell>
          <cell r="M2580">
            <v>31</v>
          </cell>
          <cell r="N2580" t="str">
            <v>RESOLUCION</v>
          </cell>
          <cell r="O2580">
            <v>2768</v>
          </cell>
          <cell r="P2580">
            <v>43280</v>
          </cell>
          <cell r="Q2580" t="str">
            <v>AYUDA TEMPORAL A LAS FAMILIAS DE VARIAS LOCALIDADES, PARA RELOCALIZACIÓN DE HOGARES LOCALIZADOS EN ZONAS DE ALTO RIESGO NO MITIGABLE ID:2014-OTR-00956, LOCALIDAD:19 CIUDAD BOLÍVAR, UPZ:67 LUCERO, SECTOR:TABOR ALTALOMA</v>
          </cell>
          <cell r="R2580">
            <v>3383254</v>
          </cell>
          <cell r="S2580">
            <v>0</v>
          </cell>
          <cell r="T2580">
            <v>0</v>
          </cell>
          <cell r="U2580">
            <v>3383254</v>
          </cell>
          <cell r="V2580">
            <v>483322</v>
          </cell>
        </row>
        <row r="2581">
          <cell r="J2581">
            <v>2366</v>
          </cell>
          <cell r="K2581">
            <v>43280</v>
          </cell>
          <cell r="L2581" t="str">
            <v>SONIA CECILIA BEDOYA TRIANA</v>
          </cell>
          <cell r="M2581">
            <v>31</v>
          </cell>
          <cell r="N2581" t="str">
            <v>RESOLUCION</v>
          </cell>
          <cell r="O2581">
            <v>2767</v>
          </cell>
          <cell r="P2581">
            <v>43280</v>
          </cell>
          <cell r="Q2581" t="str">
            <v>AYUDA TEMPORAL A LAS FAMILIAS DE VARIAS LOCALIDADES, PARA LA RELOCALIZACIÓN DE HOGARES LOCALIZADOS EN ZONAS DE ALTO RIESGO NO MITIGABLE ID:2011-5-13640, LOCALIDAD:05 USME, UPZ:58 COMUNEROS</v>
          </cell>
          <cell r="R2581">
            <v>3249968</v>
          </cell>
          <cell r="S2581">
            <v>0</v>
          </cell>
          <cell r="T2581">
            <v>0</v>
          </cell>
          <cell r="U2581">
            <v>3249968</v>
          </cell>
          <cell r="V2581">
            <v>406246</v>
          </cell>
        </row>
        <row r="2582">
          <cell r="J2582">
            <v>2367</v>
          </cell>
          <cell r="K2582">
            <v>43280</v>
          </cell>
          <cell r="L2582" t="str">
            <v>ANA CECILIA VILLAQUIRA TITIMBO</v>
          </cell>
          <cell r="M2582">
            <v>31</v>
          </cell>
          <cell r="N2582" t="str">
            <v>RESOLUCION</v>
          </cell>
          <cell r="O2582">
            <v>2766</v>
          </cell>
          <cell r="P2582">
            <v>43280</v>
          </cell>
          <cell r="Q2582" t="str">
            <v>AYUDA TEMPORAL A LAS FAMILIAS DE VARIAS LOCALIDADES, PARA RELOCALIZACIÓN DE HOGARES LOCALIZADOS EN ZONAS DE ALTO RIESGO NO MITIGABLE ID:2014-OTR-00950, LOCALIDAD:19 CIUDAD BOLÍVAR, UPZ:67 LUCERO, SECTOR:TABOR ALTALOMA</v>
          </cell>
          <cell r="R2582">
            <v>3718092</v>
          </cell>
          <cell r="S2582">
            <v>0</v>
          </cell>
          <cell r="T2582">
            <v>0</v>
          </cell>
          <cell r="U2582">
            <v>3718092</v>
          </cell>
          <cell r="V2582">
            <v>531156</v>
          </cell>
        </row>
        <row r="2583">
          <cell r="J2583">
            <v>2368</v>
          </cell>
          <cell r="K2583">
            <v>43280</v>
          </cell>
          <cell r="L2583" t="str">
            <v>FLOR MYRIAM CORREA CORREA</v>
          </cell>
          <cell r="M2583">
            <v>31</v>
          </cell>
          <cell r="N2583" t="str">
            <v>RESOLUCION</v>
          </cell>
          <cell r="O2583">
            <v>2765</v>
          </cell>
          <cell r="P2583">
            <v>43280</v>
          </cell>
          <cell r="Q2583" t="str">
            <v>AYUDA TEMPORAL A LAS FAMILIAS DE VARIAS LOCALIDADES, PARA LA RELOCALIZACIÓN DE HOGARES LOCALIZADOS EN ZONAS DE ALTO RIESGO NO MITIGABLE ID:2013-Q04-00757, LOCALIDAD:19 CIUDAD BOLÍVAR, UPZ:67 LUCERO, SECTOR:PEÑA COLORADA</v>
          </cell>
          <cell r="R2583">
            <v>3619000</v>
          </cell>
          <cell r="S2583">
            <v>0</v>
          </cell>
          <cell r="T2583">
            <v>0</v>
          </cell>
          <cell r="U2583">
            <v>3619000</v>
          </cell>
          <cell r="V2583">
            <v>517000</v>
          </cell>
        </row>
        <row r="2584">
          <cell r="J2584">
            <v>2369</v>
          </cell>
          <cell r="K2584">
            <v>43280</v>
          </cell>
          <cell r="L2584" t="str">
            <v>FLOR MARIA JAIME</v>
          </cell>
          <cell r="M2584">
            <v>31</v>
          </cell>
          <cell r="N2584" t="str">
            <v>RESOLUCION</v>
          </cell>
          <cell r="O2584">
            <v>2764</v>
          </cell>
          <cell r="P2584">
            <v>43280</v>
          </cell>
          <cell r="Q2584" t="str">
            <v>AYUDA TEMPORAL A LAS FAMILIAS DE VARIAS LOCALIDADES, PARA LA RELOCALIZACIÓN DE HOGARES LOCALIZADOS EN ZONAS DE ALTO RIESGO NO MITIGABLE ID:2013-Q09-00146, LOCALIDAD:19 CIUDAD BOLÍVAR, UPZ:67 LUCERO, SECTOR:QUEBRADA TROMPETA</v>
          </cell>
          <cell r="R2584">
            <v>2950864</v>
          </cell>
          <cell r="S2584">
            <v>0</v>
          </cell>
          <cell r="T2584">
            <v>0</v>
          </cell>
          <cell r="U2584">
            <v>2950864</v>
          </cell>
          <cell r="V2584">
            <v>368858</v>
          </cell>
        </row>
        <row r="2585">
          <cell r="J2585">
            <v>2370</v>
          </cell>
          <cell r="K2585">
            <v>43280</v>
          </cell>
          <cell r="L2585" t="str">
            <v>MARIA MARGARITA COMESAQUIRA RISCANEVO</v>
          </cell>
          <cell r="M2585">
            <v>31</v>
          </cell>
          <cell r="N2585" t="str">
            <v>RESOLUCION</v>
          </cell>
          <cell r="O2585">
            <v>2763</v>
          </cell>
          <cell r="P2585">
            <v>43280</v>
          </cell>
          <cell r="Q2585" t="str">
            <v>AYUDA TEMPORAL A LAS FAMILIAS DE VARIAS LOCALIDADES, PARA RELOCALIZACIÓN DE HOGARES LOCALIZADOS EN ZONAS DE ALTO RIESGO NO MITIGABLE ID:2012-19-14152, LOCALIDAD:19 CIUDAD BOLÍVAR, UPZ:68 EL TESORO, SECTOR:QUEBRADA TROMPETA</v>
          </cell>
          <cell r="R2585">
            <v>2734347</v>
          </cell>
          <cell r="S2585">
            <v>0</v>
          </cell>
          <cell r="T2585">
            <v>0</v>
          </cell>
          <cell r="U2585">
            <v>2734347</v>
          </cell>
          <cell r="V2585">
            <v>390621</v>
          </cell>
        </row>
        <row r="2586">
          <cell r="J2586">
            <v>2371</v>
          </cell>
          <cell r="K2586">
            <v>43280</v>
          </cell>
          <cell r="L2586" t="str">
            <v>HERMINSO  ALTURO PERDOMO</v>
          </cell>
          <cell r="M2586">
            <v>31</v>
          </cell>
          <cell r="N2586" t="str">
            <v>RESOLUCION</v>
          </cell>
          <cell r="O2586">
            <v>2770</v>
          </cell>
          <cell r="P2586">
            <v>43280</v>
          </cell>
          <cell r="Q2586" t="str">
            <v>AYUDA TEMPORAL A LAS FAMILIAS DE VARIAS LOCALIDADES, PARA LA RELOCALIZACIÓN DE HOGARES LOCALIZADOS EN ZONAS DE ALTO RIESGO NO MITIGABLE ID:2015-OTR-01375, LOCALIDAD:11 SUBA, UPZ:71 TIBABUYES, SECTOR:GAVILANES</v>
          </cell>
          <cell r="R2586">
            <v>3743922</v>
          </cell>
          <cell r="S2586">
            <v>0</v>
          </cell>
          <cell r="T2586">
            <v>0</v>
          </cell>
          <cell r="U2586">
            <v>3743922</v>
          </cell>
          <cell r="V2586">
            <v>534846</v>
          </cell>
        </row>
        <row r="2587">
          <cell r="J2587">
            <v>2372</v>
          </cell>
          <cell r="K2587">
            <v>43280</v>
          </cell>
          <cell r="L2587" t="str">
            <v>MARIA DEL CARMEN GONZALEZ</v>
          </cell>
          <cell r="M2587">
            <v>31</v>
          </cell>
          <cell r="N2587" t="str">
            <v>RESOLUCION</v>
          </cell>
          <cell r="O2587">
            <v>2762</v>
          </cell>
          <cell r="P2587">
            <v>43280</v>
          </cell>
          <cell r="Q2587" t="str">
            <v>AYUDA TEMPORAL A LAS FAMILIAS DE VARIAS LOCALIDADES, PARA RELOCALIZACIÓN DE HOGARES LOCALIZADOS EN ZONAS DE ALTO RIESGO NO MITIGABLE ID:2014-OTR-00966, LOCALIDAD:19 CIUDAD BOLÍVAR, UPZ:67 LUCERO, SECTOR:TABOR ALTALOMA</v>
          </cell>
          <cell r="R2587">
            <v>3619000</v>
          </cell>
          <cell r="S2587">
            <v>0</v>
          </cell>
          <cell r="T2587">
            <v>0</v>
          </cell>
          <cell r="U2587">
            <v>3619000</v>
          </cell>
          <cell r="V2587">
            <v>517000</v>
          </cell>
        </row>
        <row r="2588">
          <cell r="J2588">
            <v>2373</v>
          </cell>
          <cell r="K2588">
            <v>43280</v>
          </cell>
          <cell r="L2588" t="str">
            <v>JOSE QUINTILIANO QUINTERO</v>
          </cell>
          <cell r="M2588">
            <v>31</v>
          </cell>
          <cell r="N2588" t="str">
            <v>RESOLUCION</v>
          </cell>
          <cell r="O2588">
            <v>2761</v>
          </cell>
          <cell r="P2588">
            <v>43280</v>
          </cell>
          <cell r="Q2588" t="str">
            <v>AYUDA TEMPORAL A LAS FAMILIAS DE VARIAS LOCALIDADES, PARA RELOCALIZACIÓN DE HOGARES LOCALIZADOS EN ZONAS DE ALTO RIESGO NO MITIGABLE ID:2013-Q22-00621, LOCALIDAD:04 SAN CRISTÓBAL, UPZ:32 SAN BLAS, SECTOR:FUCHA</v>
          </cell>
          <cell r="R2588">
            <v>2688120</v>
          </cell>
          <cell r="S2588">
            <v>0</v>
          </cell>
          <cell r="T2588">
            <v>0</v>
          </cell>
          <cell r="U2588">
            <v>2688120</v>
          </cell>
          <cell r="V2588">
            <v>0</v>
          </cell>
        </row>
        <row r="2589">
          <cell r="J2589">
            <v>2374</v>
          </cell>
          <cell r="K2589">
            <v>43280</v>
          </cell>
          <cell r="L2589" t="str">
            <v>SANTOS  ORTIZ</v>
          </cell>
          <cell r="M2589">
            <v>31</v>
          </cell>
          <cell r="N2589" t="str">
            <v>RESOLUCION</v>
          </cell>
          <cell r="O2589">
            <v>2760</v>
          </cell>
          <cell r="P2589">
            <v>43280</v>
          </cell>
          <cell r="Q2589" t="str">
            <v>AYUDA TEMPORAL A LAS FAMILIAS DE VARIAS LOCALIDADES, PARA LA RELOCALIZACIÓN DE HOGARES LOCALIZADOS EN ZONAS DE ALTO RIESGO NO MITIGABLE ID:2007-19-10331, LOCALIDAD:19 CIUDAD BOLÍVAR, UPZ:67 LUCERO, SECTOR:QUEBRADA HONDA</v>
          </cell>
          <cell r="R2589">
            <v>2796906</v>
          </cell>
          <cell r="S2589">
            <v>0</v>
          </cell>
          <cell r="T2589">
            <v>0</v>
          </cell>
          <cell r="U2589">
            <v>2796906</v>
          </cell>
          <cell r="V2589">
            <v>399558</v>
          </cell>
        </row>
        <row r="2590">
          <cell r="J2590">
            <v>2375</v>
          </cell>
          <cell r="K2590">
            <v>43280</v>
          </cell>
          <cell r="L2590" t="str">
            <v>HECTOR DANILO FORERO PALACIO</v>
          </cell>
          <cell r="M2590">
            <v>31</v>
          </cell>
          <cell r="N2590" t="str">
            <v>RESOLUCION</v>
          </cell>
          <cell r="O2590">
            <v>2759</v>
          </cell>
          <cell r="P2590">
            <v>43280</v>
          </cell>
          <cell r="Q2590" t="str">
            <v>AYUDA TEMPORAL A LAS FAMILIAS DE VARIAS LOCALIDADES, PARA LA RELOCALIZACIÓN DE HOGARES LOCALIZADOS EN ZONAS DE ALTO RIESGO NO MITIGABLE ID:2015-D227-00046, LOCALIDAD:04 SAN CRISTÓBAL, UPZ:51 LOS LIBERTADORES, SECTOR:SANTA TERESITA</v>
          </cell>
          <cell r="R2590">
            <v>2582006</v>
          </cell>
          <cell r="S2590">
            <v>2582006</v>
          </cell>
          <cell r="T2590">
            <v>0</v>
          </cell>
          <cell r="U2590">
            <v>0</v>
          </cell>
          <cell r="V2590">
            <v>0</v>
          </cell>
        </row>
        <row r="2591">
          <cell r="J2591">
            <v>2376</v>
          </cell>
          <cell r="K2591">
            <v>43280</v>
          </cell>
          <cell r="L2591" t="str">
            <v>SANDRA PATRICIA CARRILLO VILLOTA</v>
          </cell>
          <cell r="M2591">
            <v>31</v>
          </cell>
          <cell r="N2591" t="str">
            <v>RESOLUCION</v>
          </cell>
          <cell r="O2591">
            <v>2758</v>
          </cell>
          <cell r="P2591">
            <v>43280</v>
          </cell>
          <cell r="Q2591" t="str">
            <v>AYUDA TEMPORAL A LAS FAMILIAS DE VARIAS LOCALIDADES, PARA RELOCALIZACIÓN DE HOGARES LOCALIZADOS EN ZONAS DE ALTO RIESGO NO MITIGABLE ID:2014-Q04-01105, LOCALIDAD:19 CIUDAD BOLÍVAR, UPZ:67 LUCERO, SECTOR:PEÑA COLORADA</v>
          </cell>
          <cell r="R2591">
            <v>3157315</v>
          </cell>
          <cell r="S2591">
            <v>0</v>
          </cell>
          <cell r="T2591">
            <v>0</v>
          </cell>
          <cell r="U2591">
            <v>3157315</v>
          </cell>
          <cell r="V2591">
            <v>451045</v>
          </cell>
        </row>
        <row r="2592">
          <cell r="J2592">
            <v>2377</v>
          </cell>
          <cell r="K2592">
            <v>43280</v>
          </cell>
          <cell r="L2592" t="str">
            <v>MARIA AMPARO GONZALEZ SILVA</v>
          </cell>
          <cell r="M2592">
            <v>31</v>
          </cell>
          <cell r="N2592" t="str">
            <v>RESOLUCION</v>
          </cell>
          <cell r="O2592">
            <v>2757</v>
          </cell>
          <cell r="P2592">
            <v>43280</v>
          </cell>
          <cell r="Q2592" t="str">
            <v>AYUDA TEMPORAL A LAS FAMILIAS DE VARIAS LOCALIDADES, PARA RELOCALIZACIÓN DE HOGARES LOCALIZADOS EN ZONAS DE ALTO RIESGO NO MITIGABLE ID:1999-4-3052, LOCALIDAD:04 SAN CRISTÓBAL, UPZ:32 SAN BLAS</v>
          </cell>
          <cell r="R2592">
            <v>3515589</v>
          </cell>
          <cell r="S2592">
            <v>0</v>
          </cell>
          <cell r="T2592">
            <v>0</v>
          </cell>
          <cell r="U2592">
            <v>3515589</v>
          </cell>
          <cell r="V2592">
            <v>390621</v>
          </cell>
        </row>
        <row r="2593">
          <cell r="J2593">
            <v>2378</v>
          </cell>
          <cell r="K2593">
            <v>43280</v>
          </cell>
          <cell r="L2593" t="str">
            <v>FERNANDO  NEGRIA CHAMAPURO</v>
          </cell>
          <cell r="M2593">
            <v>31</v>
          </cell>
          <cell r="N2593" t="str">
            <v>RESOLUCION</v>
          </cell>
          <cell r="O2593">
            <v>2756</v>
          </cell>
          <cell r="P2593">
            <v>43280</v>
          </cell>
          <cell r="Q2593" t="str">
            <v>AYUDA TEMPORAL A LAS FAMILIAS DE VARIAS LOCALIDADES, PARA RELOCALIZACIÓN DE HOGARES LOCALIZADOS EN ZONAS DE ALTO RIESGO NO MITIGABLE ID:2014-W166-007, LOCALIDAD:19 CIUDAD BOLÍVAR, UPZ:68 EL TESORO, SECTOR:WOUNAAN</v>
          </cell>
          <cell r="R2593">
            <v>5219370</v>
          </cell>
          <cell r="S2593">
            <v>0</v>
          </cell>
          <cell r="T2593">
            <v>0</v>
          </cell>
          <cell r="U2593">
            <v>5219370</v>
          </cell>
          <cell r="V2593">
            <v>579930</v>
          </cell>
        </row>
        <row r="2594">
          <cell r="J2594">
            <v>2379</v>
          </cell>
          <cell r="K2594">
            <v>43280</v>
          </cell>
          <cell r="L2594" t="str">
            <v>NATALI  RIVERA PELAEZ</v>
          </cell>
          <cell r="M2594">
            <v>31</v>
          </cell>
          <cell r="N2594" t="str">
            <v>RESOLUCION</v>
          </cell>
          <cell r="O2594">
            <v>2755</v>
          </cell>
          <cell r="P2594">
            <v>43280</v>
          </cell>
          <cell r="Q2594" t="str">
            <v>AYUDA TEMPORAL A LAS FAMILIAS DE VARIAS LOCALIDADES, PARA RELOCALIZACIÓN DE HOGARES LOCALIZADOS EN ZONAS DE ALTO RIESGO NO MITIGABLE ID:2016-08-14792, LOCALIDAD:08 KENNEDY, UPZ:82 PATIO BONITO, SECTOR:PALMITAS</v>
          </cell>
          <cell r="R2594">
            <v>3718092</v>
          </cell>
          <cell r="S2594">
            <v>0</v>
          </cell>
          <cell r="T2594">
            <v>0</v>
          </cell>
          <cell r="U2594">
            <v>3718092</v>
          </cell>
          <cell r="V2594">
            <v>531156</v>
          </cell>
        </row>
        <row r="2595">
          <cell r="J2595">
            <v>2380</v>
          </cell>
          <cell r="K2595">
            <v>43280</v>
          </cell>
          <cell r="L2595" t="str">
            <v>MONICA LILIANA RODRIGUEZ VELASQUEZ</v>
          </cell>
          <cell r="M2595">
            <v>31</v>
          </cell>
          <cell r="N2595" t="str">
            <v>RESOLUCION</v>
          </cell>
          <cell r="O2595">
            <v>2754</v>
          </cell>
          <cell r="P2595">
            <v>43280</v>
          </cell>
          <cell r="Q2595" t="str">
            <v>AYUDA TEMPORAL A LAS FAMILIAS DE VARIAS LOCALIDADES, PARA RELOCALIZACIÓN DE HOGARES LOCALIZADOS EN ZONAS DE ALTO RIESGO NO MITIGABLE ID:2015-OTR-01372, LOCALIDAD:11 SUBA, UPZ:71 TIBABUYES, SECTOR:GAVILANES</v>
          </cell>
          <cell r="R2595">
            <v>3516527</v>
          </cell>
          <cell r="S2595">
            <v>0</v>
          </cell>
          <cell r="T2595">
            <v>0</v>
          </cell>
          <cell r="U2595">
            <v>3516527</v>
          </cell>
          <cell r="V2595">
            <v>502361</v>
          </cell>
        </row>
        <row r="2596">
          <cell r="J2596">
            <v>2381</v>
          </cell>
          <cell r="K2596">
            <v>43280</v>
          </cell>
          <cell r="L2596" t="str">
            <v>ROSA ELENA ARIAS ARIAS</v>
          </cell>
          <cell r="M2596">
            <v>31</v>
          </cell>
          <cell r="N2596" t="str">
            <v>RESOLUCION</v>
          </cell>
          <cell r="O2596">
            <v>2753</v>
          </cell>
          <cell r="P2596">
            <v>43280</v>
          </cell>
          <cell r="Q2596" t="str">
            <v>AYUDA TEMPORAL A LAS FAMILIAS DE VARIAS LOCALIDADES, PARA RELOCALIZACIÓN DE HOGARES LOCALIZADOS EN ZONAS DE ALTO RIESGO NO MITIGABLE ID:2015-OTR-01535, LOCALIDAD:05 USME, UPZ:52 LA FLORA</v>
          </cell>
          <cell r="R2596">
            <v>4465629</v>
          </cell>
          <cell r="S2596">
            <v>0</v>
          </cell>
          <cell r="T2596">
            <v>0</v>
          </cell>
          <cell r="U2596">
            <v>4465629</v>
          </cell>
          <cell r="V2596">
            <v>496181</v>
          </cell>
        </row>
        <row r="2597">
          <cell r="J2597">
            <v>2382</v>
          </cell>
          <cell r="K2597">
            <v>43280</v>
          </cell>
          <cell r="L2597" t="str">
            <v>SOCORRO  QUIROGA QUIROGA</v>
          </cell>
          <cell r="M2597">
            <v>31</v>
          </cell>
          <cell r="N2597" t="str">
            <v>RESOLUCION</v>
          </cell>
          <cell r="O2597">
            <v>2733</v>
          </cell>
          <cell r="P2597">
            <v>43280</v>
          </cell>
          <cell r="Q2597" t="str">
            <v>AYUDA TEMPORAL A LAS FAMILIAS DE VARIAS LOCALIDADES, PARA RELOCALIZACIÓN DE HOGARES LOCALIZADOS EN ZONAS DE ALTO RIESGO NO MITIGABLE ID:2011-4-12923, LOCALIDAD:04 SAN CRISTÓBAL, UPZ:50 LA GLORIA</v>
          </cell>
          <cell r="R2597">
            <v>2895704</v>
          </cell>
          <cell r="S2597">
            <v>0</v>
          </cell>
          <cell r="T2597">
            <v>0</v>
          </cell>
          <cell r="U2597">
            <v>2895704</v>
          </cell>
          <cell r="V2597">
            <v>413672</v>
          </cell>
        </row>
        <row r="2598">
          <cell r="J2598">
            <v>2383</v>
          </cell>
          <cell r="K2598">
            <v>43280</v>
          </cell>
          <cell r="L2598" t="str">
            <v>AMPARO  CHAPARRO</v>
          </cell>
          <cell r="M2598">
            <v>31</v>
          </cell>
          <cell r="N2598" t="str">
            <v>RESOLUCION</v>
          </cell>
          <cell r="O2598">
            <v>2624</v>
          </cell>
          <cell r="P2598">
            <v>43280</v>
          </cell>
          <cell r="Q2598" t="str">
            <v>AYUDA TEMPORAL A LAS FAMILIAS DE VARIAS LOCALIDADES, PARA LA RELOCALIZACIÓN DE HOGARES LOCALIZADOS EN ZONAS DE ALTO RIESGO NO MITIGABLE ID:2013-Q04-00287, LOCALIDAD:19 CIUDAD BOLÍVAR, UPZ:67 LUCERO, SECTOR:PEÑA COLORADA</v>
          </cell>
          <cell r="R2598">
            <v>3515589</v>
          </cell>
          <cell r="S2598">
            <v>0</v>
          </cell>
          <cell r="T2598">
            <v>0</v>
          </cell>
          <cell r="U2598">
            <v>3515589</v>
          </cell>
          <cell r="V2598">
            <v>390621</v>
          </cell>
        </row>
        <row r="2599">
          <cell r="J2599">
            <v>2384</v>
          </cell>
          <cell r="K2599">
            <v>43280</v>
          </cell>
          <cell r="L2599" t="str">
            <v>GEIDY MARCELA SAGANOME CABRERA</v>
          </cell>
          <cell r="M2599">
            <v>31</v>
          </cell>
          <cell r="N2599" t="str">
            <v>RESOLUCION</v>
          </cell>
          <cell r="O2599">
            <v>2623</v>
          </cell>
          <cell r="P2599">
            <v>43280</v>
          </cell>
          <cell r="Q2599" t="str">
            <v>AYUDA TEMPORAL A LAS FAMILIAS DE VARIAS LOCALIDADES, PARA LA RELOCALIZACIÓN DE HOGARES LOCALIZADOS EN ZONAS DE ALTO RIESGO NO MITIGABLE ID:2014-OTR-01193, LOCALIDAD:11 SUBA, UPZ:71 TIBABUYES, SECTOR:GAVILANES</v>
          </cell>
          <cell r="R2599">
            <v>3017000</v>
          </cell>
          <cell r="S2599">
            <v>0</v>
          </cell>
          <cell r="T2599">
            <v>0</v>
          </cell>
          <cell r="U2599">
            <v>3017000</v>
          </cell>
          <cell r="V2599">
            <v>431000</v>
          </cell>
        </row>
        <row r="2600">
          <cell r="J2600">
            <v>2385</v>
          </cell>
          <cell r="K2600">
            <v>43280</v>
          </cell>
          <cell r="L2600" t="str">
            <v>LUZ ADRIANA TUNJUELO NIEVES</v>
          </cell>
          <cell r="M2600">
            <v>31</v>
          </cell>
          <cell r="N2600" t="str">
            <v>RESOLUCION</v>
          </cell>
          <cell r="O2600">
            <v>2622</v>
          </cell>
          <cell r="P2600">
            <v>43280</v>
          </cell>
          <cell r="Q2600" t="str">
            <v>AYUDA TEMPORAL A LAS FAMILIAS DE VARIAS LOCALIDADES, PARA LA RELOCALIZACIÓN DE HOGARES LOCALIZADOS EN ZONAS DE ALTO RIESGO NO MITIGABLE ID:2012-ALES-328, LOCALIDAD:19 CIUDAD BOLÍVAR, UPZ:69 ISMAEL PERDOMO, SECTOR:ALTOS DE LA ESTANCIA</v>
          </cell>
          <cell r="R2600">
            <v>3678480</v>
          </cell>
          <cell r="S2600">
            <v>0</v>
          </cell>
          <cell r="T2600">
            <v>0</v>
          </cell>
          <cell r="U2600">
            <v>3678480</v>
          </cell>
          <cell r="V2600">
            <v>459810</v>
          </cell>
        </row>
        <row r="2601">
          <cell r="J2601">
            <v>2386</v>
          </cell>
          <cell r="K2601">
            <v>43280</v>
          </cell>
          <cell r="L2601" t="str">
            <v>MARIA LUCENA QUINTERO ARIAS</v>
          </cell>
          <cell r="M2601">
            <v>31</v>
          </cell>
          <cell r="N2601" t="str">
            <v>RESOLUCION</v>
          </cell>
          <cell r="O2601">
            <v>2741</v>
          </cell>
          <cell r="P2601">
            <v>43280</v>
          </cell>
          <cell r="Q2601" t="str">
            <v>AYUDA TEMPORAL A LAS FAMILIAS DE VARIAS LOCALIDADES, PARA RELOCALIZACIÓN DE HOGARES LOCALIZADOS EN ZONAS DE ALTO RIESGO NO MITIGABLE ID:2011-19-12886, LOCALIDAD:19 CIUDAD BOLÍVAR, UPZ:67 LUCERO</v>
          </cell>
          <cell r="R2601">
            <v>2924376</v>
          </cell>
          <cell r="S2601">
            <v>0</v>
          </cell>
          <cell r="T2601">
            <v>0</v>
          </cell>
          <cell r="U2601">
            <v>2924376</v>
          </cell>
          <cell r="V2601">
            <v>417768</v>
          </cell>
        </row>
        <row r="2602">
          <cell r="J2602">
            <v>2387</v>
          </cell>
          <cell r="K2602">
            <v>43280</v>
          </cell>
          <cell r="L2602" t="str">
            <v>SARA  RODRIGUEZ RODRIGUEZ</v>
          </cell>
          <cell r="M2602">
            <v>31</v>
          </cell>
          <cell r="N2602" t="str">
            <v>RESOLUCION</v>
          </cell>
          <cell r="O2602">
            <v>2621</v>
          </cell>
          <cell r="P2602">
            <v>43280</v>
          </cell>
          <cell r="Q2602" t="str">
            <v>AYUDA TEMPORAL A LAS FAMILIAS DE VARIAS LOCALIDADES, PARA LA RELOCALIZACIÓN DE HOGARES LOCALIZADOS EN ZONAS DE ALTO RIESGO NO MITIGABLE ID:2013-Q09-00438, LOCALIDAD:19 CIUDAD BOLÍVAR, UPZ:67 LUCERO, SECTOR:QUEBRADA TROMPETA</v>
          </cell>
          <cell r="R2602">
            <v>2843722</v>
          </cell>
          <cell r="S2602">
            <v>0</v>
          </cell>
          <cell r="T2602">
            <v>0</v>
          </cell>
          <cell r="U2602">
            <v>2843722</v>
          </cell>
          <cell r="V2602">
            <v>406246</v>
          </cell>
        </row>
        <row r="2603">
          <cell r="J2603">
            <v>2388</v>
          </cell>
          <cell r="K2603">
            <v>43280</v>
          </cell>
          <cell r="L2603" t="str">
            <v>CLAUDIA PATRICIA POLOCHE</v>
          </cell>
          <cell r="M2603">
            <v>31</v>
          </cell>
          <cell r="N2603" t="str">
            <v>RESOLUCION</v>
          </cell>
          <cell r="O2603">
            <v>2740</v>
          </cell>
          <cell r="P2603">
            <v>43280</v>
          </cell>
          <cell r="Q2603" t="str">
            <v>AYUDA TEMPORAL A LAS FAMILIAS DE VARIAS LOCALIDADES, PARA RELOCALIZACIÓN DE HOGARES LOCALIZADOS EN ZONAS DE ALTO RIESGO NO MITIGABLE ID:2010-4-11980, LOCALIDAD:04 SAN CRISTÓBAL, UPZ:32 SAN BLAS, SECTOR:OLA INVERNAL 2010 FOPAE</v>
          </cell>
          <cell r="R2603">
            <v>2845920</v>
          </cell>
          <cell r="S2603">
            <v>0</v>
          </cell>
          <cell r="T2603">
            <v>0</v>
          </cell>
          <cell r="U2603">
            <v>2845920</v>
          </cell>
          <cell r="V2603">
            <v>406560</v>
          </cell>
        </row>
        <row r="2604">
          <cell r="J2604">
            <v>2389</v>
          </cell>
          <cell r="K2604">
            <v>43280</v>
          </cell>
          <cell r="L2604" t="str">
            <v>ANGELINA  CARRILLO LASSO</v>
          </cell>
          <cell r="M2604">
            <v>31</v>
          </cell>
          <cell r="N2604" t="str">
            <v>RESOLUCION</v>
          </cell>
          <cell r="O2604">
            <v>2620</v>
          </cell>
          <cell r="P2604">
            <v>43280</v>
          </cell>
          <cell r="Q2604" t="str">
            <v>AYUDA TEMPORAL A LAS FAMILIAS DE VARIAS LOCALIDADES, PARA LA RELOCALIZACIÓN DE HOGARES LOCALIZADOS EN ZONAS DE ALTO RIESGO NO MITIGABLE ID:2014-Q03-01007, LOCALIDAD:19 CIUDAD BOLÍVAR, UPZ:66 SAN FRANCISCO, SECTOR:LIMAS</v>
          </cell>
          <cell r="R2604">
            <v>3157315</v>
          </cell>
          <cell r="S2604">
            <v>0</v>
          </cell>
          <cell r="T2604">
            <v>0</v>
          </cell>
          <cell r="U2604">
            <v>3157315</v>
          </cell>
          <cell r="V2604">
            <v>451045</v>
          </cell>
        </row>
        <row r="2605">
          <cell r="J2605">
            <v>2390</v>
          </cell>
          <cell r="K2605">
            <v>43280</v>
          </cell>
          <cell r="L2605" t="str">
            <v>BLANCA DORIS FERNANDEZ</v>
          </cell>
          <cell r="M2605">
            <v>31</v>
          </cell>
          <cell r="N2605" t="str">
            <v>RESOLUCION</v>
          </cell>
          <cell r="O2605">
            <v>2619</v>
          </cell>
          <cell r="P2605">
            <v>43280</v>
          </cell>
          <cell r="Q2605" t="str">
            <v>AYUDA TEMPORAL A LAS FAMILIAS DE VARIAS LOCALIDADES, PARA LA RELOCALIZACIÓN DE HOGARES LOCALIZADOS EN ZONAS DE ALTO RIESGO NO MITIGABLE ID:2013-Q09-00189, LOCALIDAD:19 CIUDAD BOLÍVAR, UPZ:67 LUCERO, SECTOR:QUEBRADA TROMPETA</v>
          </cell>
          <cell r="R2605">
            <v>3608360</v>
          </cell>
          <cell r="S2605">
            <v>0</v>
          </cell>
          <cell r="T2605">
            <v>0</v>
          </cell>
          <cell r="U2605">
            <v>3608360</v>
          </cell>
          <cell r="V2605">
            <v>451045</v>
          </cell>
        </row>
        <row r="2606">
          <cell r="J2606">
            <v>2391</v>
          </cell>
          <cell r="K2606">
            <v>43280</v>
          </cell>
          <cell r="L2606" t="str">
            <v>GLORIA INES ESPINOSA DE OCAMPO</v>
          </cell>
          <cell r="M2606">
            <v>31</v>
          </cell>
          <cell r="N2606" t="str">
            <v>RESOLUCION</v>
          </cell>
          <cell r="O2606">
            <v>2739</v>
          </cell>
          <cell r="P2606">
            <v>43280</v>
          </cell>
          <cell r="Q2606" t="str">
            <v>AYUDA TEMPORAL A LAS FAMILIAS DE VARIAS LOCALIDADES, PARA RELOCALIZACIÓN DE HOGARES LOCALIZADOS EN ZONAS DE ALTO RIESGO NO MITIGABLE ID:2013000562, LOCALIDAD:05 USME, UPZ:56 DANUBIO, SECTOR:HOYA DEL RAMO</v>
          </cell>
          <cell r="R2606">
            <v>3201695</v>
          </cell>
          <cell r="S2606">
            <v>0</v>
          </cell>
          <cell r="T2606">
            <v>0</v>
          </cell>
          <cell r="U2606">
            <v>3201695</v>
          </cell>
          <cell r="V2606">
            <v>457385</v>
          </cell>
        </row>
        <row r="2607">
          <cell r="J2607">
            <v>2392</v>
          </cell>
          <cell r="K2607">
            <v>43280</v>
          </cell>
          <cell r="L2607" t="str">
            <v>DANILO  MORERA CARDENAS</v>
          </cell>
          <cell r="M2607">
            <v>31</v>
          </cell>
          <cell r="N2607" t="str">
            <v>RESOLUCION</v>
          </cell>
          <cell r="O2607">
            <v>2618</v>
          </cell>
          <cell r="P2607">
            <v>43280</v>
          </cell>
          <cell r="Q2607" t="str">
            <v>AYUDA TEMPORAL A LAS FAMILIAS DE VARIAS LOCALIDADES, PARA LA RELOCALIZACIÓN DE HOGARES LOCALIZADOS EN ZONAS DE ALTO RIESGO NO MITIGABLE ID:2013-Q04-00117, LOCALIDAD:04 SAN CRISTÓBAL, UPZ:51 LOS LIBERTADORES, SECTOR:QUEBRADA VEREJONES</v>
          </cell>
          <cell r="R2607">
            <v>3619000</v>
          </cell>
          <cell r="S2607">
            <v>0</v>
          </cell>
          <cell r="T2607">
            <v>0</v>
          </cell>
          <cell r="U2607">
            <v>3619000</v>
          </cell>
          <cell r="V2607">
            <v>517000</v>
          </cell>
        </row>
        <row r="2608">
          <cell r="J2608">
            <v>2393</v>
          </cell>
          <cell r="K2608">
            <v>43280</v>
          </cell>
          <cell r="L2608" t="str">
            <v>DORIS ALICIA MARIÑO URIBE</v>
          </cell>
          <cell r="M2608">
            <v>31</v>
          </cell>
          <cell r="N2608" t="str">
            <v>RESOLUCION</v>
          </cell>
          <cell r="O2608">
            <v>2738</v>
          </cell>
          <cell r="P2608">
            <v>43280</v>
          </cell>
          <cell r="Q2608" t="str">
            <v>AYUDA TEMPORAL A LAS FAMILIAS DE VARIAS LOCALIDADES, PARA RELOCALIZACIÓN DE HOGARES LOCALIZADOS EN ZONAS DE ALTO RIESGO NO MITIGABLE ID:2005-4-6467, LOCALIDAD:04 SAN CRISTÓBAL, UPZ:51 LOS LIBERTADORES</v>
          </cell>
          <cell r="R2608">
            <v>2685291</v>
          </cell>
          <cell r="S2608">
            <v>0</v>
          </cell>
          <cell r="T2608">
            <v>0</v>
          </cell>
          <cell r="U2608">
            <v>2685291</v>
          </cell>
          <cell r="V2608">
            <v>383613</v>
          </cell>
        </row>
        <row r="2609">
          <cell r="J2609">
            <v>2394</v>
          </cell>
          <cell r="K2609">
            <v>43280</v>
          </cell>
          <cell r="L2609" t="str">
            <v>ILDA LEONOR HIDALGO URREGO</v>
          </cell>
          <cell r="M2609">
            <v>31</v>
          </cell>
          <cell r="N2609" t="str">
            <v>RESOLUCION</v>
          </cell>
          <cell r="O2609">
            <v>2378</v>
          </cell>
          <cell r="P2609">
            <v>43280</v>
          </cell>
          <cell r="Q2609" t="str">
            <v>AYUDA TEMPORAL A LAS FAMILIAS DE VARIAS LOCALIDADES, PARA LA RELOCALIZACIÓN DE HOGARES LOCALIZADOS EN ZONAS DE ALTO RIESGO NO MITIGABLE ID:2012-19-14580, LOCALIDAD:19 CIUDAD BOLÍVAR, UPZ:68 EL TESORO, SECTOR:QUEBRADA TROMPETA</v>
          </cell>
          <cell r="R2609">
            <v>3570210</v>
          </cell>
          <cell r="S2609">
            <v>3060180</v>
          </cell>
          <cell r="T2609">
            <v>0</v>
          </cell>
          <cell r="U2609">
            <v>510030</v>
          </cell>
          <cell r="V2609">
            <v>510030</v>
          </cell>
        </row>
        <row r="2610">
          <cell r="J2610">
            <v>2395</v>
          </cell>
          <cell r="K2610">
            <v>43280</v>
          </cell>
          <cell r="L2610" t="str">
            <v>PERCY  RIVAS PERILLA</v>
          </cell>
          <cell r="M2610">
            <v>31</v>
          </cell>
          <cell r="N2610" t="str">
            <v>RESOLUCION</v>
          </cell>
          <cell r="O2610">
            <v>2737</v>
          </cell>
          <cell r="P2610">
            <v>43280</v>
          </cell>
          <cell r="Q2610" t="str">
            <v>AYUDA TEMPORAL A LAS FAMILIAS DE VARIAS LOCALIDADES, PARA RELOCALIZACIÓN DE HOGARES LOCALIZADOS EN ZONAS DE ALTO RIESGO NO MITIGABLE ID:2011-19-12621, LOCALIDAD:19 CIUDAD BOLÍVAR, UPZ:67 LUCERO</v>
          </cell>
          <cell r="R2610">
            <v>1844290</v>
          </cell>
          <cell r="S2610">
            <v>0</v>
          </cell>
          <cell r="T2610">
            <v>0</v>
          </cell>
          <cell r="U2610">
            <v>1844290</v>
          </cell>
          <cell r="V2610">
            <v>368858</v>
          </cell>
        </row>
        <row r="2611">
          <cell r="J2611">
            <v>2396</v>
          </cell>
          <cell r="K2611">
            <v>43280</v>
          </cell>
          <cell r="L2611" t="str">
            <v>CARLOS JOSE DIMATE VILLARRAGA</v>
          </cell>
          <cell r="M2611">
            <v>31</v>
          </cell>
          <cell r="N2611" t="str">
            <v>RESOLUCION</v>
          </cell>
          <cell r="O2611">
            <v>2736</v>
          </cell>
          <cell r="P2611">
            <v>43280</v>
          </cell>
          <cell r="Q2611" t="str">
            <v>AYUDA TEMPORAL A LAS FAMILIAS DE VARIAS LOCALIDADES, PARA RELOCALIZACIÓN DE HOGARES LOCALIZADOS EN ZONAS DE ALTO RIESGO NO MITIGABLE ID:2010-5-11555, LOCALIDAD:05 USME, UPZ:57 GRAN YOMASA, SECTOR:OLA INVERNAL 2010 FOPAE</v>
          </cell>
          <cell r="R2611">
            <v>2924376</v>
          </cell>
          <cell r="S2611">
            <v>0</v>
          </cell>
          <cell r="T2611">
            <v>0</v>
          </cell>
          <cell r="U2611">
            <v>2924376</v>
          </cell>
          <cell r="V2611">
            <v>417768</v>
          </cell>
        </row>
        <row r="2612">
          <cell r="J2612">
            <v>2397</v>
          </cell>
          <cell r="K2612">
            <v>43280</v>
          </cell>
          <cell r="L2612" t="str">
            <v>GIOVANA PAOLA BARBOSA NOGUERA</v>
          </cell>
          <cell r="M2612">
            <v>31</v>
          </cell>
          <cell r="N2612" t="str">
            <v>RESOLUCION</v>
          </cell>
          <cell r="O2612">
            <v>2735</v>
          </cell>
          <cell r="P2612">
            <v>43280</v>
          </cell>
          <cell r="Q2612" t="str">
            <v>AYUDA TEMPORAL A LAS FAMILIAS DE VARIAS LOCALIDADES, PARA RELOCALIZACIÓN DE HOGARES LOCALIZADOS EN ZONAS DE ALTO RIESGO NO MITIGABLE ID:2010-19-11893, LOCALIDAD:19 CIUDAD BOLÍVAR, UPZ:68 EL TESORO, SECTOR:OLA INVERNAL 2010 FOPAE</v>
          </cell>
          <cell r="R2612">
            <v>3769731</v>
          </cell>
          <cell r="S2612">
            <v>0</v>
          </cell>
          <cell r="T2612">
            <v>0</v>
          </cell>
          <cell r="U2612">
            <v>3769731</v>
          </cell>
          <cell r="V2612">
            <v>538533</v>
          </cell>
        </row>
        <row r="2613">
          <cell r="J2613">
            <v>2398</v>
          </cell>
          <cell r="K2613">
            <v>43280</v>
          </cell>
          <cell r="L2613" t="str">
            <v>MILEIDY  MALAGON RINCON</v>
          </cell>
          <cell r="M2613">
            <v>31</v>
          </cell>
          <cell r="N2613" t="str">
            <v>RESOLUCION</v>
          </cell>
          <cell r="O2613">
            <v>2734</v>
          </cell>
          <cell r="P2613">
            <v>43280</v>
          </cell>
          <cell r="Q2613" t="str">
            <v>AYUDA TEMPORAL A LAS FAMILIAS DE VARIAS LOCALIDADES, PARA RELOCALIZACIÓN DE HOGARES LOCALIZADOS EN ZONAS DE ALTO RIESGO NO MITIGABLE ID:2016-08-14771, LOCALIDAD:08 KENNEDY, UPZ:82 PATIO BONITO, SECTOR:PALMITAS</v>
          </cell>
          <cell r="R2613">
            <v>3098412</v>
          </cell>
          <cell r="S2613">
            <v>0</v>
          </cell>
          <cell r="T2613">
            <v>0</v>
          </cell>
          <cell r="U2613">
            <v>3098412</v>
          </cell>
          <cell r="V2613">
            <v>516402</v>
          </cell>
        </row>
        <row r="2614">
          <cell r="J2614">
            <v>2399</v>
          </cell>
          <cell r="K2614">
            <v>43280</v>
          </cell>
          <cell r="L2614" t="str">
            <v>MARIA DEL CARMEN SUAREZ DE BELLO</v>
          </cell>
          <cell r="M2614">
            <v>31</v>
          </cell>
          <cell r="N2614" t="str">
            <v>RESOLUCION</v>
          </cell>
          <cell r="O2614">
            <v>2771</v>
          </cell>
          <cell r="P2614">
            <v>43280</v>
          </cell>
          <cell r="Q2614" t="str">
            <v>VUR de la actual vigencia. La asignación se realiza para dar cumplimiento al fallo de acción popular 2002-00152- Suba Gavilanes. Decreto 255 de 2013.LOCALIDAD: SUBA (GAVILANES); BARRIO: BILBAO; ID:2018-11-15152</v>
          </cell>
          <cell r="R2614">
            <v>39062100</v>
          </cell>
          <cell r="S2614">
            <v>0</v>
          </cell>
          <cell r="T2614">
            <v>0</v>
          </cell>
          <cell r="U2614">
            <v>39062100</v>
          </cell>
          <cell r="V2614">
            <v>0</v>
          </cell>
        </row>
        <row r="2615">
          <cell r="J2615">
            <v>2400</v>
          </cell>
          <cell r="K2615">
            <v>43280</v>
          </cell>
          <cell r="L2615" t="str">
            <v>LUZ MARINA ZEA GUTIERREZ</v>
          </cell>
          <cell r="M2615">
            <v>31</v>
          </cell>
          <cell r="N2615" t="str">
            <v>RESOLUCION</v>
          </cell>
          <cell r="O2615">
            <v>2772</v>
          </cell>
          <cell r="P2615">
            <v>43280</v>
          </cell>
          <cell r="Q2615" t="str">
            <v>VUR de la actual vigencia. La asignación se realiza para dar cumplimiento al fallo de acción popular 2002-00152- Suba Gavilanes. Decreto 255 de 2013. LOCALIDAD: SUBA (GAVILANES); BARRIO: SANTA CECILIA; ID: 2018-11-15140</v>
          </cell>
          <cell r="R2615">
            <v>39062100</v>
          </cell>
          <cell r="S2615">
            <v>0</v>
          </cell>
          <cell r="T2615">
            <v>0</v>
          </cell>
          <cell r="U2615">
            <v>39062100</v>
          </cell>
          <cell r="V2615">
            <v>0</v>
          </cell>
        </row>
        <row r="2616">
          <cell r="J2616">
            <v>2401</v>
          </cell>
          <cell r="K2616">
            <v>43280</v>
          </cell>
          <cell r="L2616" t="str">
            <v>YOLIMA GERTRUDIS AGUILAR VELASQUES</v>
          </cell>
          <cell r="M2616">
            <v>31</v>
          </cell>
          <cell r="N2616" t="str">
            <v>RESOLUCION</v>
          </cell>
          <cell r="O2616">
            <v>2774</v>
          </cell>
          <cell r="P2616">
            <v>43280</v>
          </cell>
          <cell r="Q2616" t="str">
            <v>Asignacion del instrumento financiero a las familias ocupantes del predio que hayan superado la fase de verificacion dentro  del marco del Decreto 457 de 2017. LOCALIDAD: KENNEDY; BARRIO: VEREDITAS; ID: 2017-8-383735</v>
          </cell>
          <cell r="R2616">
            <v>54686940</v>
          </cell>
          <cell r="S2616">
            <v>0</v>
          </cell>
          <cell r="T2616">
            <v>0</v>
          </cell>
          <cell r="U2616">
            <v>54686940</v>
          </cell>
          <cell r="V2616">
            <v>0</v>
          </cell>
        </row>
        <row r="2617">
          <cell r="J2617">
            <v>2402</v>
          </cell>
          <cell r="K2617">
            <v>43280</v>
          </cell>
          <cell r="L2617" t="str">
            <v>BELEN  CASTAÑEDA</v>
          </cell>
          <cell r="M2617">
            <v>31</v>
          </cell>
          <cell r="N2617" t="str">
            <v>RESOLUCION</v>
          </cell>
          <cell r="O2617">
            <v>2773</v>
          </cell>
          <cell r="P2617">
            <v>43280</v>
          </cell>
          <cell r="Q2617" t="str">
            <v>VUR de la actual vigencia. La asignación se realiza para dar cumplimiento al fallo de acción popular 2002-00152- Suba Gavilanes. Decreto 255 de 2013. LOCALIDAD: SUBA (GAVILANES); BARRIO: SANTA CECILIA;ID: 2018-11-15195</v>
          </cell>
          <cell r="R2617">
            <v>39062100</v>
          </cell>
          <cell r="S2617">
            <v>0</v>
          </cell>
          <cell r="T2617">
            <v>0</v>
          </cell>
          <cell r="U2617">
            <v>39062100</v>
          </cell>
          <cell r="V2617">
            <v>0</v>
          </cell>
        </row>
        <row r="2618">
          <cell r="J2618">
            <v>2406</v>
          </cell>
          <cell r="K2618">
            <v>43280</v>
          </cell>
          <cell r="L2618" t="str">
            <v>LILIANA  RODRIGUEZ TOLOSA</v>
          </cell>
          <cell r="M2618">
            <v>31</v>
          </cell>
          <cell r="N2618" t="str">
            <v>RESOLUCION</v>
          </cell>
          <cell r="O2618">
            <v>2826</v>
          </cell>
          <cell r="P2618">
            <v>43280</v>
          </cell>
          <cell r="Q2618" t="str">
            <v>VUR de la actual vigencia. La asignación se realiza para dar cumplimiento al fallo de acción popular 2002-00152- Suba Gavilanes. Dto 255 de 2013. LOCALIDAD: SUBA GAVILANES; BARRIO: BILVAO; ID: 2018-11-15064</v>
          </cell>
          <cell r="R2618">
            <v>39062100</v>
          </cell>
          <cell r="S2618">
            <v>0</v>
          </cell>
          <cell r="T2618">
            <v>0</v>
          </cell>
          <cell r="U2618">
            <v>39062100</v>
          </cell>
          <cell r="V2618">
            <v>0</v>
          </cell>
        </row>
        <row r="2619">
          <cell r="J2619">
            <v>2407</v>
          </cell>
          <cell r="K2619">
            <v>43280</v>
          </cell>
          <cell r="L2619" t="str">
            <v>VICTOR MANUEL ORDOÑEZ MELO</v>
          </cell>
          <cell r="M2619">
            <v>31</v>
          </cell>
          <cell r="N2619" t="str">
            <v>RESOLUCION</v>
          </cell>
          <cell r="O2619">
            <v>2827</v>
          </cell>
          <cell r="P2619">
            <v>43280</v>
          </cell>
          <cell r="Q2619" t="str">
            <v>VUR de la actual vigencia. La asignación se realiza para dar cumplimiento al fallo de acción popular 2002-00152- Suba Gavilanes. Dto 255 de 2013. LOCALIDAD: SUBA GAVILANES; BARRIO: BILVAO; ID: 2018-11-15078</v>
          </cell>
          <cell r="R2619">
            <v>39062100</v>
          </cell>
          <cell r="S2619">
            <v>0</v>
          </cell>
          <cell r="T2619">
            <v>0</v>
          </cell>
          <cell r="U2619">
            <v>39062100</v>
          </cell>
          <cell r="V2619">
            <v>0</v>
          </cell>
        </row>
        <row r="2620">
          <cell r="J2620">
            <v>2408</v>
          </cell>
          <cell r="K2620">
            <v>43280</v>
          </cell>
          <cell r="L2620" t="str">
            <v>RUTH ZAFIR ROJAS CASTILLO</v>
          </cell>
          <cell r="M2620">
            <v>31</v>
          </cell>
          <cell r="N2620" t="str">
            <v>RESOLUCION</v>
          </cell>
          <cell r="O2620">
            <v>2828</v>
          </cell>
          <cell r="P2620">
            <v>43280</v>
          </cell>
          <cell r="Q2620" t="str">
            <v>Excedente de VUR por avaluo comercial.Dto 255 de 2013. LOCALIDAD:SAN CRISTOBAL; BARRIO:QUINDIO; ID:2015-Q20-01326</v>
          </cell>
          <cell r="R2620">
            <v>35479385</v>
          </cell>
          <cell r="S2620">
            <v>0</v>
          </cell>
          <cell r="T2620">
            <v>0</v>
          </cell>
          <cell r="U2620">
            <v>35479385</v>
          </cell>
          <cell r="V2620">
            <v>0</v>
          </cell>
        </row>
        <row r="2621">
          <cell r="J2621">
            <v>2409</v>
          </cell>
          <cell r="K2621">
            <v>43280</v>
          </cell>
          <cell r="L2621" t="str">
            <v>CARLOS  CASTILLO ALMARIO</v>
          </cell>
          <cell r="M2621">
            <v>31</v>
          </cell>
          <cell r="N2621" t="str">
            <v>RESOLUCION</v>
          </cell>
          <cell r="O2621">
            <v>2819</v>
          </cell>
          <cell r="P2621">
            <v>43280</v>
          </cell>
          <cell r="Q2621" t="str">
            <v>reajuste de VUR para completar el cierre financiero de la vivienda de reposición escogida por el beneficiario en el proyecto Torres de San Miguel.LOCALIDAD:CIUDAD BOLIVAR; BARRIO:MIRADOR DE LA ESTANCIA I; ID:2012-ALES-231</v>
          </cell>
          <cell r="R2621">
            <v>4672700</v>
          </cell>
          <cell r="S2621">
            <v>0</v>
          </cell>
          <cell r="T2621">
            <v>0</v>
          </cell>
          <cell r="U2621">
            <v>4672700</v>
          </cell>
          <cell r="V2621">
            <v>0</v>
          </cell>
        </row>
        <row r="2622">
          <cell r="J2622">
            <v>2410</v>
          </cell>
          <cell r="K2622">
            <v>43280</v>
          </cell>
          <cell r="L2622" t="str">
            <v>TERESA DE JESUS ZAMUDIO SIABATO</v>
          </cell>
          <cell r="M2622">
            <v>31</v>
          </cell>
          <cell r="N2622" t="str">
            <v>RESOLUCION</v>
          </cell>
          <cell r="O2622">
            <v>2824</v>
          </cell>
          <cell r="P2622">
            <v>43280</v>
          </cell>
          <cell r="Q2622" t="str">
            <v>VUR de la actual vigencia. La asignación se realiza para dar cumplimiento al fallo de acción popular 2002-00152- Suba Gavilanes. Dto 255 de 2013. LOCALIDAD: SUBA GAVILANES; BARRIO: SANTA CECILIA; ID: 2018-11-15362.</v>
          </cell>
          <cell r="R2622">
            <v>39062100</v>
          </cell>
          <cell r="S2622">
            <v>0</v>
          </cell>
          <cell r="T2622">
            <v>0</v>
          </cell>
          <cell r="U2622">
            <v>39062100</v>
          </cell>
          <cell r="V2622">
            <v>0</v>
          </cell>
        </row>
        <row r="2623">
          <cell r="J2623">
            <v>2411</v>
          </cell>
          <cell r="K2623">
            <v>43280</v>
          </cell>
          <cell r="L2623" t="str">
            <v>MARIA NELCY SASTOQUE VARGAS</v>
          </cell>
          <cell r="M2623">
            <v>31</v>
          </cell>
          <cell r="N2623" t="str">
            <v>RESOLUCION</v>
          </cell>
          <cell r="O2623">
            <v>2829</v>
          </cell>
          <cell r="P2623">
            <v>43280</v>
          </cell>
          <cell r="Q2623" t="str">
            <v>VUR de la actual vigencia. Dto 255 de 2013. LOCALIDAD: CIUDAD BOLIVAR; BARRIO: SAN FRANCISCO; ID: 2015-Q03-03557</v>
          </cell>
          <cell r="R2623">
            <v>39062100</v>
          </cell>
          <cell r="S2623">
            <v>0</v>
          </cell>
          <cell r="T2623">
            <v>0</v>
          </cell>
          <cell r="U2623">
            <v>39062100</v>
          </cell>
          <cell r="V2623">
            <v>0</v>
          </cell>
        </row>
        <row r="2624">
          <cell r="J2624">
            <v>2412</v>
          </cell>
          <cell r="K2624">
            <v>43280</v>
          </cell>
          <cell r="L2624" t="str">
            <v>OCTAVIO  ARIAS SOSSA</v>
          </cell>
          <cell r="M2624">
            <v>31</v>
          </cell>
          <cell r="N2624" t="str">
            <v>RESOLUCION</v>
          </cell>
          <cell r="O2624">
            <v>2801</v>
          </cell>
          <cell r="P2624">
            <v>43280</v>
          </cell>
          <cell r="Q2624" t="str">
            <v>VUR de la actual vigencia. La asignación se realiza para dar cumplimiento al fallo de acción popular 2002-00152- Suba Gavilanes. Dto 255 de 2013. LOCALIDAD: SUBA GAVILANES; BARRIO: SAN PEDRO DE TIBABUYES; ID: 2018-11-15335</v>
          </cell>
          <cell r="R2624">
            <v>39062100</v>
          </cell>
          <cell r="S2624">
            <v>0</v>
          </cell>
          <cell r="T2624">
            <v>0</v>
          </cell>
          <cell r="U2624">
            <v>39062100</v>
          </cell>
          <cell r="V2624">
            <v>0</v>
          </cell>
        </row>
        <row r="2625">
          <cell r="J2625">
            <v>2413</v>
          </cell>
          <cell r="K2625">
            <v>43280</v>
          </cell>
          <cell r="L2625" t="str">
            <v>PETRONILA  CASTILLO</v>
          </cell>
          <cell r="M2625">
            <v>31</v>
          </cell>
          <cell r="N2625" t="str">
            <v>RESOLUCION</v>
          </cell>
          <cell r="O2625">
            <v>2804</v>
          </cell>
          <cell r="P2625">
            <v>43280</v>
          </cell>
          <cell r="Q2625" t="str">
            <v>VUR DE LA ACTUAL VIGENCIA. LA ASIGNACIÓN SE REALIZA PARA DAR CUMPLIMIENTO AL FALLO DE ACCIÓN POPULAR 2002-00152- SUBA GAVILANES. DTO 255 DE 2013. LOCALIDAD: SUBA GAVILANES; BARRIO: SANTA CECILIA; ID: 2018-11-15187.</v>
          </cell>
          <cell r="R2625">
            <v>39062100</v>
          </cell>
          <cell r="S2625">
            <v>0</v>
          </cell>
          <cell r="T2625">
            <v>0</v>
          </cell>
          <cell r="U2625">
            <v>39062100</v>
          </cell>
          <cell r="V2625">
            <v>0</v>
          </cell>
        </row>
        <row r="2626">
          <cell r="J2626">
            <v>2414</v>
          </cell>
          <cell r="K2626">
            <v>43284</v>
          </cell>
          <cell r="L2626" t="str">
            <v>ANA ZORAIDA LEGUIZAMON PICON</v>
          </cell>
          <cell r="M2626">
            <v>31</v>
          </cell>
          <cell r="N2626" t="str">
            <v>RESOLUCION</v>
          </cell>
          <cell r="O2626">
            <v>2818</v>
          </cell>
          <cell r="P2626">
            <v>43284</v>
          </cell>
          <cell r="Q2626" t="str">
            <v>VUR de la actual vigencia. Dto 255 de 2013. LOCALIDAD: SAN CRISTOBAL; BARRIO: MONTEBELLO; ID: 2010-4-11860</v>
          </cell>
          <cell r="R2626">
            <v>39062100</v>
          </cell>
          <cell r="S2626">
            <v>0</v>
          </cell>
          <cell r="T2626">
            <v>0</v>
          </cell>
          <cell r="U2626">
            <v>39062100</v>
          </cell>
          <cell r="V2626">
            <v>0</v>
          </cell>
        </row>
        <row r="2627">
          <cell r="J2627">
            <v>2415</v>
          </cell>
          <cell r="K2627">
            <v>43284</v>
          </cell>
          <cell r="L2627" t="str">
            <v>ANGIE MARCELA GONZALEZ SASTOQUE</v>
          </cell>
          <cell r="M2627">
            <v>31</v>
          </cell>
          <cell r="N2627" t="str">
            <v>RESOLUCION</v>
          </cell>
          <cell r="O2627">
            <v>2820</v>
          </cell>
          <cell r="P2627">
            <v>43284</v>
          </cell>
          <cell r="Q2627" t="str">
            <v>VUR de la actual vigencia. Dto 255 de 2013. LOCALIDAD: CIUDAD BOLIVAR; BARRIO: SAN FRANCISCO; ID: 2018-Q03-15550</v>
          </cell>
          <cell r="R2627">
            <v>39062100</v>
          </cell>
          <cell r="S2627">
            <v>0</v>
          </cell>
          <cell r="T2627">
            <v>0</v>
          </cell>
          <cell r="U2627">
            <v>39062100</v>
          </cell>
          <cell r="V2627">
            <v>0</v>
          </cell>
        </row>
        <row r="2628">
          <cell r="J2628">
            <v>2416</v>
          </cell>
          <cell r="K2628">
            <v>43285</v>
          </cell>
          <cell r="L2628" t="str">
            <v>MARIA LILIA BONILLA</v>
          </cell>
          <cell r="M2628">
            <v>31</v>
          </cell>
          <cell r="N2628" t="str">
            <v>RESOLUCION</v>
          </cell>
          <cell r="O2628">
            <v>2817</v>
          </cell>
          <cell r="P2628">
            <v>43285</v>
          </cell>
          <cell r="Q2628" t="str">
            <v>AYUDA TEMPORAL A LAS FAMILIAS DE VARIAS LOCALIDADES, PARA RELOCALIZACIÓN DE HOGARES LOCALIZADOS EN ZONAS DE ALTO RIESGO NO MITIGABLE ID:2012-19-13821, LOCALIDAD:19 CIUDAD BOLÍVAR, UPZ:67 LUCERO</v>
          </cell>
          <cell r="R2628">
            <v>3374280</v>
          </cell>
          <cell r="S2628">
            <v>0</v>
          </cell>
          <cell r="T2628">
            <v>0</v>
          </cell>
          <cell r="U2628">
            <v>3374280</v>
          </cell>
          <cell r="V2628">
            <v>482040</v>
          </cell>
        </row>
        <row r="2629">
          <cell r="J2629">
            <v>2417</v>
          </cell>
          <cell r="K2629">
            <v>43285</v>
          </cell>
          <cell r="L2629" t="str">
            <v>OMAR  SALAZAR HERNANDEZ</v>
          </cell>
          <cell r="M2629">
            <v>31</v>
          </cell>
          <cell r="N2629" t="str">
            <v>RESOLUCION</v>
          </cell>
          <cell r="O2629">
            <v>2810</v>
          </cell>
          <cell r="P2629">
            <v>43285</v>
          </cell>
          <cell r="Q2629" t="str">
            <v>AYUDA TEMPORAL A LAS FAMILIAS DE VARIAS LOCALIDADES, PARA LA RELOCALIZACIÓN DE HOGARES LOCALIZADOS EN ZONAS DE ALTO RIESGO NO MITIGABLE ID:2008-4-10769, LOCALIDAD:04 SAN CRISTÓBAL, UPZ:51 LOS LIBERTADORES, SECTOR:QUEBRADA VEREJONES</v>
          </cell>
          <cell r="R2629">
            <v>3254769</v>
          </cell>
          <cell r="S2629">
            <v>0</v>
          </cell>
          <cell r="T2629">
            <v>0</v>
          </cell>
          <cell r="U2629">
            <v>3254769</v>
          </cell>
          <cell r="V2629">
            <v>464967</v>
          </cell>
        </row>
        <row r="2630">
          <cell r="J2630">
            <v>2418</v>
          </cell>
          <cell r="K2630">
            <v>43285</v>
          </cell>
          <cell r="L2630" t="str">
            <v>AMADEO  ESPINOSA MONDRAGON</v>
          </cell>
          <cell r="M2630">
            <v>31</v>
          </cell>
          <cell r="N2630" t="str">
            <v>RESOLUCION</v>
          </cell>
          <cell r="O2630">
            <v>2811</v>
          </cell>
          <cell r="P2630">
            <v>43285</v>
          </cell>
          <cell r="Q2630" t="str">
            <v>AYUDA TEMPORAL A LAS FAMILIAS DE VARIAS LOCALIDADES, PARA RELOCALIZACIÓN DE HOGARES LOCALIZADOS EN ZONAS DE ALTO RIESGO NO MITIGABLE ID:2013000257, LOCALIDAD:19 CIUDAD BOLÍVAR, UPZ:67 LUCERO, SECTOR:PEÑA COLORADA</v>
          </cell>
          <cell r="R2630">
            <v>2606135</v>
          </cell>
          <cell r="S2630">
            <v>0</v>
          </cell>
          <cell r="T2630">
            <v>0</v>
          </cell>
          <cell r="U2630">
            <v>2606135</v>
          </cell>
          <cell r="V2630">
            <v>372305</v>
          </cell>
        </row>
        <row r="2631">
          <cell r="J2631">
            <v>2419</v>
          </cell>
          <cell r="K2631">
            <v>43285</v>
          </cell>
          <cell r="L2631" t="str">
            <v>AGUSTIN ENRIQUE GONZALEZ RAMOS</v>
          </cell>
          <cell r="M2631">
            <v>31</v>
          </cell>
          <cell r="N2631" t="str">
            <v>RESOLUCION</v>
          </cell>
          <cell r="O2631">
            <v>2812</v>
          </cell>
          <cell r="P2631">
            <v>43285</v>
          </cell>
          <cell r="Q2631" t="str">
            <v>AYUDA TEMPORAL A LAS FAMILIAS DE VARIAS LOCALIDADES, PARA LA RELOCALIZACIÓN DE HOGARES LOCALIZADOS EN ZONAS DE ALTO RIESGO NO MITIGABLE ID:2010-19-11689, LOCALIDAD:19 CIUDAD BOLÍVAR, UPZ:69 ISMAEL PERDOMO, SECTOR:OLA INVERNAL 2010 FOPAE</v>
          </cell>
          <cell r="R2631">
            <v>2582006</v>
          </cell>
          <cell r="S2631">
            <v>0</v>
          </cell>
          <cell r="T2631">
            <v>0</v>
          </cell>
          <cell r="U2631">
            <v>2582006</v>
          </cell>
          <cell r="V2631">
            <v>368858</v>
          </cell>
        </row>
        <row r="2632">
          <cell r="J2632">
            <v>2420</v>
          </cell>
          <cell r="K2632">
            <v>43285</v>
          </cell>
          <cell r="L2632" t="str">
            <v>OSCAR JAVIER VELANDIA SIERRA</v>
          </cell>
          <cell r="M2632">
            <v>31</v>
          </cell>
          <cell r="N2632" t="str">
            <v>RESOLUCION</v>
          </cell>
          <cell r="O2632">
            <v>2813</v>
          </cell>
          <cell r="P2632">
            <v>43285</v>
          </cell>
          <cell r="Q2632" t="str">
            <v>AYUDA TEMPORAL A LAS FAMILIAS DE VARIAS LOCALIDADES, PARA RELOCALIZACIÓN DE HOGARES LOCALIZADOS EN ZONAS DE ALTO RIESGO NO MITIGABLE ID:2013-Q10-00548, LOCALIDAD:04 SAN CRISTÓBAL, UPZ:51 LOS LIBERTADORES, SECTOR:QUEBRADA VEREJONES</v>
          </cell>
          <cell r="R2632">
            <v>3201695</v>
          </cell>
          <cell r="S2632">
            <v>0</v>
          </cell>
          <cell r="T2632">
            <v>0</v>
          </cell>
          <cell r="U2632">
            <v>3201695</v>
          </cell>
          <cell r="V2632">
            <v>457385</v>
          </cell>
        </row>
        <row r="2633">
          <cell r="J2633">
            <v>2421</v>
          </cell>
          <cell r="K2633">
            <v>43285</v>
          </cell>
          <cell r="L2633" t="str">
            <v>GRACIELA  RUIZ SEGURA</v>
          </cell>
          <cell r="M2633">
            <v>31</v>
          </cell>
          <cell r="N2633" t="str">
            <v>RESOLUCION</v>
          </cell>
          <cell r="O2633">
            <v>2814</v>
          </cell>
          <cell r="P2633">
            <v>43285</v>
          </cell>
          <cell r="Q2633" t="str">
            <v>AYUDA TEMPORAL A LAS FAMILIAS DE VARIAS LOCALIDADES, PARA RELOCALIZACIÓN DE HOGARES LOCALIZADOS EN ZONAS DE ALTO RIESGO NO MITIGABLE ID:2009-5-11048, LOCALIDAD:05 USME, UPZ:57 GRAN YOMASA</v>
          </cell>
          <cell r="R2633">
            <v>3383254</v>
          </cell>
          <cell r="S2633">
            <v>0</v>
          </cell>
          <cell r="T2633">
            <v>0</v>
          </cell>
          <cell r="U2633">
            <v>3383254</v>
          </cell>
          <cell r="V2633">
            <v>483322</v>
          </cell>
        </row>
        <row r="2634">
          <cell r="J2634">
            <v>2422</v>
          </cell>
          <cell r="K2634">
            <v>43285</v>
          </cell>
          <cell r="L2634" t="str">
            <v>GLADYS  CIFUENTES CASTAÑEDA</v>
          </cell>
          <cell r="M2634">
            <v>31</v>
          </cell>
          <cell r="N2634" t="str">
            <v>RESOLUCION</v>
          </cell>
          <cell r="O2634">
            <v>2815</v>
          </cell>
          <cell r="P2634">
            <v>43285</v>
          </cell>
          <cell r="Q2634" t="str">
            <v>AYUDA TEMPORAL A LAS FAMILIAS DE VARIAS LOCALIDADES, PARA RELOCALIZACIÓN DE HOGARES LOCALIZADOS EN ZONAS DE ALTO RIESGO NO MITIGABLE ID:2012-19-14088, LOCALIDAD:19 CIUDAD BOLÍVAR, UPZ:68 EL TESORO, SECTOR:QUEBRADA TROMPETA</v>
          </cell>
          <cell r="R2634">
            <v>2788569</v>
          </cell>
          <cell r="S2634">
            <v>0</v>
          </cell>
          <cell r="T2634">
            <v>0</v>
          </cell>
          <cell r="U2634">
            <v>2788569</v>
          </cell>
          <cell r="V2634">
            <v>398367</v>
          </cell>
        </row>
        <row r="2635">
          <cell r="J2635">
            <v>2423</v>
          </cell>
          <cell r="K2635">
            <v>43285</v>
          </cell>
          <cell r="L2635" t="str">
            <v>YEISON ALEXANDER CHAPARRO ANGULO</v>
          </cell>
          <cell r="M2635">
            <v>31</v>
          </cell>
          <cell r="N2635" t="str">
            <v>RESOLUCION</v>
          </cell>
          <cell r="O2635">
            <v>2816</v>
          </cell>
          <cell r="P2635">
            <v>43285</v>
          </cell>
          <cell r="Q2635" t="str">
            <v>AYUDA TEMPORAL A LAS FAMILIAS DE VARIAS LOCALIDADES, PARA RELOCALIZACIÓN DE HOGARES LOCALIZADOS EN ZONAS DE ALTO RIESGO NO MITIGABLE ID:2011-5-13065, LOCALIDAD:05 USME, UPZ:56 DANUBIO</v>
          </cell>
          <cell r="R2635">
            <v>3769724</v>
          </cell>
          <cell r="S2635">
            <v>0</v>
          </cell>
          <cell r="T2635">
            <v>0</v>
          </cell>
          <cell r="U2635">
            <v>3769724</v>
          </cell>
          <cell r="V2635">
            <v>538532</v>
          </cell>
        </row>
        <row r="2636">
          <cell r="J2636">
            <v>2424</v>
          </cell>
          <cell r="K2636">
            <v>43285</v>
          </cell>
          <cell r="L2636" t="str">
            <v>MARIA  AYALA</v>
          </cell>
          <cell r="M2636">
            <v>31</v>
          </cell>
          <cell r="N2636" t="str">
            <v>RESOLUCION</v>
          </cell>
          <cell r="O2636">
            <v>2823</v>
          </cell>
          <cell r="P2636">
            <v>43285</v>
          </cell>
          <cell r="Q2636" t="str">
            <v>AYUDA TEMPORAL A LAS FAMILIAS DE VARIAS LOCALIDADES, PARA RELOCALIZACIÓN DE HOGARES LOCALIZADOS EN ZONAS DE ALTO RIESGO NO MITIGABLE ID:2006-19-8520, LOCALIDAD:19 CIUDAD BOLÍVAR, UPZ:68 EL TESORO, SECTOR:QUEBRADA EL INFIERNO</v>
          </cell>
          <cell r="R2636">
            <v>3530008</v>
          </cell>
          <cell r="S2636">
            <v>0</v>
          </cell>
          <cell r="T2636">
            <v>0</v>
          </cell>
          <cell r="U2636">
            <v>3530008</v>
          </cell>
          <cell r="V2636">
            <v>441251</v>
          </cell>
        </row>
        <row r="2637">
          <cell r="J2637">
            <v>2425</v>
          </cell>
          <cell r="K2637">
            <v>43285</v>
          </cell>
          <cell r="L2637" t="str">
            <v>DIANA DEL PILAR GALINDO GONZALEZ</v>
          </cell>
          <cell r="M2637">
            <v>31</v>
          </cell>
          <cell r="N2637" t="str">
            <v>RESOLUCION</v>
          </cell>
          <cell r="O2637">
            <v>2796</v>
          </cell>
          <cell r="P2637">
            <v>43285</v>
          </cell>
          <cell r="Q2637" t="str">
            <v>AYUDA TEMPORAL A LAS FAMILIAS DE VARIAS LOCALIDADES, PARA RELOCALIZACIÓN DE HOGARES LOCALIZADOS EN ZONAS DE ALTO RIESGO NO MITIGABLE ID:2014-OTR-00946, LOCALIDAD:19 CIUDAD BOLÍVAR, UPZ:67 LUCERO, SECTOR:TABOR ALTALOMA</v>
          </cell>
          <cell r="R2637">
            <v>3248007</v>
          </cell>
          <cell r="S2637">
            <v>0</v>
          </cell>
          <cell r="T2637">
            <v>0</v>
          </cell>
          <cell r="U2637">
            <v>3248007</v>
          </cell>
          <cell r="V2637">
            <v>464001</v>
          </cell>
        </row>
        <row r="2638">
          <cell r="J2638">
            <v>2428</v>
          </cell>
          <cell r="K2638">
            <v>43285</v>
          </cell>
          <cell r="L2638" t="str">
            <v>MARIA JUDY GARZON GUATAVA</v>
          </cell>
          <cell r="M2638">
            <v>31</v>
          </cell>
          <cell r="N2638" t="str">
            <v>RESOLUCION</v>
          </cell>
          <cell r="O2638">
            <v>2798</v>
          </cell>
          <cell r="P2638">
            <v>43285</v>
          </cell>
          <cell r="Q2638" t="str">
            <v>AYUDA TEMPORAL A LAS FAMILIAS DE VARIAS LOCALIDADES, PARA LA RELOCALIZACIÓN DE HOGARES LOCALIZADOS EN ZONAS DE ALTO RIESGO NO MITIGABLE ID:2012-19-13823, LOCALIDAD:19 CIUDAD BOLÍVAR, UPZ:67 LUCERO, SECTOR:</v>
          </cell>
          <cell r="R2638">
            <v>2582006</v>
          </cell>
          <cell r="S2638">
            <v>0</v>
          </cell>
          <cell r="T2638">
            <v>0</v>
          </cell>
          <cell r="U2638">
            <v>2582006</v>
          </cell>
          <cell r="V2638">
            <v>368858</v>
          </cell>
        </row>
        <row r="2639">
          <cell r="J2639">
            <v>2429</v>
          </cell>
          <cell r="K2639">
            <v>43285</v>
          </cell>
          <cell r="L2639" t="str">
            <v>OLGA  GONZALEZ GONZALEZ</v>
          </cell>
          <cell r="M2639">
            <v>31</v>
          </cell>
          <cell r="N2639" t="str">
            <v>RESOLUCION</v>
          </cell>
          <cell r="O2639">
            <v>2799</v>
          </cell>
          <cell r="P2639">
            <v>43285</v>
          </cell>
          <cell r="Q2639" t="str">
            <v>AYUDA TEMPORAL A LAS FAMILIAS DE VARIAS LOCALIDADES, PARA RELOCALIZACIÓN DE HOGARES LOCALIZADOS EN ZONAS DE ALTO RIESGO NO MITIGABLE ID:2014-Q01-01192, LOCALIDAD:05 USME, UPZ:56 DANUBIO, SECTOR:HOYA DEL RAMO</v>
          </cell>
          <cell r="R2639">
            <v>2953097</v>
          </cell>
          <cell r="S2639">
            <v>0</v>
          </cell>
          <cell r="T2639">
            <v>0</v>
          </cell>
          <cell r="U2639">
            <v>2953097</v>
          </cell>
          <cell r="V2639">
            <v>421871</v>
          </cell>
        </row>
        <row r="2640">
          <cell r="J2640">
            <v>2430</v>
          </cell>
          <cell r="K2640">
            <v>43285</v>
          </cell>
          <cell r="L2640" t="str">
            <v>NANCY  SILVA CRISTIANO</v>
          </cell>
          <cell r="M2640">
            <v>31</v>
          </cell>
          <cell r="N2640" t="str">
            <v>RESOLUCION</v>
          </cell>
          <cell r="O2640">
            <v>2800</v>
          </cell>
          <cell r="P2640">
            <v>43285</v>
          </cell>
          <cell r="Q2640" t="str">
            <v>AYUDA TEMPORAL A LAS FAMILIAS DE VARIAS LOCALIDADES, PARA RELOCALIZACIÓN DE HOGARES LOCALIZADOS EN ZONAS DE ALTO RIESGO NO MITIGABLE ID:2012-19-13922, LOCALIDAD:19 CIUDAD BOLÍVAR, UPZ:67 LUCERO, SECTOR:</v>
          </cell>
          <cell r="R2640">
            <v>2849392</v>
          </cell>
          <cell r="S2640">
            <v>0</v>
          </cell>
          <cell r="T2640">
            <v>0</v>
          </cell>
          <cell r="U2640">
            <v>2849392</v>
          </cell>
          <cell r="V2640">
            <v>407056</v>
          </cell>
        </row>
        <row r="2641">
          <cell r="J2641">
            <v>2431</v>
          </cell>
          <cell r="K2641">
            <v>43285</v>
          </cell>
          <cell r="L2641" t="str">
            <v>RUBIELA  AROCA YARA</v>
          </cell>
          <cell r="M2641">
            <v>31</v>
          </cell>
          <cell r="N2641" t="str">
            <v>RESOLUCION</v>
          </cell>
          <cell r="O2641">
            <v>2806</v>
          </cell>
          <cell r="P2641">
            <v>43285</v>
          </cell>
          <cell r="Q2641" t="str">
            <v>AYUDA TEMPORAL A LAS FAMILIAS DE VARIAS LOCALIDADES, PARA RELOCALIZACIÓN DE HOGARES LOCALIZADOS EN ZONAS DE ALTO RIESGO NO MITIGABLE ID:2006-4-8640, LOCALIDAD:04 SAN CRISTÓBAL, UPZ:50 LA GLORIA, SECTOR:</v>
          </cell>
          <cell r="R2641">
            <v>4802539</v>
          </cell>
          <cell r="S2641">
            <v>0</v>
          </cell>
          <cell r="T2641">
            <v>0</v>
          </cell>
          <cell r="U2641">
            <v>4802539</v>
          </cell>
          <cell r="V2641">
            <v>686077</v>
          </cell>
        </row>
        <row r="2642">
          <cell r="J2642">
            <v>2432</v>
          </cell>
          <cell r="K2642">
            <v>43285</v>
          </cell>
          <cell r="L2642" t="str">
            <v>ELVER YAIMA BONILLA</v>
          </cell>
          <cell r="M2642">
            <v>31</v>
          </cell>
          <cell r="N2642" t="str">
            <v>RESOLUCION</v>
          </cell>
          <cell r="O2642">
            <v>2807</v>
          </cell>
          <cell r="P2642">
            <v>43285</v>
          </cell>
          <cell r="Q2642" t="str">
            <v>AYUDA TEMPORAL A LAS FAMILIAS DE VARIAS LOCALIDADES, PARA RELOCALIZACIÓN DE HOGARES LOCALIZADOS EN ZONAS DE ALTO RIESGO NO MITIGABLE ID:2012-19-13884, LOCALIDAD:19 CIUDAD BOLÍVAR, UPZ:67 LUCERO, SECTOR:</v>
          </cell>
          <cell r="R2642">
            <v>3562464</v>
          </cell>
          <cell r="S2642">
            <v>0</v>
          </cell>
          <cell r="T2642">
            <v>0</v>
          </cell>
          <cell r="U2642">
            <v>3562464</v>
          </cell>
          <cell r="V2642">
            <v>445308</v>
          </cell>
        </row>
        <row r="2643">
          <cell r="J2643">
            <v>2433</v>
          </cell>
          <cell r="K2643">
            <v>43285</v>
          </cell>
          <cell r="L2643" t="str">
            <v>JULIO WILCHEZ GUERRERO GONZALEZ</v>
          </cell>
          <cell r="M2643">
            <v>31</v>
          </cell>
          <cell r="N2643" t="str">
            <v>RESOLUCION</v>
          </cell>
          <cell r="O2643">
            <v>2808</v>
          </cell>
          <cell r="P2643">
            <v>43285</v>
          </cell>
          <cell r="Q2643" t="str">
            <v>AYUDA TEMPORAL A LAS FAMILIAS DE VARIAS LOCALIDADES, PARA RELOCALIZACIÓN DE HOGARES LOCALIZADOS EN ZONAS DE ALTO RIESGO NO MITIGABLE ID:2011-5-13263, LOCALIDAD:05 USME, UPZ:56 DANUBIO, SECTOR:</v>
          </cell>
          <cell r="R2643">
            <v>2896103</v>
          </cell>
          <cell r="S2643">
            <v>0</v>
          </cell>
          <cell r="T2643">
            <v>0</v>
          </cell>
          <cell r="U2643">
            <v>2896103</v>
          </cell>
          <cell r="V2643">
            <v>413729</v>
          </cell>
        </row>
        <row r="2644">
          <cell r="J2644">
            <v>2434</v>
          </cell>
          <cell r="K2644">
            <v>43285</v>
          </cell>
          <cell r="L2644" t="str">
            <v>JOSE HERMINSO MENDOZA GUISA</v>
          </cell>
          <cell r="M2644">
            <v>31</v>
          </cell>
          <cell r="N2644" t="str">
            <v>RESOLUCION</v>
          </cell>
          <cell r="O2644">
            <v>2809</v>
          </cell>
          <cell r="P2644">
            <v>43285</v>
          </cell>
          <cell r="Q2644" t="str">
            <v>AYUDA TEMPORAL A LAS FAMILIAS DE VARIAS LOCALIDADES, PARA RELOCALIZACIÓN DE HOGARES LOCALIZADOS EN ZONAS DE ALTO RIESGO NO MITIGABLE ID:2007-4-10150, LOCALIDAD:04 SAN CRISTÓBAL, UPZ:32 SAN BLAS, SECTOR:</v>
          </cell>
          <cell r="R2644">
            <v>2788569</v>
          </cell>
          <cell r="S2644">
            <v>0</v>
          </cell>
          <cell r="T2644">
            <v>0</v>
          </cell>
          <cell r="U2644">
            <v>2788569</v>
          </cell>
          <cell r="V2644">
            <v>398367</v>
          </cell>
        </row>
        <row r="2645">
          <cell r="J2645">
            <v>2436</v>
          </cell>
          <cell r="K2645">
            <v>43286</v>
          </cell>
          <cell r="L2645" t="str">
            <v>LUIS JORGE ROJAS HERNANDEZ</v>
          </cell>
          <cell r="M2645">
            <v>31</v>
          </cell>
          <cell r="N2645" t="str">
            <v>RESOLUCION</v>
          </cell>
          <cell r="O2645">
            <v>2777</v>
          </cell>
          <cell r="P2645">
            <v>43286</v>
          </cell>
          <cell r="Q2645" t="str">
            <v>AYUDA TEMPORAL A LAS FAMILIAS DE VARIAS LOCALIDADES, PARA RELOCALIZACIÓN DE HOGARES LOCALIZADOS EN ZONAS DE ALTO RIESGO NO MITIGABLE ID:2014-OTR-00961, LOCALIDAD:19 CIUDAD BOLÍVAR, UPZ:67 LUCERO, SECTOR:TABOR ALTALOMA</v>
          </cell>
          <cell r="R2645">
            <v>3017000</v>
          </cell>
          <cell r="S2645">
            <v>0</v>
          </cell>
          <cell r="T2645">
            <v>0</v>
          </cell>
          <cell r="U2645">
            <v>3017000</v>
          </cell>
          <cell r="V2645">
            <v>431000</v>
          </cell>
        </row>
        <row r="2646">
          <cell r="J2646">
            <v>2437</v>
          </cell>
          <cell r="K2646">
            <v>43286</v>
          </cell>
          <cell r="L2646" t="str">
            <v>WILLIAM ALEXANDER GONZALEZ SASTOQUE</v>
          </cell>
          <cell r="M2646">
            <v>31</v>
          </cell>
          <cell r="N2646" t="str">
            <v>RESOLUCION</v>
          </cell>
          <cell r="O2646">
            <v>2830</v>
          </cell>
          <cell r="P2646">
            <v>43286</v>
          </cell>
          <cell r="Q2646" t="str">
            <v>VUR de la actual vigencia. Dto 255 de 2013. OCALIDAD: CIUDAD BOLIVAR; BARRIO: SAN FRANCISCO; ID: 2018-Q03-15552</v>
          </cell>
          <cell r="R2646">
            <v>39062100</v>
          </cell>
          <cell r="S2646">
            <v>0</v>
          </cell>
          <cell r="T2646">
            <v>0</v>
          </cell>
          <cell r="U2646">
            <v>39062100</v>
          </cell>
          <cell r="V2646">
            <v>0</v>
          </cell>
        </row>
        <row r="2647">
          <cell r="J2647">
            <v>2438</v>
          </cell>
          <cell r="K2647">
            <v>43286</v>
          </cell>
          <cell r="L2647" t="str">
            <v>MARIA CLEMENTINA FIGUEREDO ROJAS</v>
          </cell>
          <cell r="M2647">
            <v>31</v>
          </cell>
          <cell r="N2647" t="str">
            <v>RESOLUCION</v>
          </cell>
          <cell r="O2647">
            <v>2833</v>
          </cell>
          <cell r="P2647">
            <v>43286</v>
          </cell>
          <cell r="Q2647" t="str">
            <v>Excedente de VUR por avaluo comercial.Dto 255 de 2013. LOCALIDAD:SAN CRISTOBAL; BARRIO:LOS LIBERTADORES; ID: 2013-Q18-00106</v>
          </cell>
          <cell r="R2647">
            <v>69667715</v>
          </cell>
          <cell r="S2647">
            <v>0</v>
          </cell>
          <cell r="T2647">
            <v>0</v>
          </cell>
          <cell r="U2647">
            <v>69667715</v>
          </cell>
          <cell r="V2647">
            <v>0</v>
          </cell>
        </row>
        <row r="2648">
          <cell r="J2648">
            <v>2439</v>
          </cell>
          <cell r="K2648">
            <v>43286</v>
          </cell>
          <cell r="L2648" t="str">
            <v>MARIA CARMEN ROSA PAEZ</v>
          </cell>
          <cell r="M2648">
            <v>31</v>
          </cell>
          <cell r="N2648" t="str">
            <v>RESOLUCION</v>
          </cell>
          <cell r="O2648">
            <v>2784</v>
          </cell>
          <cell r="P2648">
            <v>43286</v>
          </cell>
          <cell r="Q2648" t="str">
            <v>AYUDA TEMPORAL A LAS FAMILIAS DE VARIAS LOCALIDADES, PARA LA RELOCALIZACIÓN DE HOGARES LOCALIZADOS EN ZONAS DE ALTO RIESGO NO MITIGABLE ID:2013-Q10-00247, LOCALIDAD:04 SAN CRISTÓBAL, UPZ:51 LOS LIBERTADORES, SECTOR:QUEBRADA VEREJONES</v>
          </cell>
          <cell r="R2648">
            <v>4871286</v>
          </cell>
          <cell r="S2648">
            <v>0</v>
          </cell>
          <cell r="T2648">
            <v>0</v>
          </cell>
          <cell r="U2648">
            <v>4871286</v>
          </cell>
          <cell r="V2648">
            <v>541254</v>
          </cell>
        </row>
        <row r="2649">
          <cell r="J2649">
            <v>2440</v>
          </cell>
          <cell r="K2649">
            <v>43286</v>
          </cell>
          <cell r="L2649" t="str">
            <v>DAINA JASMIN NAVARRETE</v>
          </cell>
          <cell r="M2649">
            <v>31</v>
          </cell>
          <cell r="N2649" t="str">
            <v>RESOLUCION</v>
          </cell>
          <cell r="O2649">
            <v>2790</v>
          </cell>
          <cell r="P2649">
            <v>43286</v>
          </cell>
          <cell r="Q2649" t="str">
            <v>AYUDA TEMPORAL A LAS FAMILIAS DE VARIAS LOCALIDADES, PARA RELOCALIZACIÓN DE HOGARES LOCALIZADOS EN ZONAS DE ALTO RIESGO NO MITIGABLE ID:2014-OTR-00892, LOCALIDAD:03 SANTA FE, UPZ:96 LOURDES, SECTOR:CASA 3</v>
          </cell>
          <cell r="R2649">
            <v>2975525</v>
          </cell>
          <cell r="S2649">
            <v>0</v>
          </cell>
          <cell r="T2649">
            <v>0</v>
          </cell>
          <cell r="U2649">
            <v>2975525</v>
          </cell>
          <cell r="V2649">
            <v>425075</v>
          </cell>
        </row>
        <row r="2650">
          <cell r="J2650">
            <v>2441</v>
          </cell>
          <cell r="K2650">
            <v>43286</v>
          </cell>
          <cell r="L2650" t="str">
            <v>YEISON  PIRAZA CABEZON</v>
          </cell>
          <cell r="M2650">
            <v>31</v>
          </cell>
          <cell r="N2650" t="str">
            <v>RESOLUCION</v>
          </cell>
          <cell r="O2650">
            <v>2791</v>
          </cell>
          <cell r="P2650">
            <v>43286</v>
          </cell>
          <cell r="Q2650" t="str">
            <v>AYUDA TEMPORAL A LAS FAMILIAS DE VARIAS LOCALIDADES, PARA RELOCALIZACIÓN DE HOGARES LOCALIZADOS EN ZONAS DE ALTO RIESGO NO MITIGABLE ID:2014-W166-020, LOCALIDAD:19 CIUDAD BOLÍVAR, UPZ:68 EL TESORO, SECTOR:WOUNAAN</v>
          </cell>
          <cell r="R2650">
            <v>3515589</v>
          </cell>
          <cell r="S2650">
            <v>0</v>
          </cell>
          <cell r="T2650">
            <v>0</v>
          </cell>
          <cell r="U2650">
            <v>3515589</v>
          </cell>
          <cell r="V2650">
            <v>390621</v>
          </cell>
        </row>
        <row r="2651">
          <cell r="J2651">
            <v>2442</v>
          </cell>
          <cell r="K2651">
            <v>43286</v>
          </cell>
          <cell r="L2651" t="str">
            <v>LUIS ALBERTO URREA LEMUS</v>
          </cell>
          <cell r="M2651">
            <v>31</v>
          </cell>
          <cell r="N2651" t="str">
            <v>RESOLUCION</v>
          </cell>
          <cell r="O2651">
            <v>2792</v>
          </cell>
          <cell r="P2651">
            <v>43286</v>
          </cell>
          <cell r="Q2651" t="str">
            <v>AYUDA TEMPORAL A LAS FAMILIAS DE VARIAS LOCALIDADES, PARA RELOCALIZACIÓN DE HOGARES LOCALIZADOS EN ZONAS DE ALTO RIESGO NO MITIGABLE ID:2013-Q21-00354, LOCALIDAD:19 CIUDAD BOLÍVAR, UPZ:67 LUCERO, SECTOR:BRAZO DERECHO DE LIMAS</v>
          </cell>
          <cell r="R2651">
            <v>2734347</v>
          </cell>
          <cell r="S2651">
            <v>0</v>
          </cell>
          <cell r="T2651">
            <v>0</v>
          </cell>
          <cell r="U2651">
            <v>2734347</v>
          </cell>
          <cell r="V2651">
            <v>390621</v>
          </cell>
        </row>
        <row r="2652">
          <cell r="J2652">
            <v>2443</v>
          </cell>
          <cell r="K2652">
            <v>43286</v>
          </cell>
          <cell r="L2652" t="str">
            <v>EZEQUIEL  ARISTIZABAL RAMOS</v>
          </cell>
          <cell r="M2652">
            <v>31</v>
          </cell>
          <cell r="N2652" t="str">
            <v>RESOLUCION</v>
          </cell>
          <cell r="O2652">
            <v>2793</v>
          </cell>
          <cell r="P2652">
            <v>43286</v>
          </cell>
          <cell r="Q2652" t="str">
            <v>AYUDA TEMPORAL A LAS FAMILIAS DE VARIAS LOCALIDADES, PARA RELOCALIZACIÓN DE HOGARES LOCALIZADOS EN ZONAS DE ALTO RIESGO NO MITIGABLE ID:2014-OTR-00899, LOCALIDAD:03 SANTA FE, UPZ:96 LOURDES, SECTOR:CASA 3</v>
          </cell>
          <cell r="R2652">
            <v>3516527</v>
          </cell>
          <cell r="S2652">
            <v>0</v>
          </cell>
          <cell r="T2652">
            <v>0</v>
          </cell>
          <cell r="U2652">
            <v>3516527</v>
          </cell>
          <cell r="V2652">
            <v>502361</v>
          </cell>
        </row>
        <row r="2653">
          <cell r="J2653">
            <v>2444</v>
          </cell>
          <cell r="K2653">
            <v>43286</v>
          </cell>
          <cell r="L2653" t="str">
            <v>LAURA ESTEFANIA DELGADO GOMEZ</v>
          </cell>
          <cell r="M2653">
            <v>31</v>
          </cell>
          <cell r="N2653" t="str">
            <v>RESOLUCION</v>
          </cell>
          <cell r="O2653">
            <v>2794</v>
          </cell>
          <cell r="P2653">
            <v>43286</v>
          </cell>
          <cell r="Q2653" t="str">
            <v>AYUDA TEMPORAL A LAS FAMILIAS DE VARIAS LOCALIDADES, PARA RELOCALIZACIÓN DE HOGARES LOCALIZADOS EN ZONAS DE ALTO RIESGO NO MITIGABLE ID:2011-4-12819, LOCALIDAD:04 SAN CRISTÓBAL, UPZ:32 SAN BLAS, SECTOR:OLA INVERNAL 2010 FOPAE</v>
          </cell>
          <cell r="R2653">
            <v>4292073</v>
          </cell>
          <cell r="S2653">
            <v>0</v>
          </cell>
          <cell r="T2653">
            <v>0</v>
          </cell>
          <cell r="U2653">
            <v>4292073</v>
          </cell>
          <cell r="V2653">
            <v>476897</v>
          </cell>
        </row>
        <row r="2654">
          <cell r="J2654">
            <v>2445</v>
          </cell>
          <cell r="K2654">
            <v>43286</v>
          </cell>
          <cell r="L2654" t="str">
            <v>YURY JOHANNA BRICEÑO MORENO</v>
          </cell>
          <cell r="M2654">
            <v>31</v>
          </cell>
          <cell r="N2654" t="str">
            <v>RESOLUCION</v>
          </cell>
          <cell r="O2654">
            <v>2795</v>
          </cell>
          <cell r="P2654">
            <v>43286</v>
          </cell>
          <cell r="Q2654" t="str">
            <v>AYUDA TEMPORAL A LAS FAMILIAS DE VARIAS LOCALIDADES, PARA RELOCALIZACIÓN DE HOGARES LOCALIZADOS EN ZONAS DE ALTO RIESGO NO MITIGABLE ID:2014-OTR-00910, LOCALIDAD:03 SANTA FE, UPZ:96 LOURDES, SECTOR:CASA 3</v>
          </cell>
          <cell r="R2654">
            <v>2553138</v>
          </cell>
          <cell r="S2654">
            <v>0</v>
          </cell>
          <cell r="T2654">
            <v>0</v>
          </cell>
          <cell r="U2654">
            <v>2553138</v>
          </cell>
          <cell r="V2654">
            <v>0</v>
          </cell>
        </row>
        <row r="2655">
          <cell r="J2655">
            <v>2448</v>
          </cell>
          <cell r="K2655">
            <v>43286</v>
          </cell>
          <cell r="L2655" t="str">
            <v>FLORENTINO  BARRERA SUAREZ</v>
          </cell>
          <cell r="M2655">
            <v>31</v>
          </cell>
          <cell r="N2655" t="str">
            <v>RESOLUCION</v>
          </cell>
          <cell r="O2655">
            <v>2778</v>
          </cell>
          <cell r="P2655">
            <v>43286</v>
          </cell>
          <cell r="Q2655" t="str">
            <v>AYUDA TEMPORAL A LAS FAMILIAS DE VARIAS LOCALIDADES, PARA RELOCALIZACIÓN DE HOGARES LOCALIZADOS EN ZONAS DE ALTO RIESGO NO MITIGABLE ID:2012-3-14351, LOCALIDAD:03 SANTA FE, UPZ:96 LOURDES,</v>
          </cell>
          <cell r="R2655">
            <v>3201695</v>
          </cell>
          <cell r="S2655">
            <v>0</v>
          </cell>
          <cell r="T2655">
            <v>0</v>
          </cell>
          <cell r="U2655">
            <v>3201695</v>
          </cell>
          <cell r="V2655">
            <v>457385</v>
          </cell>
        </row>
        <row r="2656">
          <cell r="J2656">
            <v>2449</v>
          </cell>
          <cell r="K2656">
            <v>43286</v>
          </cell>
          <cell r="L2656" t="str">
            <v>MARIA LUCRECIA CORTES JOTA</v>
          </cell>
          <cell r="M2656">
            <v>31</v>
          </cell>
          <cell r="N2656" t="str">
            <v>RESOLUCION</v>
          </cell>
          <cell r="O2656">
            <v>2779</v>
          </cell>
          <cell r="P2656">
            <v>43286</v>
          </cell>
          <cell r="Q2656" t="str">
            <v>AYUDA TEMPORAL A LAS FAMILIAS DE VARIAS LOCALIDADES, PARA LA RELOCALIZACIÓN DE HOGARES LOCALIZADOS EN ZONAS DE ALTO RIESGO NO MITIGABLE ID:2012-19-13826, LOCALIDAD:19 CIUDAD BOLÍVAR, UPZ:67 LUCERO,</v>
          </cell>
          <cell r="R2656">
            <v>2796906</v>
          </cell>
          <cell r="S2656">
            <v>0</v>
          </cell>
          <cell r="T2656">
            <v>0</v>
          </cell>
          <cell r="U2656">
            <v>2796906</v>
          </cell>
          <cell r="V2656">
            <v>399558</v>
          </cell>
        </row>
        <row r="2657">
          <cell r="J2657">
            <v>2450</v>
          </cell>
          <cell r="K2657">
            <v>43286</v>
          </cell>
          <cell r="L2657" t="str">
            <v>YEISMI  GALINDO GONZALEZ</v>
          </cell>
          <cell r="M2657">
            <v>31</v>
          </cell>
          <cell r="N2657" t="str">
            <v>RESOLUCION</v>
          </cell>
          <cell r="O2657">
            <v>2780</v>
          </cell>
          <cell r="P2657">
            <v>43286</v>
          </cell>
          <cell r="Q2657" t="str">
            <v>AYUDA TEMPORAL A LAS FAMILIAS DE VARIAS LOCALIDADES, PARA RELOCALIZACIÓN DE HOGARES LOCALIZADOS EN ZONAS DE ALTO RIESGO NO MITIGABLE ID:2014-OTR-00949, LOCALIDAD:19 CIUDAD BOLÍVAR, UPZ:67 LUCERO, SECTOR:TABOR ALTALOMA</v>
          </cell>
          <cell r="R2657">
            <v>3383254</v>
          </cell>
          <cell r="S2657">
            <v>0</v>
          </cell>
          <cell r="T2657">
            <v>0</v>
          </cell>
          <cell r="U2657">
            <v>3383254</v>
          </cell>
          <cell r="V2657">
            <v>483322</v>
          </cell>
        </row>
        <row r="2658">
          <cell r="J2658">
            <v>2451</v>
          </cell>
          <cell r="K2658">
            <v>43286</v>
          </cell>
          <cell r="L2658" t="str">
            <v>TANIA JAEL MEDINA</v>
          </cell>
          <cell r="M2658">
            <v>31</v>
          </cell>
          <cell r="N2658" t="str">
            <v>RESOLUCION</v>
          </cell>
          <cell r="O2658">
            <v>2781</v>
          </cell>
          <cell r="P2658">
            <v>43286</v>
          </cell>
          <cell r="Q2658" t="str">
            <v>AYUDA TEMPORAL A LAS FAMILIAS DE VARIAS LOCALIDADES, PARA RELOCALIZACIÓN DE HOGARES LOCALIZADOS EN ZONAS DE ALTO RIESGO NO MITIGABLE ID:2005-19-7653, LOCALIDAD:19 CIUDAD BOLÍVAR, UPZ:67 LUCERO,</v>
          </cell>
          <cell r="R2658">
            <v>4465962</v>
          </cell>
          <cell r="S2658">
            <v>0</v>
          </cell>
          <cell r="T2658">
            <v>0</v>
          </cell>
          <cell r="U2658">
            <v>4465962</v>
          </cell>
          <cell r="V2658">
            <v>496218</v>
          </cell>
        </row>
        <row r="2659">
          <cell r="J2659">
            <v>2452</v>
          </cell>
          <cell r="K2659">
            <v>43286</v>
          </cell>
          <cell r="L2659" t="str">
            <v>YAMILE  CESPEDES JIMENEZ</v>
          </cell>
          <cell r="M2659">
            <v>31</v>
          </cell>
          <cell r="N2659" t="str">
            <v>RESOLUCION</v>
          </cell>
          <cell r="O2659">
            <v>2782</v>
          </cell>
          <cell r="P2659">
            <v>43286</v>
          </cell>
          <cell r="Q2659" t="str">
            <v>AYUDA TEMPORAL A LAS FAMILIAS DE VARIAS LOCALIDADES, PARA RELOCALIZACIÓN DE HOGARES LOCALIZADOS EN ZONAS DE ALTO RIESGO NO MITIGABLE ID:2014-OTR-00895, LOCALIDAD:03 SANTA FE, UPZ:96 LOURDES, SECTOR:CASA 3</v>
          </cell>
          <cell r="R2659">
            <v>3516527</v>
          </cell>
          <cell r="S2659">
            <v>0</v>
          </cell>
          <cell r="T2659">
            <v>0</v>
          </cell>
          <cell r="U2659">
            <v>3516527</v>
          </cell>
          <cell r="V2659">
            <v>502361</v>
          </cell>
        </row>
        <row r="2660">
          <cell r="J2660">
            <v>2453</v>
          </cell>
          <cell r="K2660">
            <v>43286</v>
          </cell>
          <cell r="L2660" t="str">
            <v>LUIS EDUARDO GARCIA MORENO</v>
          </cell>
          <cell r="M2660">
            <v>31</v>
          </cell>
          <cell r="N2660" t="str">
            <v>RESOLUCION</v>
          </cell>
          <cell r="O2660">
            <v>2783</v>
          </cell>
          <cell r="P2660">
            <v>43286</v>
          </cell>
          <cell r="Q2660" t="str">
            <v>AYUDA TEMPORAL A LAS FAMILIAS DE VARIAS LOCALIDADES, PARA RELOCALIZACIÓN DE HOGARES LOCALIZADOS EN ZONAS DE ALTO RIESGO NO MITIGABLE ID:2013-Q07-00024, LOCALIDAD:19 CIUDAD BOLÍVAR, UPZ:67 LUCERO, SECTOR:ZANJÓN DEL AHORCADO</v>
          </cell>
          <cell r="R2660">
            <v>4136728</v>
          </cell>
          <cell r="S2660">
            <v>0</v>
          </cell>
          <cell r="T2660">
            <v>0</v>
          </cell>
          <cell r="U2660">
            <v>4136728</v>
          </cell>
          <cell r="V2660">
            <v>517091</v>
          </cell>
        </row>
        <row r="2661">
          <cell r="J2661">
            <v>2454</v>
          </cell>
          <cell r="K2661">
            <v>43287</v>
          </cell>
          <cell r="L2661" t="str">
            <v>JOSE ALEXANDER MORALES MORALES</v>
          </cell>
          <cell r="M2661">
            <v>31</v>
          </cell>
          <cell r="N2661" t="str">
            <v>RESOLUCION</v>
          </cell>
          <cell r="O2661">
            <v>2831</v>
          </cell>
          <cell r="P2661">
            <v>43287</v>
          </cell>
          <cell r="Q2661" t="str">
            <v>VUR de la actual vigencia. Decreto 255 de 2013.LOCALIDAD: CIUDAD BOLIVAR; BARRIO: EL MOCHUELO II;ID: 2015-Q09-03242</v>
          </cell>
          <cell r="R2661">
            <v>39062100</v>
          </cell>
          <cell r="S2661">
            <v>0</v>
          </cell>
          <cell r="T2661">
            <v>0</v>
          </cell>
          <cell r="U2661">
            <v>39062100</v>
          </cell>
          <cell r="V2661">
            <v>0</v>
          </cell>
        </row>
        <row r="2662">
          <cell r="J2662">
            <v>2455</v>
          </cell>
          <cell r="K2662">
            <v>43287</v>
          </cell>
          <cell r="L2662" t="str">
            <v>ROSA ANTONIA VILLAMIL BUITRAGO</v>
          </cell>
          <cell r="M2662">
            <v>31</v>
          </cell>
          <cell r="N2662" t="str">
            <v>RESOLUCION</v>
          </cell>
          <cell r="O2662">
            <v>2832</v>
          </cell>
          <cell r="P2662">
            <v>43287</v>
          </cell>
          <cell r="Q2662" t="str">
            <v>VUR de la actual vigencia. Decreto 255 de 2013. LOCALIDAD: SAN CRISTOBAL; BARRIO: CANADA O GUIRA; ID: 2015-Q20-03845</v>
          </cell>
          <cell r="R2662">
            <v>39062100</v>
          </cell>
          <cell r="S2662">
            <v>0</v>
          </cell>
          <cell r="T2662">
            <v>0</v>
          </cell>
          <cell r="U2662">
            <v>39062100</v>
          </cell>
          <cell r="V2662">
            <v>0</v>
          </cell>
        </row>
        <row r="2663">
          <cell r="J2663">
            <v>2458</v>
          </cell>
          <cell r="K2663">
            <v>43291</v>
          </cell>
          <cell r="L2663" t="str">
            <v>MARIA CRISTINA GALINDO MEDINA</v>
          </cell>
          <cell r="M2663">
            <v>31</v>
          </cell>
          <cell r="N2663" t="str">
            <v>RESOLUCION</v>
          </cell>
          <cell r="O2663">
            <v>2847</v>
          </cell>
          <cell r="P2663">
            <v>43291</v>
          </cell>
          <cell r="Q2663" t="str">
            <v>AYUDA TEMPORAL A LAS FAMILIAS DE VARIAS LOCALIDADES, PARA LA RELOCALIZACIÓN DE HOGARES LOCALIZADOS EN ZONAS DE ALTO RIESGO NO MITIGABLE ID:2011-4-12676, LOCALIDAD:04 SAN CRISTÓBAL, UPZ:32 SAN BLAS</v>
          </cell>
          <cell r="R2663">
            <v>2734347</v>
          </cell>
          <cell r="S2663">
            <v>0</v>
          </cell>
          <cell r="T2663">
            <v>0</v>
          </cell>
          <cell r="U2663">
            <v>2734347</v>
          </cell>
          <cell r="V2663">
            <v>390621</v>
          </cell>
        </row>
        <row r="2664">
          <cell r="J2664">
            <v>2459</v>
          </cell>
          <cell r="K2664">
            <v>43291</v>
          </cell>
          <cell r="L2664" t="str">
            <v>ARELIS  CLOFE GAMBOA</v>
          </cell>
          <cell r="M2664">
            <v>31</v>
          </cell>
          <cell r="N2664" t="str">
            <v>RESOLUCION</v>
          </cell>
          <cell r="O2664">
            <v>2846</v>
          </cell>
          <cell r="P2664">
            <v>43291</v>
          </cell>
          <cell r="Q2664" t="str">
            <v>AYUDA TEMPORAL A LAS FAMILIAS DE VARIAS LOCALIDADES, PARA LA RELOCALIZACIÓN DE HOGARES LOCALIZADOS EN ZONAS DE ALTO RIESGO NO MITIGABLE ID:2013-Q18-00395, LOCALIDAD:19 CIUDAD BOLÍVAR, UPZ:69 ISMAEL PERDOMO, SECTOR:ZANJÓN MURALLA</v>
          </cell>
          <cell r="R2664">
            <v>1781232</v>
          </cell>
          <cell r="S2664">
            <v>0</v>
          </cell>
          <cell r="T2664">
            <v>0</v>
          </cell>
          <cell r="U2664">
            <v>1781232</v>
          </cell>
          <cell r="V2664">
            <v>890616</v>
          </cell>
        </row>
        <row r="2665">
          <cell r="J2665">
            <v>2460</v>
          </cell>
          <cell r="K2665">
            <v>43291</v>
          </cell>
          <cell r="L2665" t="str">
            <v>RAMIRO  ARTUNDUAGA GUTIERREZ</v>
          </cell>
          <cell r="M2665">
            <v>31</v>
          </cell>
          <cell r="N2665" t="str">
            <v>RESOLUCION</v>
          </cell>
          <cell r="O2665">
            <v>2842</v>
          </cell>
          <cell r="P2665">
            <v>43291</v>
          </cell>
          <cell r="Q2665" t="str">
            <v>AYUDA TEMPORAL A LAS FAMILIAS DE VARIAS LOCALIDADES, PARA LA RELOCALIZACIÓN DE HOGARES LOCALIZADOS EN ZONAS DE ALTO RIESGO NO MITIGABLE ID:2013000266, LOCALIDAD: 04 SAN CRISTOBAL, UPZ:51 LOS LIBERTADORES, SECTOR: QUEBRADA VEREJONES</v>
          </cell>
          <cell r="R2665">
            <v>3137015</v>
          </cell>
          <cell r="S2665">
            <v>0</v>
          </cell>
          <cell r="T2665">
            <v>0</v>
          </cell>
          <cell r="U2665">
            <v>3137015</v>
          </cell>
          <cell r="V2665">
            <v>448145</v>
          </cell>
        </row>
        <row r="2666">
          <cell r="J2666">
            <v>2462</v>
          </cell>
          <cell r="K2666">
            <v>43292</v>
          </cell>
          <cell r="L2666" t="str">
            <v>LUIS ERNESTO CURREA BRAVO</v>
          </cell>
          <cell r="M2666">
            <v>31</v>
          </cell>
          <cell r="N2666" t="str">
            <v>RESOLUCION</v>
          </cell>
          <cell r="O2666">
            <v>2836</v>
          </cell>
          <cell r="P2666">
            <v>43292</v>
          </cell>
          <cell r="Q2666" t="str">
            <v>Reajuste de VUR  por avalúo comercial. Dto. 255 de 2013. LOCALIDAD: CIUDAD BOLIVAR; BARRIO: SAN RAFAEL; ID: 2013-Q21-00569.</v>
          </cell>
          <cell r="R2666">
            <v>39961300</v>
          </cell>
          <cell r="S2666">
            <v>0</v>
          </cell>
          <cell r="T2666">
            <v>0</v>
          </cell>
          <cell r="U2666">
            <v>39961300</v>
          </cell>
          <cell r="V2666">
            <v>0</v>
          </cell>
        </row>
        <row r="2667">
          <cell r="J2667">
            <v>2463</v>
          </cell>
          <cell r="K2667">
            <v>43292</v>
          </cell>
          <cell r="L2667" t="str">
            <v>LIGIA  ROMERO OLIVEROS</v>
          </cell>
          <cell r="M2667">
            <v>31</v>
          </cell>
          <cell r="N2667" t="str">
            <v>RESOLUCION</v>
          </cell>
          <cell r="O2667">
            <v>2835</v>
          </cell>
          <cell r="P2667">
            <v>43292</v>
          </cell>
          <cell r="Q2667" t="str">
            <v>Reajuste de VUR  por avalúo comercial. Dto. 255 de 2013. LOCALIDAD: SAN CRISTOBAL; BARRIO: QUINDIO; ID: 2014-Q20-01179</v>
          </cell>
          <cell r="R2667">
            <v>168545826</v>
          </cell>
          <cell r="S2667">
            <v>0</v>
          </cell>
          <cell r="T2667">
            <v>0</v>
          </cell>
          <cell r="U2667">
            <v>168545826</v>
          </cell>
          <cell r="V2667">
            <v>0</v>
          </cell>
        </row>
        <row r="2668">
          <cell r="J2668">
            <v>2464</v>
          </cell>
          <cell r="K2668">
            <v>43292</v>
          </cell>
          <cell r="L2668" t="str">
            <v>CLAUDIA YIRLEY LEAL CHUNZA</v>
          </cell>
          <cell r="M2668">
            <v>31</v>
          </cell>
          <cell r="N2668" t="str">
            <v>RESOLUCION</v>
          </cell>
          <cell r="O2668">
            <v>2837</v>
          </cell>
          <cell r="P2668">
            <v>43292</v>
          </cell>
          <cell r="Q2668" t="str">
            <v>Adquisición predial por Dto. 511 de 2010. LOCALIDAD:USME; BARRIO:YOPAL EL PEDREGAL; ID: 2010-5-11503</v>
          </cell>
          <cell r="R2668">
            <v>76256400</v>
          </cell>
          <cell r="S2668">
            <v>0</v>
          </cell>
          <cell r="T2668">
            <v>0</v>
          </cell>
          <cell r="U2668">
            <v>76256400</v>
          </cell>
          <cell r="V2668">
            <v>0</v>
          </cell>
        </row>
        <row r="2669">
          <cell r="J2669">
            <v>2465</v>
          </cell>
          <cell r="K2669">
            <v>43292</v>
          </cell>
          <cell r="L2669" t="str">
            <v>AYDA LUZ PIAMBA MAJIN</v>
          </cell>
          <cell r="M2669">
            <v>31</v>
          </cell>
          <cell r="N2669" t="str">
            <v>RESOLUCION</v>
          </cell>
          <cell r="O2669">
            <v>2841</v>
          </cell>
          <cell r="P2669">
            <v>43292</v>
          </cell>
          <cell r="Q2669" t="str">
            <v>AYUDA TEMPORAL A LAS FAMILIAS DE VARIAS LOCALIDADES, PARA RELOCALIZACIÓN DE HOGARES LOCALIZADOS EN ZONAS DE ALTO RIESGO NO MITIGABLE ID:2011-4-13076, LOCALIDAD:04 SAN CRISTÓBAL, UPZ:51 LOS LIBERTADORES, SECTOR:QUEBRADA VEREJONES</v>
          </cell>
          <cell r="R2669">
            <v>2924376</v>
          </cell>
          <cell r="S2669">
            <v>0</v>
          </cell>
          <cell r="T2669">
            <v>0</v>
          </cell>
          <cell r="U2669">
            <v>2924376</v>
          </cell>
          <cell r="V2669">
            <v>417768</v>
          </cell>
        </row>
        <row r="2670">
          <cell r="J2670">
            <v>2466</v>
          </cell>
          <cell r="K2670">
            <v>43292</v>
          </cell>
          <cell r="L2670" t="str">
            <v>ANA LIBIA GORDILLO LEON</v>
          </cell>
          <cell r="M2670">
            <v>31</v>
          </cell>
          <cell r="N2670" t="str">
            <v>RESOLUCION</v>
          </cell>
          <cell r="O2670">
            <v>2844</v>
          </cell>
          <cell r="P2670">
            <v>43292</v>
          </cell>
          <cell r="Q2670" t="str">
            <v>AYUDA TEMPORAL A LAS FAMILIAS DE VARIAS LOCALIDADES, PARA RELOCALIZACIÓN DE HOGARES LOCALIZADOS EN ZONAS DE ALTO RIESGO NO MITIGABLE ID:2011-4-12719, LOCALIDAD:04 SAN CRISTÓBAL, UPZ:32 SAN BLAS</v>
          </cell>
          <cell r="R2670">
            <v>3022327</v>
          </cell>
          <cell r="S2670">
            <v>0</v>
          </cell>
          <cell r="T2670">
            <v>0</v>
          </cell>
          <cell r="U2670">
            <v>3022327</v>
          </cell>
          <cell r="V2670">
            <v>431761</v>
          </cell>
        </row>
        <row r="2671">
          <cell r="J2671">
            <v>2467</v>
          </cell>
          <cell r="K2671">
            <v>43292</v>
          </cell>
          <cell r="L2671" t="str">
            <v>MARIA TERESA GARZON PATIÑO</v>
          </cell>
          <cell r="M2671">
            <v>31</v>
          </cell>
          <cell r="N2671" t="str">
            <v>RESOLUCION</v>
          </cell>
          <cell r="O2671">
            <v>2865</v>
          </cell>
          <cell r="P2671">
            <v>43292</v>
          </cell>
          <cell r="Q2671" t="str">
            <v>VUR de la actual vigencia. Dto 255 de 2013. LOCALIDAD: CIUDAD BOLIVAR; BARRIO: EL MOCHUELO; ID: 2015-Q09-03189</v>
          </cell>
          <cell r="R2671">
            <v>39062100</v>
          </cell>
          <cell r="S2671">
            <v>0</v>
          </cell>
          <cell r="T2671">
            <v>0</v>
          </cell>
          <cell r="U2671">
            <v>39062100</v>
          </cell>
          <cell r="V2671">
            <v>0</v>
          </cell>
        </row>
        <row r="2672">
          <cell r="J2672">
            <v>2468</v>
          </cell>
          <cell r="K2672">
            <v>43292</v>
          </cell>
          <cell r="L2672" t="str">
            <v>JOSE NELSON QUITIAN SANTAMARIA</v>
          </cell>
          <cell r="M2672">
            <v>31</v>
          </cell>
          <cell r="N2672" t="str">
            <v>RESOLUCION</v>
          </cell>
          <cell r="O2672">
            <v>2866</v>
          </cell>
          <cell r="P2672">
            <v>43292</v>
          </cell>
          <cell r="Q2672" t="str">
            <v>adquisición predial por Dto. 511 de 2010. LOCALIDAD:RAFAEL URIBE; BARRIO:MADRID; ID: 2004-18-5522</v>
          </cell>
          <cell r="R2672">
            <v>20501658</v>
          </cell>
          <cell r="S2672">
            <v>0</v>
          </cell>
          <cell r="T2672">
            <v>0</v>
          </cell>
          <cell r="U2672">
            <v>20501658</v>
          </cell>
          <cell r="V2672">
            <v>0</v>
          </cell>
        </row>
        <row r="2673">
          <cell r="J2673">
            <v>2469</v>
          </cell>
          <cell r="K2673">
            <v>43292</v>
          </cell>
          <cell r="L2673" t="str">
            <v>YOLANDA  MANCIPE GIRALDO</v>
          </cell>
          <cell r="M2673">
            <v>31</v>
          </cell>
          <cell r="N2673" t="str">
            <v>RESOLUCION</v>
          </cell>
          <cell r="O2673">
            <v>2862</v>
          </cell>
          <cell r="P2673">
            <v>43292</v>
          </cell>
          <cell r="Q2673" t="str">
            <v>AYUDA TEMPORAL A LAS FAMILIAS DE VARIAS LOCALIDADES, PARA LA RELOCALIZACIÓN DE HOGARES LOCALIZADOS EN ZONAS DE ALTO RIESGO NO MITIGABLE ID:2012-19-13845, LOCALIDAD:19 CIUDAD BOLÍVAR, UPZ:67 LUCERO</v>
          </cell>
          <cell r="R2673">
            <v>2899710</v>
          </cell>
          <cell r="S2673">
            <v>0</v>
          </cell>
          <cell r="T2673">
            <v>0</v>
          </cell>
          <cell r="U2673">
            <v>2899710</v>
          </cell>
          <cell r="V2673">
            <v>966570</v>
          </cell>
        </row>
        <row r="2674">
          <cell r="J2674">
            <v>2470</v>
          </cell>
          <cell r="K2674">
            <v>43292</v>
          </cell>
          <cell r="L2674" t="str">
            <v>MARIA MARGARITA ACERO DE MORENO</v>
          </cell>
          <cell r="M2674">
            <v>31</v>
          </cell>
          <cell r="N2674" t="str">
            <v>RESOLUCION</v>
          </cell>
          <cell r="O2674">
            <v>2863</v>
          </cell>
          <cell r="P2674">
            <v>43292</v>
          </cell>
          <cell r="Q2674" t="str">
            <v>AYUDA TEMPORAL A LAS FAMILIAS DE VARIAS LOCALIDADES, PARA LA RELOCALIZACIÓN DE HOGARES LOCALIZADOS EN ZONAS DE ALTO RIESGO NO MITIGABLE ID:2014-Q03-00994, LOCALIDAD:19 CIUDAD BOLÍVAR, UPZ:66 SAN FRANCISCO, SECTOR:LIMAS</v>
          </cell>
          <cell r="R2674">
            <v>2586759</v>
          </cell>
          <cell r="S2674">
            <v>0</v>
          </cell>
          <cell r="T2674">
            <v>0</v>
          </cell>
          <cell r="U2674">
            <v>2586759</v>
          </cell>
          <cell r="V2674">
            <v>369537</v>
          </cell>
        </row>
        <row r="2675">
          <cell r="J2675">
            <v>2471</v>
          </cell>
          <cell r="K2675">
            <v>43292</v>
          </cell>
          <cell r="L2675" t="str">
            <v>ORLANDO  OCHOA MOSUCA</v>
          </cell>
          <cell r="M2675">
            <v>31</v>
          </cell>
          <cell r="N2675" t="str">
            <v>RESOLUCION</v>
          </cell>
          <cell r="O2675">
            <v>2878</v>
          </cell>
          <cell r="P2675">
            <v>43292</v>
          </cell>
          <cell r="Q2675" t="str">
            <v>AYUDA TEMPORAL A LAS FAMILIAS DE VARIAS LOCALIDADES, PARA LA RELOCALIZACIÓN DE HOGARES LOCALIZADOS EN ZONAS DE ALTO RIESGO NO MITIGABLE ID:2013-Q04-00517, LOCALIDAD:19 CIUDAD BOLÍVAR, UPZ:67 LUCERO, SECTOR:PEÑA COLORADA</v>
          </cell>
          <cell r="R2675">
            <v>1350021</v>
          </cell>
          <cell r="S2675">
            <v>0</v>
          </cell>
          <cell r="T2675">
            <v>0</v>
          </cell>
          <cell r="U2675">
            <v>1350021</v>
          </cell>
          <cell r="V2675">
            <v>450007</v>
          </cell>
        </row>
        <row r="2676">
          <cell r="J2676">
            <v>2472</v>
          </cell>
          <cell r="K2676">
            <v>43292</v>
          </cell>
          <cell r="L2676" t="str">
            <v>FRANCISCO ALBERTO BANDERA MARTINEZ</v>
          </cell>
          <cell r="M2676">
            <v>31</v>
          </cell>
          <cell r="N2676" t="str">
            <v>RESOLUCION</v>
          </cell>
          <cell r="O2676">
            <v>2843</v>
          </cell>
          <cell r="P2676">
            <v>43292</v>
          </cell>
          <cell r="Q2676" t="str">
            <v>AYUDA TEMPORAL A LAS FAMILIAS DE VARIAS LOCALIDADES, PARA RELOCALIZACIÓN DE HOGARES LOCALIZADOS EN ZONAS DE ALTO RIESGO NO MITIGABLE ID:2011-4-13552, LOCALIDAD:04 SAN CRISTÓBAL, UPZ:51 LOS LIBERTADORES, SECTOR:QUEBRADA VEREJONES</v>
          </cell>
          <cell r="R2676">
            <v>2582006</v>
          </cell>
          <cell r="S2676">
            <v>0</v>
          </cell>
          <cell r="T2676">
            <v>0</v>
          </cell>
          <cell r="U2676">
            <v>2582006</v>
          </cell>
          <cell r="V2676">
            <v>368858</v>
          </cell>
        </row>
        <row r="2677">
          <cell r="J2677">
            <v>2473</v>
          </cell>
          <cell r="K2677">
            <v>43292</v>
          </cell>
          <cell r="L2677" t="str">
            <v>ROSABEL  ARDILA</v>
          </cell>
          <cell r="M2677">
            <v>31</v>
          </cell>
          <cell r="N2677" t="str">
            <v>RESOLUCION</v>
          </cell>
          <cell r="O2677">
            <v>2845</v>
          </cell>
          <cell r="P2677">
            <v>43292</v>
          </cell>
          <cell r="Q2677" t="str">
            <v>AYUDA TEMPORAL A LAS FAMILIAS DE VARIAS LOCALIDADES, PARA LA RELOCALIZACIÓN DE HOGARES LOCALIZADOS EN ZONAS DE ALTO RIESGO NO MITIGABLE ID:2013000518, LOCALIDAD:19 CIUDAD BOLÍVAR, UPZ:67 LUCERO, SECTOR:BRAZO DERECHO DE LIMAS</v>
          </cell>
          <cell r="R2677">
            <v>3874960</v>
          </cell>
          <cell r="S2677">
            <v>0</v>
          </cell>
          <cell r="T2677">
            <v>0</v>
          </cell>
          <cell r="U2677">
            <v>3874960</v>
          </cell>
          <cell r="V2677">
            <v>968740</v>
          </cell>
        </row>
        <row r="2678">
          <cell r="J2678">
            <v>2474</v>
          </cell>
          <cell r="K2678">
            <v>43292</v>
          </cell>
          <cell r="L2678" t="str">
            <v>CLEMENTINA  CORDOBA TOQUICA</v>
          </cell>
          <cell r="M2678">
            <v>31</v>
          </cell>
          <cell r="N2678" t="str">
            <v>RESOLUCION</v>
          </cell>
          <cell r="O2678">
            <v>2885</v>
          </cell>
          <cell r="P2678">
            <v>43292</v>
          </cell>
          <cell r="Q2678" t="str">
            <v>AYUDA TEMPORAL A LAS FAMILIAS DE VARIAS LOCALIDADES, PARA RELOCALIZACIÓN DE HOGARES LOCALIZADOS EN ZONAS DE ALTO RIESGO NO MITIGABLE ID:2013-Q21-00597, LOCALIDAD:19 CIUDAD BOLÍVAR, UPZ:67 LUCERO, SECTOR:BRAZO DERECHO DE LIMAS</v>
          </cell>
          <cell r="R2678">
            <v>3017000</v>
          </cell>
          <cell r="S2678">
            <v>0</v>
          </cell>
          <cell r="T2678">
            <v>0</v>
          </cell>
          <cell r="U2678">
            <v>3017000</v>
          </cell>
          <cell r="V2678">
            <v>431000</v>
          </cell>
        </row>
        <row r="2679">
          <cell r="J2679">
            <v>2475</v>
          </cell>
          <cell r="K2679">
            <v>43292</v>
          </cell>
          <cell r="L2679" t="str">
            <v>LUIS ERNESTO CASTAÑEDA SANABRIA</v>
          </cell>
          <cell r="M2679">
            <v>31</v>
          </cell>
          <cell r="N2679" t="str">
            <v>RESOLUCION</v>
          </cell>
          <cell r="O2679">
            <v>2839</v>
          </cell>
          <cell r="P2679">
            <v>43292</v>
          </cell>
          <cell r="Q2679" t="str">
            <v>VUR de la actual vigencia. La asignación se realiza para dar cumplimiento al fallo de acción popular 2002-00152- Suba Gavilanes. Dto 255 de 2013. LOCALIDAD: SUBA GAVILANES; BARRIO: SANTA CECILIA; ID: 2018-11-15165</v>
          </cell>
          <cell r="R2679">
            <v>39062100</v>
          </cell>
          <cell r="S2679">
            <v>0</v>
          </cell>
          <cell r="T2679">
            <v>0</v>
          </cell>
          <cell r="U2679">
            <v>39062100</v>
          </cell>
          <cell r="V2679">
            <v>0</v>
          </cell>
        </row>
        <row r="2680">
          <cell r="J2680">
            <v>2476</v>
          </cell>
          <cell r="K2680">
            <v>43292</v>
          </cell>
          <cell r="L2680" t="str">
            <v>REINA DOLORES ORDOÑEZ NAVARRO</v>
          </cell>
          <cell r="M2680">
            <v>31</v>
          </cell>
          <cell r="N2680" t="str">
            <v>RESOLUCION</v>
          </cell>
          <cell r="O2680">
            <v>2840</v>
          </cell>
          <cell r="P2680">
            <v>43292</v>
          </cell>
          <cell r="Q2680" t="str">
            <v>VUR de la actual vigencia.Dto 255 de 2013. LOCALIDAD: CIUDAD BOLIVAR; BARRIO: JUAQN PABLO II; ID: 2015-Q03-03414</v>
          </cell>
          <cell r="R2680">
            <v>39062100</v>
          </cell>
          <cell r="S2680">
            <v>0</v>
          </cell>
          <cell r="T2680">
            <v>0</v>
          </cell>
          <cell r="U2680">
            <v>39062100</v>
          </cell>
          <cell r="V2680">
            <v>0</v>
          </cell>
        </row>
        <row r="2681">
          <cell r="J2681">
            <v>2477</v>
          </cell>
          <cell r="K2681">
            <v>43292</v>
          </cell>
          <cell r="L2681" t="str">
            <v>RODRIGO  PARRA MALAVER</v>
          </cell>
          <cell r="M2681">
            <v>31</v>
          </cell>
          <cell r="N2681" t="str">
            <v>RESOLUCION</v>
          </cell>
          <cell r="O2681">
            <v>2838</v>
          </cell>
          <cell r="P2681">
            <v>43292</v>
          </cell>
          <cell r="Q2681" t="str">
            <v>Reajuste de VUR  por avalúo comercial. Dto. 255 de 2013. LOCALIDAD: RAFAEL URIBE URIBE; BARRIO: MARCO FIDEL SUAREZ; ID: 2011-18-13217.</v>
          </cell>
          <cell r="R2681">
            <v>54955385</v>
          </cell>
          <cell r="S2681">
            <v>0</v>
          </cell>
          <cell r="T2681">
            <v>0</v>
          </cell>
          <cell r="U2681">
            <v>54955385</v>
          </cell>
          <cell r="V2681">
            <v>0</v>
          </cell>
        </row>
        <row r="2682">
          <cell r="J2682">
            <v>2478</v>
          </cell>
          <cell r="K2682">
            <v>43292</v>
          </cell>
          <cell r="L2682" t="str">
            <v>OLGA LUCIA VARGAS ARCHILA</v>
          </cell>
          <cell r="M2682">
            <v>31</v>
          </cell>
          <cell r="N2682" t="str">
            <v>RESOLUCION</v>
          </cell>
          <cell r="O2682">
            <v>2859</v>
          </cell>
          <cell r="P2682">
            <v>43292</v>
          </cell>
          <cell r="Q2682" t="str">
            <v>AYUDA TEMPORAL A LAS FAMILIAS DE VARIAS LOCALIDADES, PARA RELOCALIZACIÓN DE HOGARES LOCALIZADOS EN ZONAS DE ALTO RIESGO NO MITIGABLE ID:2014-4-14714, LOCALIDAD:04 SAN CRISTÓBAL, UPZ:50 LA GLORIA</v>
          </cell>
          <cell r="R2682">
            <v>5181132</v>
          </cell>
          <cell r="S2682">
            <v>0</v>
          </cell>
          <cell r="T2682">
            <v>0</v>
          </cell>
          <cell r="U2682">
            <v>5181132</v>
          </cell>
          <cell r="V2682">
            <v>431761</v>
          </cell>
        </row>
        <row r="2683">
          <cell r="J2683">
            <v>2480</v>
          </cell>
          <cell r="K2683">
            <v>43292</v>
          </cell>
          <cell r="L2683" t="str">
            <v>OLINDA GRACILIANA VELASQUEZ DEROMERO</v>
          </cell>
          <cell r="M2683">
            <v>31</v>
          </cell>
          <cell r="N2683" t="str">
            <v>RESOLUCION</v>
          </cell>
          <cell r="O2683">
            <v>2860</v>
          </cell>
          <cell r="P2683">
            <v>43292</v>
          </cell>
          <cell r="Q2683" t="str">
            <v>AYUDA TEMPORAL A LAS FAMILIAS DE VARIAS LOCALIDADES, PARA RELOCALIZACIÓN DE HOGARES LOCALIZADOS EN ZONAS DE ALTO RIESGO NO MITIGABLE ID:2009-4-11166, LOCALIDAD:04 SAN CRISTÓBAL, UPZ:50 LA GLORIA</v>
          </cell>
          <cell r="R2683">
            <v>2992227</v>
          </cell>
          <cell r="S2683">
            <v>0</v>
          </cell>
          <cell r="T2683">
            <v>0</v>
          </cell>
          <cell r="U2683">
            <v>2992227</v>
          </cell>
          <cell r="V2683">
            <v>427461</v>
          </cell>
        </row>
        <row r="2684">
          <cell r="J2684">
            <v>2481</v>
          </cell>
          <cell r="K2684">
            <v>43292</v>
          </cell>
          <cell r="L2684" t="str">
            <v>BEATRIZ  MORALES RUIZ</v>
          </cell>
          <cell r="M2684">
            <v>31</v>
          </cell>
          <cell r="N2684" t="str">
            <v>RESOLUCION</v>
          </cell>
          <cell r="O2684">
            <v>2884</v>
          </cell>
          <cell r="P2684">
            <v>43292</v>
          </cell>
          <cell r="Q2684" t="str">
            <v>AYUDA TEMPORAL A LAS FAMILIAS DE VARIAS LOCALIDADES, PARA RELOCALIZACIÓN DE HOGARES LOCALIZADOS EN ZONAS DE ALTO RIESGO NO MITIGABLE ID:2012-T314-13, LOCALIDAD:04 SAN CRISTÓBAL, UPZ:50 LA GLORIA</v>
          </cell>
          <cell r="R2684">
            <v>2734347</v>
          </cell>
          <cell r="S2684">
            <v>0</v>
          </cell>
          <cell r="T2684">
            <v>0</v>
          </cell>
          <cell r="U2684">
            <v>2734347</v>
          </cell>
          <cell r="V2684">
            <v>390621</v>
          </cell>
        </row>
        <row r="2685">
          <cell r="J2685">
            <v>2482</v>
          </cell>
          <cell r="K2685">
            <v>43292</v>
          </cell>
          <cell r="L2685" t="str">
            <v>JESUS MARIA GONZALEZ RODRIGUEZ</v>
          </cell>
          <cell r="M2685">
            <v>31</v>
          </cell>
          <cell r="N2685" t="str">
            <v>RESOLUCION</v>
          </cell>
          <cell r="O2685">
            <v>2861</v>
          </cell>
          <cell r="P2685">
            <v>43292</v>
          </cell>
          <cell r="Q2685" t="str">
            <v>AYUDA TEMPORAL A LAS FAMILIAS DE VARIAS LOCALIDADES, PARA RELOCALIZACIÓN DE HOGARES LOCALIZADOS EN ZONAS DE ALTO RIESGO NO MITIGABLE ID:2013-Q10-00243, LOCALIDAD:04 SAN CRISTÓBAL, UPZ:51 LOS LIBERTADORES, SECTOR:QUEBRADA VEREJONES</v>
          </cell>
          <cell r="R2685">
            <v>2845920</v>
          </cell>
          <cell r="S2685">
            <v>0</v>
          </cell>
          <cell r="T2685">
            <v>0</v>
          </cell>
          <cell r="U2685">
            <v>2845920</v>
          </cell>
          <cell r="V2685">
            <v>406560</v>
          </cell>
        </row>
        <row r="2686">
          <cell r="J2686">
            <v>2483</v>
          </cell>
          <cell r="K2686">
            <v>43292</v>
          </cell>
          <cell r="L2686" t="str">
            <v>YEISON ESNEIDER RONCANCIO BUITRAGO</v>
          </cell>
          <cell r="M2686">
            <v>31</v>
          </cell>
          <cell r="N2686" t="str">
            <v>RESOLUCION</v>
          </cell>
          <cell r="O2686">
            <v>2857</v>
          </cell>
          <cell r="P2686">
            <v>43292</v>
          </cell>
          <cell r="Q2686" t="str">
            <v>AYUDA TEMPORAL A LAS FAMILIAS DE VARIAS LOCALIDADES, PARA RELOCALIZACIÓN DE HOGARES LOCALIZADOS EN ZONAS DE ALTO RIESGO NO MITIGABLE ID:2016-08-14793, LOCALIDAD:08 KENNEDY, UPZ:82 PATIO BONITO, SECTOR:PALMITAS</v>
          </cell>
          <cell r="R2686">
            <v>3098412</v>
          </cell>
          <cell r="S2686">
            <v>0</v>
          </cell>
          <cell r="T2686">
            <v>0</v>
          </cell>
          <cell r="U2686">
            <v>3098412</v>
          </cell>
          <cell r="V2686">
            <v>516402</v>
          </cell>
        </row>
        <row r="2687">
          <cell r="J2687">
            <v>2484</v>
          </cell>
          <cell r="K2687">
            <v>43292</v>
          </cell>
          <cell r="L2687" t="str">
            <v>DIANA MARCELA AVELLA GUTIERREZ</v>
          </cell>
          <cell r="M2687">
            <v>31</v>
          </cell>
          <cell r="N2687" t="str">
            <v>RESOLUCION</v>
          </cell>
          <cell r="O2687">
            <v>2858</v>
          </cell>
          <cell r="P2687">
            <v>43292</v>
          </cell>
          <cell r="Q2687" t="str">
            <v>AYUDA TEMPORAL A LAS FAMILIAS DE VARIAS LOCALIDADES, PARA RELOCALIZACIÓN DE HOGARES LOCALIZADOS EN ZONAS DE ALTO RIESGO NO MITIGABLE ID:2013-Q17-00021, LOCALIDAD:19 CIUDAD BOLÍVAR, UPZ:68 EL TESORO, SECTOR:QUEBRADA GALINDO</v>
          </cell>
          <cell r="R2687">
            <v>6491914</v>
          </cell>
          <cell r="S2687">
            <v>0</v>
          </cell>
          <cell r="T2687">
            <v>0</v>
          </cell>
          <cell r="U2687">
            <v>6491914</v>
          </cell>
          <cell r="V2687">
            <v>590174</v>
          </cell>
        </row>
        <row r="2688">
          <cell r="J2688">
            <v>2485</v>
          </cell>
          <cell r="K2688">
            <v>43292</v>
          </cell>
          <cell r="L2688" t="str">
            <v>ANA JOAQUINA PARDO PARDO</v>
          </cell>
          <cell r="M2688">
            <v>31</v>
          </cell>
          <cell r="N2688" t="str">
            <v>RESOLUCION</v>
          </cell>
          <cell r="O2688">
            <v>2881</v>
          </cell>
          <cell r="P2688">
            <v>43292</v>
          </cell>
          <cell r="Q2688" t="str">
            <v>AYUDA TEMPORAL A LAS FAMILIAS DE VARIAS LOCALIDADES, PARA RELOCALIZACIÓN DE HOGARES LOCALIZADOS EN ZONAS DE ALTO RIESGO NO MITIGABLE ID:2015-Q20-01330, LOCALIDAD:04 SAN CRISTÓBAL, UPZ:50 LA GLORIA, SECTOR:LA CHIGUAZA</v>
          </cell>
          <cell r="R2688">
            <v>2788569</v>
          </cell>
          <cell r="S2688">
            <v>0</v>
          </cell>
          <cell r="T2688">
            <v>0</v>
          </cell>
          <cell r="U2688">
            <v>2788569</v>
          </cell>
          <cell r="V2688">
            <v>398367</v>
          </cell>
        </row>
        <row r="2689">
          <cell r="J2689">
            <v>1717</v>
          </cell>
          <cell r="K2689">
            <v>43195</v>
          </cell>
          <cell r="L2689" t="str">
            <v>POSITIVA COMPAÑIA DE SEGUROS SA</v>
          </cell>
          <cell r="M2689">
            <v>30</v>
          </cell>
          <cell r="N2689" t="str">
            <v>ORDEN DE PRESTACION DE SERVICIOS</v>
          </cell>
          <cell r="O2689">
            <v>4</v>
          </cell>
          <cell r="P2689">
            <v>43195</v>
          </cell>
          <cell r="Q2689" t="str">
            <v>PAGO DE COTIZACIÓN AL SISTEMA GENERAL DE RIESGOS LABORALES DE LAS PERSONAS VINCULADAS A TRAVÉS DE UN CONTRATO DE PRESTACIÓN DE SERVICIOS CON LA CAJA DE LA VIVIENDA POPULAR QUE LABORAN EN ACTIVIDADES DE ALTO RIESGO, SEGÚN EN EL ARTÍCULO 13 DEL DECRETO 723 DE 2013. MES DE ABRIL DE 2018</v>
          </cell>
          <cell r="R2689">
            <v>2660200</v>
          </cell>
          <cell r="S2689">
            <v>2660200</v>
          </cell>
          <cell r="T2689">
            <v>0</v>
          </cell>
          <cell r="U2689">
            <v>0</v>
          </cell>
          <cell r="V2689">
            <v>0</v>
          </cell>
        </row>
        <row r="2690">
          <cell r="J2690">
            <v>1028</v>
          </cell>
          <cell r="K2690">
            <v>43143</v>
          </cell>
          <cell r="L2690" t="str">
            <v>SUPERINTENDENCIA DE NOTARIADO Y REGISTRO</v>
          </cell>
          <cell r="M2690">
            <v>31</v>
          </cell>
          <cell r="N2690" t="str">
            <v>RESOLUCION</v>
          </cell>
          <cell r="O2690">
            <v>1127</v>
          </cell>
          <cell r="P2690">
            <v>43143</v>
          </cell>
          <cell r="Q2690"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690">
            <v>366900</v>
          </cell>
          <cell r="S2690">
            <v>0</v>
          </cell>
          <cell r="T2690">
            <v>0</v>
          </cell>
          <cell r="U2690">
            <v>366900</v>
          </cell>
          <cell r="V2690">
            <v>366900</v>
          </cell>
        </row>
        <row r="2691">
          <cell r="J2691">
            <v>1029</v>
          </cell>
          <cell r="K2691">
            <v>43143</v>
          </cell>
          <cell r="L2691" t="str">
            <v>DEPARTAMENTO DE CUNDINAMARCA - TESORERIA GENERAL</v>
          </cell>
          <cell r="M2691">
            <v>31</v>
          </cell>
          <cell r="N2691" t="str">
            <v>RESOLUCION</v>
          </cell>
          <cell r="O2691">
            <v>1127</v>
          </cell>
          <cell r="P2691">
            <v>43143</v>
          </cell>
          <cell r="Q2691"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691">
            <v>169300</v>
          </cell>
          <cell r="S2691">
            <v>0</v>
          </cell>
          <cell r="T2691">
            <v>0</v>
          </cell>
          <cell r="U2691">
            <v>169300</v>
          </cell>
          <cell r="V2691">
            <v>169300</v>
          </cell>
        </row>
        <row r="2692">
          <cell r="J2692">
            <v>1569</v>
          </cell>
          <cell r="K2692">
            <v>43173</v>
          </cell>
          <cell r="L2692" t="str">
            <v>HENRY EUGENIO LIZARAZO GONZALEZ</v>
          </cell>
          <cell r="M2692">
            <v>31</v>
          </cell>
          <cell r="N2692" t="str">
            <v>RESOLUCION</v>
          </cell>
          <cell r="O2692">
            <v>1526</v>
          </cell>
          <cell r="P2692">
            <v>43173</v>
          </cell>
          <cell r="Q2692" t="str">
            <v>SOLICITUD DE COPIAS DE ESCRITURA PÚBLICA 1453 DE 2017, ANTE LA NOTARIA 74 DEL CIRCULO DE BOGOTÁ, PARA FINIQUITAR EL PROCESO DE TRANSFERENCIA A TÍTULO GRATUITO QUE LA CAJA DE LA VIVIENDA POPULAR ADELANTA FRENTE ALGUNOS PREDIOS UBICADOS EN LA LOCALIDAD DE SAN CRISTÓBAL SUR, CIUDADELA SANTA ROSA, A NOMBRE DEL DEPARTAMENTO ADMINISTRATIVO DE LA DEFENSORÍA DEL ESPACIO PÚBLICO - DADEP.</v>
          </cell>
          <cell r="R2692">
            <v>300000</v>
          </cell>
          <cell r="S2692">
            <v>0</v>
          </cell>
          <cell r="T2692">
            <v>0</v>
          </cell>
          <cell r="U2692">
            <v>300000</v>
          </cell>
          <cell r="V2692">
            <v>300000</v>
          </cell>
        </row>
        <row r="2693">
          <cell r="J2693">
            <v>1708</v>
          </cell>
          <cell r="K2693">
            <v>43195</v>
          </cell>
          <cell r="L2693" t="str">
            <v>POSITIVA COMPAÑIA DE SEGUROS SA</v>
          </cell>
          <cell r="M2693">
            <v>30</v>
          </cell>
          <cell r="N2693" t="str">
            <v>ORDEN DE PRESTACION DE SERVICIOS</v>
          </cell>
          <cell r="O2693">
            <v>4</v>
          </cell>
          <cell r="P2693">
            <v>43195</v>
          </cell>
          <cell r="Q2693" t="str">
            <v>Pago de cotización al sistema general de riesgos laborales de las personas vinculadas a través de un contrato de prestación de servicios con la Caja de la Vivienda Popular que laboran en actividades de alto riesgo, según en el artículo 13 del decreto 723 de 2013.</v>
          </cell>
          <cell r="R2693">
            <v>1161100</v>
          </cell>
          <cell r="S2693">
            <v>1161100</v>
          </cell>
          <cell r="T2693">
            <v>0</v>
          </cell>
          <cell r="U2693">
            <v>0</v>
          </cell>
          <cell r="V2693">
            <v>0</v>
          </cell>
        </row>
        <row r="2694">
          <cell r="J2694">
            <v>1806</v>
          </cell>
          <cell r="K2694">
            <v>43207</v>
          </cell>
          <cell r="L2694" t="str">
            <v>HECTOR CARLOS FERNANDO HERRERA REYES</v>
          </cell>
          <cell r="M2694">
            <v>31</v>
          </cell>
          <cell r="N2694" t="str">
            <v>RESOLUCION</v>
          </cell>
          <cell r="O2694">
            <v>1868</v>
          </cell>
          <cell r="P2694">
            <v>43207</v>
          </cell>
          <cell r="Q2694" t="str">
            <v>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v>
          </cell>
          <cell r="R2694">
            <v>1500000</v>
          </cell>
          <cell r="S2694">
            <v>0</v>
          </cell>
          <cell r="T2694">
            <v>0</v>
          </cell>
          <cell r="U2694">
            <v>1500000</v>
          </cell>
          <cell r="V2694">
            <v>1500000</v>
          </cell>
        </row>
        <row r="2695">
          <cell r="J2695">
            <v>1840</v>
          </cell>
          <cell r="K2695">
            <v>43214</v>
          </cell>
          <cell r="L2695" t="str">
            <v>HENRY EUGENIO LIZARAZO GONZALEZ</v>
          </cell>
          <cell r="M2695">
            <v>31</v>
          </cell>
          <cell r="N2695" t="str">
            <v>RESOLUCION</v>
          </cell>
          <cell r="O2695">
            <v>1935</v>
          </cell>
          <cell r="P2695">
            <v>43214</v>
          </cell>
          <cell r="Q2695" t="str">
            <v>Sufragar los costos por concepto de gastos notariales e impuesto de registro en el proceso de escritura de desenglobe y cesión al DADEP del lote denominado equipamiento de la Urbanización Arboleda Santa Teresita ante la Notaría 34 del Círculo de Bogotá D.C.</v>
          </cell>
          <cell r="R2695">
            <v>1047000</v>
          </cell>
          <cell r="S2695">
            <v>0</v>
          </cell>
          <cell r="T2695">
            <v>0</v>
          </cell>
          <cell r="U2695">
            <v>1047000</v>
          </cell>
          <cell r="V2695">
            <v>1047000</v>
          </cell>
        </row>
        <row r="2696">
          <cell r="J2696">
            <v>1863</v>
          </cell>
          <cell r="K2696">
            <v>43227</v>
          </cell>
          <cell r="L2696" t="str">
            <v>HENRY EUGENIO LIZARAZO GONZALEZ</v>
          </cell>
          <cell r="M2696">
            <v>31</v>
          </cell>
          <cell r="N2696" t="str">
            <v>RESOLUCION</v>
          </cell>
          <cell r="O2696">
            <v>1932</v>
          </cell>
          <cell r="P2696">
            <v>43227</v>
          </cell>
          <cell r="Q2696" t="str">
            <v>Sufragar los costos por concepto de gastos notariales en el proceso de la escritura de de transferencia al DADEP de las zonas de cesion de Atahualpa ante la Notaría 24 del Círculo de Bogotá D.C</v>
          </cell>
          <cell r="R2696">
            <v>119276</v>
          </cell>
          <cell r="S2696">
            <v>0</v>
          </cell>
          <cell r="T2696">
            <v>0</v>
          </cell>
          <cell r="U2696">
            <v>119276</v>
          </cell>
          <cell r="V2696">
            <v>119276</v>
          </cell>
        </row>
        <row r="2697">
          <cell r="J2697">
            <v>1895</v>
          </cell>
          <cell r="K2697">
            <v>43230</v>
          </cell>
          <cell r="L2697" t="str">
            <v>SUPERINTENDENCIA DE NOTARIADO Y REGISTRO</v>
          </cell>
          <cell r="M2697">
            <v>31</v>
          </cell>
          <cell r="N2697" t="str">
            <v>RESOLUCION</v>
          </cell>
          <cell r="O2697">
            <v>2059</v>
          </cell>
          <cell r="P2697">
            <v>43230</v>
          </cell>
          <cell r="Q2697"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697">
            <v>1407900</v>
          </cell>
          <cell r="S2697">
            <v>0</v>
          </cell>
          <cell r="T2697">
            <v>0</v>
          </cell>
          <cell r="U2697">
            <v>1407900</v>
          </cell>
          <cell r="V2697">
            <v>1407900</v>
          </cell>
        </row>
        <row r="2698">
          <cell r="J2698">
            <v>1896</v>
          </cell>
          <cell r="K2698">
            <v>43230</v>
          </cell>
          <cell r="L2698" t="str">
            <v>DEPARTAMENTO DE CUNDINAMARCA - TESORERIA GENERAL</v>
          </cell>
          <cell r="M2698">
            <v>31</v>
          </cell>
          <cell r="N2698" t="str">
            <v>RESOLUCION</v>
          </cell>
          <cell r="O2698">
            <v>2059</v>
          </cell>
          <cell r="P2698">
            <v>43230</v>
          </cell>
          <cell r="Q2698"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698">
            <v>596400</v>
          </cell>
          <cell r="S2698">
            <v>0</v>
          </cell>
          <cell r="T2698">
            <v>0</v>
          </cell>
          <cell r="U2698">
            <v>596400</v>
          </cell>
          <cell r="V2698">
            <v>596400</v>
          </cell>
        </row>
        <row r="2699">
          <cell r="J2699">
            <v>1924</v>
          </cell>
          <cell r="K2699">
            <v>43241</v>
          </cell>
          <cell r="L2699" t="str">
            <v>LEIDY PAOLA FLOREZ GALEANO</v>
          </cell>
          <cell r="M2699">
            <v>31</v>
          </cell>
          <cell r="N2699" t="str">
            <v>RESOLUCION</v>
          </cell>
          <cell r="O2699">
            <v>2095</v>
          </cell>
          <cell r="P2699">
            <v>43241</v>
          </cell>
          <cell r="Q2699" t="str">
            <v>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v>
          </cell>
          <cell r="R2699">
            <v>350000</v>
          </cell>
          <cell r="S2699">
            <v>0</v>
          </cell>
          <cell r="T2699">
            <v>0</v>
          </cell>
          <cell r="U2699">
            <v>350000</v>
          </cell>
          <cell r="V2699">
            <v>350000</v>
          </cell>
        </row>
        <row r="2700">
          <cell r="J2700">
            <v>1938</v>
          </cell>
          <cell r="K2700">
            <v>43242</v>
          </cell>
          <cell r="L2700" t="str">
            <v>YAIR JOSUE LIZARAZO CALDERON</v>
          </cell>
          <cell r="M2700">
            <v>31</v>
          </cell>
          <cell r="N2700" t="str">
            <v>RESOLUCION</v>
          </cell>
          <cell r="O2700">
            <v>2099</v>
          </cell>
          <cell r="P2700">
            <v>43242</v>
          </cell>
          <cell r="Q2700"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700">
            <v>668000</v>
          </cell>
          <cell r="S2700">
            <v>0</v>
          </cell>
          <cell r="T2700">
            <v>0</v>
          </cell>
          <cell r="U2700">
            <v>668000</v>
          </cell>
          <cell r="V2700">
            <v>668000</v>
          </cell>
        </row>
        <row r="2701">
          <cell r="J2701">
            <v>2006</v>
          </cell>
          <cell r="K2701">
            <v>43258</v>
          </cell>
          <cell r="L2701" t="str">
            <v>HENRY EUGENIO LIZARAZO GONZALEZ</v>
          </cell>
          <cell r="M2701">
            <v>31</v>
          </cell>
          <cell r="N2701" t="str">
            <v>RESOLUCION</v>
          </cell>
          <cell r="O2701">
            <v>2186</v>
          </cell>
          <cell r="P2701">
            <v>43258</v>
          </cell>
          <cell r="Q2701" t="str">
            <v>Sufragar los costos por concepto de gastos notariales en el proceso de otorgamiento y autorización de la escritura aclaratoria y de ratificación de la EP No. 4364 de 2016, ante la Notaria 62 del circuito de Bogotá, a fin de realizar la transferencia al DADEP de la zona de cesión ubicada en el barrio Arborizadora Alta de la localidad de Ciudad Bolívar</v>
          </cell>
          <cell r="R2701">
            <v>95119</v>
          </cell>
          <cell r="S2701">
            <v>0</v>
          </cell>
          <cell r="T2701">
            <v>0</v>
          </cell>
          <cell r="U2701">
            <v>95119</v>
          </cell>
          <cell r="V2701">
            <v>95119</v>
          </cell>
        </row>
        <row r="2702">
          <cell r="J2702">
            <v>2015</v>
          </cell>
          <cell r="K2702">
            <v>43266</v>
          </cell>
          <cell r="L2702" t="str">
            <v>YAIR JOSUE LIZARAZO CALDERON</v>
          </cell>
          <cell r="M2702">
            <v>31</v>
          </cell>
          <cell r="N2702" t="str">
            <v>RESOLUCION</v>
          </cell>
          <cell r="O2702">
            <v>2258</v>
          </cell>
          <cell r="P2702">
            <v>43266</v>
          </cell>
          <cell r="Q2702" t="str">
            <v>Sufragar los gastos que se incurran para la radicación de la  demanda ante el Tribunal de Arbitramento, relacionada con el proceso arbitral que se adelantará por parte la CVP contra la sociedad comercial CONSTRUCCIONAR Y CIA LTDA, hoy DESARROLLOS INMOBILIARIOS ATAHUALPA II LTDA y la entonces Fiduciaria Tequendama, hoy Servitrust Sudameris, vocera del Patrimonio Autónomo Parques de Atahualpa.</v>
          </cell>
          <cell r="R2702">
            <v>1859356</v>
          </cell>
          <cell r="S2702">
            <v>0</v>
          </cell>
          <cell r="T2702">
            <v>0</v>
          </cell>
          <cell r="U2702">
            <v>1859356</v>
          </cell>
          <cell r="V2702">
            <v>1859356</v>
          </cell>
        </row>
        <row r="2703">
          <cell r="J2703">
            <v>2119</v>
          </cell>
          <cell r="K2703">
            <v>43273</v>
          </cell>
          <cell r="L2703" t="str">
            <v>SUPERINTENDENCIA DE NOTARIADO Y REGISTRO</v>
          </cell>
          <cell r="M2703">
            <v>31</v>
          </cell>
          <cell r="N2703" t="str">
            <v>RESOLUCION</v>
          </cell>
          <cell r="O2703">
            <v>2572</v>
          </cell>
          <cell r="P2703">
            <v>43273</v>
          </cell>
          <cell r="Q2703"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703">
            <v>1106300</v>
          </cell>
          <cell r="S2703">
            <v>0</v>
          </cell>
          <cell r="T2703">
            <v>0</v>
          </cell>
          <cell r="U2703">
            <v>1106300</v>
          </cell>
          <cell r="V2703">
            <v>1106300</v>
          </cell>
        </row>
        <row r="2704">
          <cell r="J2704">
            <v>2120</v>
          </cell>
          <cell r="K2704">
            <v>43273</v>
          </cell>
          <cell r="L2704" t="str">
            <v>DEPARTAMENTO DE CUNDINAMARCA - TESORERIA GENERAL</v>
          </cell>
          <cell r="M2704">
            <v>31</v>
          </cell>
          <cell r="N2704" t="str">
            <v>RESOLUCION</v>
          </cell>
          <cell r="O2704">
            <v>2572</v>
          </cell>
          <cell r="P2704">
            <v>43273</v>
          </cell>
          <cell r="Q2704"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704">
            <v>867800</v>
          </cell>
          <cell r="S2704">
            <v>0</v>
          </cell>
          <cell r="T2704">
            <v>0</v>
          </cell>
          <cell r="U2704">
            <v>867800</v>
          </cell>
          <cell r="V2704">
            <v>867800</v>
          </cell>
        </row>
        <row r="2705">
          <cell r="J2705">
            <v>2523</v>
          </cell>
          <cell r="K2705">
            <v>43305</v>
          </cell>
          <cell r="L2705" t="str">
            <v>YAIR JOSUE LIZARAZO CALDERON</v>
          </cell>
          <cell r="M2705">
            <v>31</v>
          </cell>
          <cell r="N2705" t="str">
            <v>RESOLUCION</v>
          </cell>
          <cell r="O2705">
            <v>2903</v>
          </cell>
          <cell r="P2705">
            <v>43305</v>
          </cell>
          <cell r="Q2705" t="str">
            <v>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v>
          </cell>
          <cell r="R2705">
            <v>120400</v>
          </cell>
          <cell r="S2705">
            <v>0</v>
          </cell>
          <cell r="T2705">
            <v>0</v>
          </cell>
          <cell r="U2705">
            <v>120400</v>
          </cell>
          <cell r="V2705">
            <v>120400</v>
          </cell>
        </row>
        <row r="2706">
          <cell r="J2706">
            <v>2524</v>
          </cell>
          <cell r="K2706">
            <v>43305</v>
          </cell>
          <cell r="L2706" t="str">
            <v>LEIDY PAOLA FLOREZ GALEANO</v>
          </cell>
          <cell r="M2706">
            <v>31</v>
          </cell>
          <cell r="N2706" t="str">
            <v>RESOLUCION</v>
          </cell>
          <cell r="O2706">
            <v>2915</v>
          </cell>
          <cell r="P2706">
            <v>43305</v>
          </cell>
          <cell r="Q2706" t="str">
            <v>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v>
          </cell>
          <cell r="R2706">
            <v>350000</v>
          </cell>
          <cell r="S2706">
            <v>0</v>
          </cell>
          <cell r="T2706">
            <v>0</v>
          </cell>
          <cell r="U2706">
            <v>350000</v>
          </cell>
          <cell r="V2706">
            <v>350000</v>
          </cell>
        </row>
        <row r="2707">
          <cell r="J2707">
            <v>2511</v>
          </cell>
          <cell r="K2707">
            <v>43300</v>
          </cell>
          <cell r="L2707" t="str">
            <v>GIOVANNI  QUIROGA BERMUDEZ</v>
          </cell>
          <cell r="M2707">
            <v>145</v>
          </cell>
          <cell r="N2707" t="str">
            <v>CONTRATO DE PRESTACION DE SERVICIOS PROFESIONALES</v>
          </cell>
          <cell r="O2707">
            <v>447</v>
          </cell>
          <cell r="P2707">
            <v>43300</v>
          </cell>
          <cell r="Q2707" t="str">
            <v>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v>
          </cell>
          <cell r="R2707">
            <v>26265000</v>
          </cell>
          <cell r="S2707">
            <v>0</v>
          </cell>
          <cell r="T2707">
            <v>0</v>
          </cell>
          <cell r="U2707">
            <v>26265000</v>
          </cell>
          <cell r="V2707">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303"/>
  <sheetViews>
    <sheetView tabSelected="1" topLeftCell="A22" workbookViewId="0">
      <selection activeCell="A4" sqref="A4:AU1303"/>
    </sheetView>
  </sheetViews>
  <sheetFormatPr baseColWidth="10" defaultRowHeight="12.75" x14ac:dyDescent="0.2"/>
  <cols>
    <col min="1" max="1" width="5.85546875" style="77" customWidth="1"/>
    <col min="2" max="2" width="6.85546875" style="77" customWidth="1"/>
    <col min="3" max="10" width="11.42578125" style="77"/>
    <col min="11" max="11" width="11.7109375" style="77" bestFit="1" customWidth="1"/>
    <col min="12" max="12" width="22.140625" style="77" bestFit="1" customWidth="1"/>
    <col min="13" max="16" width="11.42578125" style="77"/>
    <col min="17" max="17" width="21.7109375" style="77" bestFit="1" customWidth="1"/>
    <col min="18" max="18" width="11.7109375" style="77" bestFit="1" customWidth="1"/>
    <col min="19" max="19" width="22.28515625" style="77" bestFit="1" customWidth="1"/>
    <col min="20" max="21" width="11.42578125" style="77"/>
    <col min="22" max="22" width="12.7109375" style="77" bestFit="1" customWidth="1"/>
    <col min="23" max="24" width="11.7109375" style="77" bestFit="1" customWidth="1"/>
    <col min="25" max="25" width="18.7109375" style="77" bestFit="1" customWidth="1"/>
    <col min="26" max="26" width="22.28515625" style="77" bestFit="1" customWidth="1"/>
    <col min="27" max="28" width="11.7109375" style="77" bestFit="1" customWidth="1"/>
    <col min="29" max="29" width="18.7109375" style="77" bestFit="1" customWidth="1"/>
    <col min="30" max="30" width="22.28515625" style="77" bestFit="1" customWidth="1"/>
    <col min="31" max="31" width="19" style="77" bestFit="1" customWidth="1"/>
    <col min="32" max="32" width="11.7109375" style="77" bestFit="1" customWidth="1"/>
    <col min="33" max="33" width="17" style="77" bestFit="1" customWidth="1"/>
    <col min="34" max="34" width="22.28515625" style="77" bestFit="1" customWidth="1"/>
    <col min="35" max="35" width="11.42578125" style="77"/>
    <col min="36" max="36" width="11.7109375" style="77" bestFit="1" customWidth="1"/>
    <col min="37" max="37" width="19" style="77" bestFit="1" customWidth="1"/>
    <col min="38" max="39" width="22.28515625" style="77" bestFit="1" customWidth="1"/>
    <col min="40" max="40" width="20.42578125" style="77" bestFit="1" customWidth="1"/>
    <col min="41" max="41" width="20.28515625" style="77" bestFit="1" customWidth="1"/>
    <col min="42" max="42" width="14.7109375" style="77" bestFit="1" customWidth="1"/>
    <col min="43" max="46" width="12.7109375" style="77" bestFit="1" customWidth="1"/>
    <col min="47" max="16384" width="11.42578125" style="77"/>
  </cols>
  <sheetData>
    <row r="1" spans="1:50" x14ac:dyDescent="0.2">
      <c r="A1" s="71" t="s">
        <v>0</v>
      </c>
      <c r="B1" s="71"/>
      <c r="C1" s="71"/>
      <c r="D1" s="71"/>
      <c r="E1" s="72"/>
      <c r="F1" s="72"/>
      <c r="G1" s="72"/>
      <c r="H1" s="72"/>
      <c r="I1" s="72"/>
      <c r="J1" s="72"/>
      <c r="K1" s="72"/>
      <c r="L1" s="72"/>
      <c r="M1" s="72"/>
      <c r="N1" s="72"/>
      <c r="O1" s="72"/>
      <c r="P1" s="72"/>
      <c r="Q1" s="72"/>
      <c r="R1" s="72"/>
      <c r="S1" s="72"/>
      <c r="T1" s="72"/>
      <c r="U1" s="72"/>
      <c r="V1" s="73"/>
      <c r="W1" s="72"/>
      <c r="X1" s="74"/>
      <c r="Y1" s="73"/>
      <c r="Z1" s="72"/>
      <c r="AA1" s="72"/>
      <c r="AB1" s="75"/>
      <c r="AC1" s="73"/>
      <c r="AD1" s="72"/>
      <c r="AE1" s="72"/>
      <c r="AF1" s="72"/>
      <c r="AG1" s="73"/>
      <c r="AH1" s="72"/>
      <c r="AI1" s="72"/>
      <c r="AJ1" s="72"/>
      <c r="AK1" s="72"/>
      <c r="AL1" s="72"/>
      <c r="AM1" s="72"/>
      <c r="AN1" s="72"/>
      <c r="AO1" s="72"/>
      <c r="AP1" s="72"/>
      <c r="AQ1" s="73" t="s">
        <v>1</v>
      </c>
      <c r="AR1" s="72"/>
      <c r="AS1" s="73"/>
      <c r="AT1" s="72"/>
      <c r="AU1" s="72"/>
      <c r="AV1" s="76"/>
      <c r="AW1" s="76"/>
      <c r="AX1" s="76"/>
    </row>
    <row r="2" spans="1:50" ht="76.5" x14ac:dyDescent="0.2">
      <c r="A2" s="78" t="s">
        <v>2</v>
      </c>
      <c r="B2" s="78" t="s">
        <v>3</v>
      </c>
      <c r="C2" s="78" t="s">
        <v>4</v>
      </c>
      <c r="D2" s="78" t="s">
        <v>5</v>
      </c>
      <c r="E2" s="78" t="s">
        <v>6</v>
      </c>
      <c r="F2" s="78" t="s">
        <v>7</v>
      </c>
      <c r="G2" s="78" t="s">
        <v>8</v>
      </c>
      <c r="H2" s="78" t="s">
        <v>9</v>
      </c>
      <c r="I2" s="78" t="s">
        <v>10</v>
      </c>
      <c r="J2" s="78" t="s">
        <v>11</v>
      </c>
      <c r="K2" s="78" t="s">
        <v>12</v>
      </c>
      <c r="L2" s="78" t="s">
        <v>13</v>
      </c>
      <c r="M2" s="78" t="s">
        <v>14</v>
      </c>
      <c r="N2" s="78" t="s">
        <v>15</v>
      </c>
      <c r="O2" s="78" t="s">
        <v>16</v>
      </c>
      <c r="P2" s="78" t="s">
        <v>17</v>
      </c>
      <c r="Q2" s="78" t="s">
        <v>18</v>
      </c>
      <c r="R2" s="78" t="s">
        <v>19</v>
      </c>
      <c r="S2" s="78" t="s">
        <v>20</v>
      </c>
      <c r="T2" s="78" t="s">
        <v>21</v>
      </c>
      <c r="U2" s="78" t="s">
        <v>22</v>
      </c>
      <c r="V2" s="79" t="s">
        <v>23</v>
      </c>
      <c r="W2" s="78" t="s">
        <v>24</v>
      </c>
      <c r="X2" s="78" t="s">
        <v>25</v>
      </c>
      <c r="Y2" s="79" t="s">
        <v>26</v>
      </c>
      <c r="Z2" s="78" t="s">
        <v>27</v>
      </c>
      <c r="AA2" s="78" t="s">
        <v>28</v>
      </c>
      <c r="AB2" s="78" t="s">
        <v>29</v>
      </c>
      <c r="AC2" s="79" t="s">
        <v>30</v>
      </c>
      <c r="AD2" s="78" t="s">
        <v>31</v>
      </c>
      <c r="AE2" s="78" t="s">
        <v>32</v>
      </c>
      <c r="AF2" s="78" t="s">
        <v>1504</v>
      </c>
      <c r="AG2" s="79" t="s">
        <v>33</v>
      </c>
      <c r="AH2" s="78" t="s">
        <v>34</v>
      </c>
      <c r="AI2" s="78" t="s">
        <v>35</v>
      </c>
      <c r="AJ2" s="78" t="s">
        <v>36</v>
      </c>
      <c r="AK2" s="78" t="s">
        <v>37</v>
      </c>
      <c r="AL2" s="78" t="s">
        <v>38</v>
      </c>
      <c r="AM2" s="78" t="s">
        <v>39</v>
      </c>
      <c r="AN2" s="78" t="s">
        <v>40</v>
      </c>
      <c r="AO2" s="78" t="s">
        <v>41</v>
      </c>
      <c r="AP2" s="78" t="s">
        <v>42</v>
      </c>
      <c r="AQ2" s="79" t="s">
        <v>43</v>
      </c>
      <c r="AR2" s="78" t="s">
        <v>44</v>
      </c>
      <c r="AS2" s="79" t="s">
        <v>45</v>
      </c>
      <c r="AT2" s="78" t="s">
        <v>46</v>
      </c>
      <c r="AU2" s="78" t="s">
        <v>47</v>
      </c>
      <c r="AV2" s="80"/>
      <c r="AW2" s="80"/>
      <c r="AX2" s="80"/>
    </row>
    <row r="3" spans="1:50" x14ac:dyDescent="0.2">
      <c r="A3" s="81"/>
      <c r="B3" s="81"/>
      <c r="C3" s="82"/>
      <c r="D3" s="82"/>
      <c r="E3" s="82"/>
      <c r="F3" s="82"/>
      <c r="G3" s="82"/>
      <c r="H3" s="82"/>
      <c r="I3" s="82"/>
      <c r="J3" s="82"/>
      <c r="K3" s="82"/>
      <c r="L3" s="82"/>
      <c r="M3" s="82"/>
      <c r="N3" s="82"/>
      <c r="O3" s="82"/>
      <c r="P3" s="82"/>
      <c r="Q3" s="82"/>
      <c r="R3" s="82"/>
      <c r="S3" s="59"/>
      <c r="T3" s="82"/>
      <c r="U3" s="82"/>
      <c r="V3" s="83"/>
      <c r="W3" s="82"/>
      <c r="X3" s="60"/>
      <c r="Y3" s="83"/>
      <c r="Z3" s="82"/>
      <c r="AA3" s="82"/>
      <c r="AB3" s="61"/>
      <c r="AC3" s="83"/>
      <c r="AD3" s="82"/>
      <c r="AE3" s="82"/>
      <c r="AF3" s="59"/>
      <c r="AG3" s="83"/>
      <c r="AH3" s="82"/>
      <c r="AI3" s="82"/>
      <c r="AJ3" s="82"/>
      <c r="AK3" s="82"/>
      <c r="AL3" s="82"/>
      <c r="AM3" s="82"/>
      <c r="AN3" s="82"/>
      <c r="AO3" s="82"/>
      <c r="AP3" s="82"/>
      <c r="AQ3" s="83"/>
      <c r="AR3" s="82"/>
      <c r="AS3" s="83"/>
      <c r="AT3" s="82"/>
      <c r="AU3" s="82"/>
      <c r="AV3" s="84"/>
      <c r="AW3" s="84"/>
      <c r="AX3" s="84"/>
    </row>
    <row r="4" spans="1:50" x14ac:dyDescent="0.2">
      <c r="A4" s="192">
        <v>1</v>
      </c>
      <c r="B4" s="192" t="s">
        <v>643</v>
      </c>
      <c r="C4" s="97" t="s">
        <v>644</v>
      </c>
      <c r="D4" s="97" t="s">
        <v>645</v>
      </c>
      <c r="E4" s="97" t="s">
        <v>646</v>
      </c>
      <c r="F4" s="97" t="s">
        <v>511</v>
      </c>
      <c r="G4" s="97" t="s">
        <v>512</v>
      </c>
      <c r="H4" s="97" t="s">
        <v>647</v>
      </c>
      <c r="I4" s="97" t="s">
        <v>54</v>
      </c>
      <c r="J4" s="97" t="s">
        <v>55</v>
      </c>
      <c r="K4" s="97">
        <v>80111600</v>
      </c>
      <c r="L4" s="97" t="s">
        <v>492</v>
      </c>
      <c r="M4" s="97" t="s">
        <v>493</v>
      </c>
      <c r="N4" s="97" t="s">
        <v>494</v>
      </c>
      <c r="O4" s="97" t="s">
        <v>508</v>
      </c>
      <c r="P4" s="97" t="s">
        <v>648</v>
      </c>
      <c r="Q4" s="97">
        <v>71495916.666666672</v>
      </c>
      <c r="R4" s="97">
        <v>8</v>
      </c>
      <c r="S4" s="201">
        <v>857951000</v>
      </c>
      <c r="T4" s="97" t="s">
        <v>50</v>
      </c>
      <c r="U4" s="97" t="s">
        <v>50</v>
      </c>
      <c r="V4" s="202">
        <v>43115</v>
      </c>
      <c r="W4" s="97">
        <v>12</v>
      </c>
      <c r="X4" s="203" t="s">
        <v>649</v>
      </c>
      <c r="Y4" s="202">
        <v>43109</v>
      </c>
      <c r="Z4" s="97">
        <v>857951000</v>
      </c>
      <c r="AA4" s="97"/>
      <c r="AB4" s="204">
        <v>441</v>
      </c>
      <c r="AC4" s="192" t="s">
        <v>1505</v>
      </c>
      <c r="AD4" s="205">
        <v>857951000</v>
      </c>
      <c r="AE4" s="206">
        <f>S4-AD4</f>
        <v>0</v>
      </c>
      <c r="AF4" s="204">
        <v>757</v>
      </c>
      <c r="AG4" s="186">
        <v>43137</v>
      </c>
      <c r="AH4" s="198">
        <v>46765412</v>
      </c>
      <c r="AI4" s="97" t="s">
        <v>518</v>
      </c>
      <c r="AJ4" s="97"/>
      <c r="AK4" s="97"/>
      <c r="AL4" s="198">
        <v>46765412</v>
      </c>
      <c r="AM4" s="198">
        <v>0</v>
      </c>
      <c r="AN4" s="97" t="s">
        <v>650</v>
      </c>
      <c r="AO4" s="97"/>
      <c r="AP4" s="97"/>
      <c r="AQ4" s="202"/>
      <c r="AR4" s="97"/>
      <c r="AS4" s="202"/>
      <c r="AT4" s="97"/>
      <c r="AU4" s="97"/>
      <c r="AV4" s="84"/>
      <c r="AW4" s="84"/>
      <c r="AX4" s="84"/>
    </row>
    <row r="5" spans="1:50" x14ac:dyDescent="0.2">
      <c r="A5" s="192">
        <v>1</v>
      </c>
      <c r="B5" s="192" t="s">
        <v>643</v>
      </c>
      <c r="C5" s="97"/>
      <c r="D5" s="97"/>
      <c r="E5" s="97"/>
      <c r="F5" s="97"/>
      <c r="G5" s="97"/>
      <c r="H5" s="97"/>
      <c r="I5" s="97"/>
      <c r="J5" s="97"/>
      <c r="K5" s="97"/>
      <c r="L5" s="97"/>
      <c r="M5" s="97"/>
      <c r="N5" s="97"/>
      <c r="O5" s="97"/>
      <c r="P5" s="97"/>
      <c r="Q5" s="97"/>
      <c r="R5" s="97"/>
      <c r="S5" s="201"/>
      <c r="T5" s="97"/>
      <c r="U5" s="97"/>
      <c r="V5" s="202"/>
      <c r="W5" s="97"/>
      <c r="X5" s="203"/>
      <c r="Y5" s="202"/>
      <c r="Z5" s="97"/>
      <c r="AA5" s="97"/>
      <c r="AB5" s="204"/>
      <c r="AC5" s="192"/>
      <c r="AD5" s="205"/>
      <c r="AE5" s="206">
        <f t="shared" ref="AE5:AE68" si="0">S5-AD5</f>
        <v>0</v>
      </c>
      <c r="AF5" s="204">
        <v>1014</v>
      </c>
      <c r="AG5" s="186">
        <v>43140</v>
      </c>
      <c r="AH5" s="198">
        <v>13527500</v>
      </c>
      <c r="AI5" s="97" t="s">
        <v>518</v>
      </c>
      <c r="AJ5" s="97"/>
      <c r="AK5" s="97"/>
      <c r="AL5" s="198">
        <v>13527500</v>
      </c>
      <c r="AM5" s="198">
        <v>0</v>
      </c>
      <c r="AN5" s="97"/>
      <c r="AO5" s="97"/>
      <c r="AP5" s="97"/>
      <c r="AQ5" s="202"/>
      <c r="AR5" s="97"/>
      <c r="AS5" s="202"/>
      <c r="AT5" s="97"/>
      <c r="AU5" s="97"/>
      <c r="AV5" s="84"/>
      <c r="AW5" s="84"/>
      <c r="AX5" s="84"/>
    </row>
    <row r="6" spans="1:50" x14ac:dyDescent="0.2">
      <c r="A6" s="192">
        <v>1</v>
      </c>
      <c r="B6" s="192" t="s">
        <v>643</v>
      </c>
      <c r="C6" s="97"/>
      <c r="D6" s="97"/>
      <c r="E6" s="97"/>
      <c r="F6" s="97"/>
      <c r="G6" s="97"/>
      <c r="H6" s="97"/>
      <c r="I6" s="97"/>
      <c r="J6" s="97"/>
      <c r="K6" s="97"/>
      <c r="L6" s="97"/>
      <c r="M6" s="97"/>
      <c r="N6" s="97"/>
      <c r="O6" s="97"/>
      <c r="P6" s="97"/>
      <c r="Q6" s="97"/>
      <c r="R6" s="97"/>
      <c r="S6" s="201"/>
      <c r="T6" s="97"/>
      <c r="U6" s="97"/>
      <c r="V6" s="202"/>
      <c r="W6" s="97"/>
      <c r="X6" s="203"/>
      <c r="Y6" s="202"/>
      <c r="Z6" s="97"/>
      <c r="AA6" s="97"/>
      <c r="AB6" s="204"/>
      <c r="AC6" s="192"/>
      <c r="AD6" s="205"/>
      <c r="AE6" s="206">
        <f t="shared" si="0"/>
        <v>0</v>
      </c>
      <c r="AF6" s="204">
        <v>1015</v>
      </c>
      <c r="AG6" s="186">
        <v>43140</v>
      </c>
      <c r="AH6" s="198">
        <v>1296400</v>
      </c>
      <c r="AI6" s="97" t="s">
        <v>518</v>
      </c>
      <c r="AJ6" s="97"/>
      <c r="AK6" s="97"/>
      <c r="AL6" s="198">
        <v>1296400</v>
      </c>
      <c r="AM6" s="198">
        <v>0</v>
      </c>
      <c r="AN6" s="97"/>
      <c r="AO6" s="97"/>
      <c r="AP6" s="97"/>
      <c r="AQ6" s="202"/>
      <c r="AR6" s="97"/>
      <c r="AS6" s="202"/>
      <c r="AT6" s="97"/>
      <c r="AU6" s="97"/>
      <c r="AV6" s="84"/>
      <c r="AW6" s="84"/>
      <c r="AX6" s="84"/>
    </row>
    <row r="7" spans="1:50" x14ac:dyDescent="0.2">
      <c r="A7" s="192">
        <v>1</v>
      </c>
      <c r="B7" s="192" t="s">
        <v>643</v>
      </c>
      <c r="C7" s="97"/>
      <c r="D7" s="97"/>
      <c r="E7" s="97"/>
      <c r="F7" s="97"/>
      <c r="G7" s="97"/>
      <c r="H7" s="97"/>
      <c r="I7" s="97"/>
      <c r="J7" s="97"/>
      <c r="K7" s="97"/>
      <c r="L7" s="97"/>
      <c r="M7" s="97"/>
      <c r="N7" s="97"/>
      <c r="O7" s="97"/>
      <c r="P7" s="97"/>
      <c r="Q7" s="97"/>
      <c r="R7" s="97"/>
      <c r="S7" s="201"/>
      <c r="T7" s="97"/>
      <c r="U7" s="97"/>
      <c r="V7" s="202"/>
      <c r="W7" s="97"/>
      <c r="X7" s="203"/>
      <c r="Y7" s="202"/>
      <c r="Z7" s="97"/>
      <c r="AA7" s="97"/>
      <c r="AB7" s="204"/>
      <c r="AC7" s="192"/>
      <c r="AD7" s="205"/>
      <c r="AE7" s="206">
        <f t="shared" si="0"/>
        <v>0</v>
      </c>
      <c r="AF7" s="204">
        <v>1388</v>
      </c>
      <c r="AG7" s="186">
        <v>43151</v>
      </c>
      <c r="AH7" s="198">
        <v>37705914</v>
      </c>
      <c r="AI7" s="97" t="s">
        <v>518</v>
      </c>
      <c r="AJ7" s="97"/>
      <c r="AK7" s="97"/>
      <c r="AL7" s="198">
        <v>37705914</v>
      </c>
      <c r="AM7" s="198">
        <v>0</v>
      </c>
      <c r="AN7" s="97"/>
      <c r="AO7" s="97"/>
      <c r="AP7" s="97"/>
      <c r="AQ7" s="202"/>
      <c r="AR7" s="97"/>
      <c r="AS7" s="202"/>
      <c r="AT7" s="97"/>
      <c r="AU7" s="97"/>
      <c r="AV7" s="84"/>
      <c r="AW7" s="84"/>
      <c r="AX7" s="84"/>
    </row>
    <row r="8" spans="1:50" x14ac:dyDescent="0.2">
      <c r="A8" s="192">
        <v>1</v>
      </c>
      <c r="B8" s="192" t="s">
        <v>643</v>
      </c>
      <c r="C8" s="97"/>
      <c r="D8" s="97"/>
      <c r="E8" s="97"/>
      <c r="F8" s="97"/>
      <c r="G8" s="97"/>
      <c r="H8" s="97"/>
      <c r="I8" s="97"/>
      <c r="J8" s="97"/>
      <c r="K8" s="97"/>
      <c r="L8" s="97"/>
      <c r="M8" s="97"/>
      <c r="N8" s="97"/>
      <c r="O8" s="97"/>
      <c r="P8" s="97"/>
      <c r="Q8" s="97"/>
      <c r="R8" s="97"/>
      <c r="S8" s="201"/>
      <c r="T8" s="97"/>
      <c r="U8" s="97"/>
      <c r="V8" s="202"/>
      <c r="W8" s="97"/>
      <c r="X8" s="203"/>
      <c r="Y8" s="202"/>
      <c r="Z8" s="97"/>
      <c r="AA8" s="97"/>
      <c r="AB8" s="204"/>
      <c r="AC8" s="192"/>
      <c r="AD8" s="205"/>
      <c r="AE8" s="206">
        <f t="shared" si="0"/>
        <v>0</v>
      </c>
      <c r="AF8" s="204">
        <v>1389</v>
      </c>
      <c r="AG8" s="186">
        <v>43151</v>
      </c>
      <c r="AH8" s="198">
        <v>4317097</v>
      </c>
      <c r="AI8" s="97" t="s">
        <v>518</v>
      </c>
      <c r="AJ8" s="97"/>
      <c r="AK8" s="97"/>
      <c r="AL8" s="198">
        <v>4317097</v>
      </c>
      <c r="AM8" s="198">
        <v>0</v>
      </c>
      <c r="AN8" s="97"/>
      <c r="AO8" s="97"/>
      <c r="AP8" s="97"/>
      <c r="AQ8" s="202"/>
      <c r="AR8" s="97"/>
      <c r="AS8" s="202"/>
      <c r="AT8" s="97"/>
      <c r="AU8" s="97"/>
      <c r="AV8" s="84"/>
      <c r="AW8" s="84"/>
      <c r="AX8" s="84"/>
    </row>
    <row r="9" spans="1:50" x14ac:dyDescent="0.2">
      <c r="A9" s="192">
        <v>1</v>
      </c>
      <c r="B9" s="192" t="s">
        <v>643</v>
      </c>
      <c r="C9" s="97"/>
      <c r="D9" s="97"/>
      <c r="E9" s="97"/>
      <c r="F9" s="97"/>
      <c r="G9" s="97"/>
      <c r="H9" s="97"/>
      <c r="I9" s="97"/>
      <c r="J9" s="97"/>
      <c r="K9" s="97"/>
      <c r="L9" s="97"/>
      <c r="M9" s="97"/>
      <c r="N9" s="97"/>
      <c r="O9" s="97"/>
      <c r="P9" s="97"/>
      <c r="Q9" s="97"/>
      <c r="R9" s="97"/>
      <c r="S9" s="201"/>
      <c r="T9" s="97"/>
      <c r="U9" s="97"/>
      <c r="V9" s="202"/>
      <c r="W9" s="97"/>
      <c r="X9" s="203"/>
      <c r="Y9" s="202"/>
      <c r="Z9" s="97"/>
      <c r="AA9" s="97"/>
      <c r="AB9" s="204"/>
      <c r="AC9" s="192"/>
      <c r="AD9" s="205"/>
      <c r="AE9" s="206">
        <f t="shared" si="0"/>
        <v>0</v>
      </c>
      <c r="AF9" s="204">
        <v>1532</v>
      </c>
      <c r="AG9" s="186">
        <v>43165</v>
      </c>
      <c r="AH9" s="198">
        <v>1296400</v>
      </c>
      <c r="AI9" s="97" t="s">
        <v>518</v>
      </c>
      <c r="AJ9" s="97"/>
      <c r="AK9" s="97"/>
      <c r="AL9" s="198">
        <v>1296400</v>
      </c>
      <c r="AM9" s="198">
        <v>0</v>
      </c>
      <c r="AN9" s="97"/>
      <c r="AO9" s="97"/>
      <c r="AP9" s="97"/>
      <c r="AQ9" s="202"/>
      <c r="AR9" s="97"/>
      <c r="AS9" s="202"/>
      <c r="AT9" s="97"/>
      <c r="AU9" s="97"/>
      <c r="AV9" s="84"/>
      <c r="AW9" s="84"/>
      <c r="AX9" s="84"/>
    </row>
    <row r="10" spans="1:50" x14ac:dyDescent="0.2">
      <c r="A10" s="192">
        <v>1</v>
      </c>
      <c r="B10" s="192" t="s">
        <v>643</v>
      </c>
      <c r="C10" s="97"/>
      <c r="D10" s="97"/>
      <c r="E10" s="97"/>
      <c r="F10" s="97"/>
      <c r="G10" s="97"/>
      <c r="H10" s="97"/>
      <c r="I10" s="97"/>
      <c r="J10" s="97"/>
      <c r="K10" s="97"/>
      <c r="L10" s="97"/>
      <c r="M10" s="97"/>
      <c r="N10" s="97"/>
      <c r="O10" s="97"/>
      <c r="P10" s="97"/>
      <c r="Q10" s="97"/>
      <c r="R10" s="97"/>
      <c r="S10" s="201"/>
      <c r="T10" s="97"/>
      <c r="U10" s="97"/>
      <c r="V10" s="202"/>
      <c r="W10" s="97"/>
      <c r="X10" s="203"/>
      <c r="Y10" s="202"/>
      <c r="Z10" s="97"/>
      <c r="AA10" s="97"/>
      <c r="AB10" s="204"/>
      <c r="AC10" s="192"/>
      <c r="AD10" s="205"/>
      <c r="AE10" s="206">
        <f t="shared" si="0"/>
        <v>0</v>
      </c>
      <c r="AF10" s="204">
        <v>1536</v>
      </c>
      <c r="AG10" s="186">
        <v>43165</v>
      </c>
      <c r="AH10" s="198">
        <v>11308500</v>
      </c>
      <c r="AI10" s="97" t="s">
        <v>518</v>
      </c>
      <c r="AJ10" s="97"/>
      <c r="AK10" s="97"/>
      <c r="AL10" s="198">
        <v>11308500</v>
      </c>
      <c r="AM10" s="198">
        <v>0</v>
      </c>
      <c r="AN10" s="97"/>
      <c r="AO10" s="97"/>
      <c r="AP10" s="97"/>
      <c r="AQ10" s="202"/>
      <c r="AR10" s="97"/>
      <c r="AS10" s="202"/>
      <c r="AT10" s="97"/>
      <c r="AU10" s="97"/>
      <c r="AV10" s="84"/>
      <c r="AW10" s="84"/>
      <c r="AX10" s="84"/>
    </row>
    <row r="11" spans="1:50" x14ac:dyDescent="0.2">
      <c r="A11" s="192">
        <v>1</v>
      </c>
      <c r="B11" s="192" t="s">
        <v>643</v>
      </c>
      <c r="C11" s="97"/>
      <c r="D11" s="97"/>
      <c r="E11" s="97"/>
      <c r="F11" s="97"/>
      <c r="G11" s="97"/>
      <c r="H11" s="97"/>
      <c r="I11" s="97"/>
      <c r="J11" s="97"/>
      <c r="K11" s="97"/>
      <c r="L11" s="97"/>
      <c r="M11" s="97"/>
      <c r="N11" s="97"/>
      <c r="O11" s="97"/>
      <c r="P11" s="97"/>
      <c r="Q11" s="97"/>
      <c r="R11" s="97"/>
      <c r="S11" s="201"/>
      <c r="T11" s="97"/>
      <c r="U11" s="97"/>
      <c r="V11" s="202"/>
      <c r="W11" s="97"/>
      <c r="X11" s="203"/>
      <c r="Y11" s="202"/>
      <c r="Z11" s="97"/>
      <c r="AA11" s="97"/>
      <c r="AB11" s="204"/>
      <c r="AC11" s="192"/>
      <c r="AD11" s="207"/>
      <c r="AE11" s="206">
        <f t="shared" si="0"/>
        <v>0</v>
      </c>
      <c r="AF11" s="204">
        <v>1604</v>
      </c>
      <c r="AG11" s="186">
        <v>43180</v>
      </c>
      <c r="AH11" s="198">
        <v>5015176</v>
      </c>
      <c r="AI11" s="97" t="s">
        <v>518</v>
      </c>
      <c r="AJ11" s="97"/>
      <c r="AK11" s="97"/>
      <c r="AL11" s="198">
        <v>5015176</v>
      </c>
      <c r="AM11" s="198">
        <v>0</v>
      </c>
      <c r="AN11" s="97"/>
      <c r="AO11" s="97"/>
      <c r="AP11" s="97"/>
      <c r="AQ11" s="202"/>
      <c r="AR11" s="97"/>
      <c r="AS11" s="202"/>
      <c r="AT11" s="97"/>
      <c r="AU11" s="97"/>
      <c r="AV11" s="84"/>
      <c r="AW11" s="84"/>
      <c r="AX11" s="84"/>
    </row>
    <row r="12" spans="1:50" x14ac:dyDescent="0.2">
      <c r="A12" s="192">
        <v>1</v>
      </c>
      <c r="B12" s="192" t="s">
        <v>643</v>
      </c>
      <c r="C12" s="97"/>
      <c r="D12" s="97"/>
      <c r="E12" s="97"/>
      <c r="F12" s="97"/>
      <c r="G12" s="97"/>
      <c r="H12" s="97"/>
      <c r="I12" s="97"/>
      <c r="J12" s="97"/>
      <c r="K12" s="97"/>
      <c r="L12" s="97"/>
      <c r="M12" s="97"/>
      <c r="N12" s="97"/>
      <c r="O12" s="97"/>
      <c r="P12" s="97"/>
      <c r="Q12" s="97"/>
      <c r="R12" s="97"/>
      <c r="S12" s="201"/>
      <c r="T12" s="97"/>
      <c r="U12" s="97"/>
      <c r="V12" s="202"/>
      <c r="W12" s="97"/>
      <c r="X12" s="203"/>
      <c r="Y12" s="202"/>
      <c r="Z12" s="97"/>
      <c r="AA12" s="97"/>
      <c r="AB12" s="204"/>
      <c r="AC12" s="192"/>
      <c r="AD12" s="207"/>
      <c r="AE12" s="206">
        <f t="shared" si="0"/>
        <v>0</v>
      </c>
      <c r="AF12" s="204">
        <v>1609</v>
      </c>
      <c r="AG12" s="186">
        <v>43180</v>
      </c>
      <c r="AH12" s="198">
        <v>45154734</v>
      </c>
      <c r="AI12" s="97" t="s">
        <v>518</v>
      </c>
      <c r="AJ12" s="97"/>
      <c r="AK12" s="97"/>
      <c r="AL12" s="198">
        <v>45154734</v>
      </c>
      <c r="AM12" s="198">
        <v>0</v>
      </c>
      <c r="AN12" s="97"/>
      <c r="AO12" s="97"/>
      <c r="AP12" s="97"/>
      <c r="AQ12" s="202"/>
      <c r="AR12" s="97"/>
      <c r="AS12" s="202"/>
      <c r="AT12" s="97"/>
      <c r="AU12" s="97"/>
      <c r="AV12" s="84"/>
      <c r="AW12" s="84"/>
      <c r="AX12" s="84"/>
    </row>
    <row r="13" spans="1:50" x14ac:dyDescent="0.2">
      <c r="A13" s="192">
        <v>1</v>
      </c>
      <c r="B13" s="192" t="s">
        <v>643</v>
      </c>
      <c r="C13" s="97"/>
      <c r="D13" s="97"/>
      <c r="E13" s="97"/>
      <c r="F13" s="97"/>
      <c r="G13" s="97"/>
      <c r="H13" s="97"/>
      <c r="I13" s="97"/>
      <c r="J13" s="97"/>
      <c r="K13" s="97"/>
      <c r="L13" s="97"/>
      <c r="M13" s="97"/>
      <c r="N13" s="97"/>
      <c r="O13" s="97"/>
      <c r="P13" s="97"/>
      <c r="Q13" s="97"/>
      <c r="R13" s="97"/>
      <c r="S13" s="201"/>
      <c r="T13" s="97"/>
      <c r="U13" s="97"/>
      <c r="V13" s="202"/>
      <c r="W13" s="97"/>
      <c r="X13" s="203"/>
      <c r="Y13" s="202"/>
      <c r="Z13" s="97"/>
      <c r="AA13" s="97"/>
      <c r="AB13" s="204"/>
      <c r="AC13" s="192"/>
      <c r="AD13" s="207"/>
      <c r="AE13" s="206">
        <f t="shared" si="0"/>
        <v>0</v>
      </c>
      <c r="AF13" s="204">
        <v>1796</v>
      </c>
      <c r="AG13" s="186">
        <v>43203</v>
      </c>
      <c r="AH13" s="198">
        <v>12179100</v>
      </c>
      <c r="AI13" s="97" t="s">
        <v>518</v>
      </c>
      <c r="AJ13" s="97"/>
      <c r="AK13" s="97"/>
      <c r="AL13" s="198">
        <v>12179100</v>
      </c>
      <c r="AM13" s="198">
        <v>0</v>
      </c>
      <c r="AN13" s="97"/>
      <c r="AO13" s="97"/>
      <c r="AP13" s="97"/>
      <c r="AQ13" s="202"/>
      <c r="AR13" s="97"/>
      <c r="AS13" s="202"/>
      <c r="AT13" s="97"/>
      <c r="AU13" s="97"/>
      <c r="AV13" s="84"/>
      <c r="AW13" s="84"/>
      <c r="AX13" s="84"/>
    </row>
    <row r="14" spans="1:50" x14ac:dyDescent="0.2">
      <c r="A14" s="192">
        <v>1</v>
      </c>
      <c r="B14" s="192" t="s">
        <v>643</v>
      </c>
      <c r="C14" s="97"/>
      <c r="D14" s="97"/>
      <c r="E14" s="97"/>
      <c r="F14" s="97"/>
      <c r="G14" s="97"/>
      <c r="H14" s="97"/>
      <c r="I14" s="97"/>
      <c r="J14" s="97"/>
      <c r="K14" s="97"/>
      <c r="L14" s="97"/>
      <c r="M14" s="97"/>
      <c r="N14" s="97"/>
      <c r="O14" s="97"/>
      <c r="P14" s="97"/>
      <c r="Q14" s="97"/>
      <c r="R14" s="97"/>
      <c r="S14" s="201"/>
      <c r="T14" s="97"/>
      <c r="U14" s="97"/>
      <c r="V14" s="202"/>
      <c r="W14" s="97"/>
      <c r="X14" s="203"/>
      <c r="Y14" s="202"/>
      <c r="Z14" s="97"/>
      <c r="AA14" s="97"/>
      <c r="AB14" s="204"/>
      <c r="AC14" s="192"/>
      <c r="AD14" s="207"/>
      <c r="AE14" s="206">
        <f t="shared" si="0"/>
        <v>0</v>
      </c>
      <c r="AF14" s="204">
        <v>1799</v>
      </c>
      <c r="AG14" s="186">
        <v>43203</v>
      </c>
      <c r="AH14" s="198">
        <v>1366100</v>
      </c>
      <c r="AI14" s="97" t="s">
        <v>518</v>
      </c>
      <c r="AJ14" s="97"/>
      <c r="AK14" s="97"/>
      <c r="AL14" s="198">
        <v>1366100</v>
      </c>
      <c r="AM14" s="198">
        <v>0</v>
      </c>
      <c r="AN14" s="97"/>
      <c r="AO14" s="97"/>
      <c r="AP14" s="97"/>
      <c r="AQ14" s="202"/>
      <c r="AR14" s="97"/>
      <c r="AS14" s="202"/>
      <c r="AT14" s="97"/>
      <c r="AU14" s="97"/>
      <c r="AV14" s="84"/>
      <c r="AW14" s="84"/>
      <c r="AX14" s="84"/>
    </row>
    <row r="15" spans="1:50" x14ac:dyDescent="0.2">
      <c r="A15" s="192">
        <v>1</v>
      </c>
      <c r="B15" s="192" t="s">
        <v>643</v>
      </c>
      <c r="C15" s="97"/>
      <c r="D15" s="97"/>
      <c r="E15" s="97"/>
      <c r="F15" s="97"/>
      <c r="G15" s="97"/>
      <c r="H15" s="97"/>
      <c r="I15" s="97"/>
      <c r="J15" s="97"/>
      <c r="K15" s="97"/>
      <c r="L15" s="97"/>
      <c r="M15" s="97"/>
      <c r="N15" s="97"/>
      <c r="O15" s="97"/>
      <c r="P15" s="97"/>
      <c r="Q15" s="97"/>
      <c r="R15" s="97"/>
      <c r="S15" s="201"/>
      <c r="T15" s="97"/>
      <c r="U15" s="97"/>
      <c r="V15" s="202"/>
      <c r="W15" s="97"/>
      <c r="X15" s="203"/>
      <c r="Y15" s="202"/>
      <c r="Z15" s="97"/>
      <c r="AA15" s="97"/>
      <c r="AB15" s="204"/>
      <c r="AC15" s="192"/>
      <c r="AD15" s="207"/>
      <c r="AE15" s="206">
        <f t="shared" si="0"/>
        <v>0</v>
      </c>
      <c r="AF15" s="204">
        <v>1834</v>
      </c>
      <c r="AG15" s="186">
        <v>43213</v>
      </c>
      <c r="AH15" s="198">
        <v>39714400</v>
      </c>
      <c r="AI15" s="97" t="s">
        <v>518</v>
      </c>
      <c r="AJ15" s="97"/>
      <c r="AK15" s="97"/>
      <c r="AL15" s="198">
        <v>39714400</v>
      </c>
      <c r="AM15" s="198">
        <v>0</v>
      </c>
      <c r="AN15" s="97"/>
      <c r="AO15" s="97"/>
      <c r="AP15" s="97"/>
      <c r="AQ15" s="202"/>
      <c r="AR15" s="97"/>
      <c r="AS15" s="202"/>
      <c r="AT15" s="97"/>
      <c r="AU15" s="97"/>
      <c r="AV15" s="84"/>
      <c r="AW15" s="84"/>
      <c r="AX15" s="84"/>
    </row>
    <row r="16" spans="1:50" x14ac:dyDescent="0.2">
      <c r="A16" s="192">
        <v>1</v>
      </c>
      <c r="B16" s="192" t="s">
        <v>643</v>
      </c>
      <c r="C16" s="97"/>
      <c r="D16" s="97"/>
      <c r="E16" s="97"/>
      <c r="F16" s="97"/>
      <c r="G16" s="97"/>
      <c r="H16" s="97"/>
      <c r="I16" s="97"/>
      <c r="J16" s="97"/>
      <c r="K16" s="97"/>
      <c r="L16" s="97"/>
      <c r="M16" s="97"/>
      <c r="N16" s="97"/>
      <c r="O16" s="97"/>
      <c r="P16" s="97"/>
      <c r="Q16" s="97"/>
      <c r="R16" s="97"/>
      <c r="S16" s="201"/>
      <c r="T16" s="97"/>
      <c r="U16" s="97"/>
      <c r="V16" s="202"/>
      <c r="W16" s="97"/>
      <c r="X16" s="203"/>
      <c r="Y16" s="202"/>
      <c r="Z16" s="97"/>
      <c r="AA16" s="97"/>
      <c r="AB16" s="204"/>
      <c r="AC16" s="192"/>
      <c r="AD16" s="207"/>
      <c r="AE16" s="206">
        <f t="shared" si="0"/>
        <v>0</v>
      </c>
      <c r="AF16" s="204">
        <v>1835</v>
      </c>
      <c r="AG16" s="186">
        <v>43213</v>
      </c>
      <c r="AH16" s="198">
        <v>4549790</v>
      </c>
      <c r="AI16" s="97" t="s">
        <v>518</v>
      </c>
      <c r="AJ16" s="97"/>
      <c r="AK16" s="97"/>
      <c r="AL16" s="198">
        <v>4549790</v>
      </c>
      <c r="AM16" s="198">
        <v>0</v>
      </c>
      <c r="AN16" s="97"/>
      <c r="AO16" s="97"/>
      <c r="AP16" s="97"/>
      <c r="AQ16" s="202"/>
      <c r="AR16" s="97"/>
      <c r="AS16" s="202"/>
      <c r="AT16" s="97"/>
      <c r="AU16" s="97"/>
      <c r="AV16" s="84"/>
      <c r="AW16" s="84"/>
      <c r="AX16" s="84"/>
    </row>
    <row r="17" spans="1:50" x14ac:dyDescent="0.2">
      <c r="A17" s="192">
        <v>1</v>
      </c>
      <c r="B17" s="192" t="s">
        <v>643</v>
      </c>
      <c r="C17" s="97"/>
      <c r="D17" s="97"/>
      <c r="E17" s="97"/>
      <c r="F17" s="97"/>
      <c r="G17" s="97"/>
      <c r="H17" s="97"/>
      <c r="I17" s="97"/>
      <c r="J17" s="97"/>
      <c r="K17" s="97"/>
      <c r="L17" s="97"/>
      <c r="M17" s="97"/>
      <c r="N17" s="97"/>
      <c r="O17" s="97"/>
      <c r="P17" s="97"/>
      <c r="Q17" s="97"/>
      <c r="R17" s="97"/>
      <c r="S17" s="201"/>
      <c r="T17" s="97"/>
      <c r="U17" s="97"/>
      <c r="V17" s="202"/>
      <c r="W17" s="97"/>
      <c r="X17" s="203"/>
      <c r="Y17" s="202"/>
      <c r="Z17" s="97"/>
      <c r="AA17" s="97"/>
      <c r="AB17" s="204"/>
      <c r="AC17" s="192"/>
      <c r="AD17" s="207"/>
      <c r="AE17" s="206">
        <f t="shared" si="0"/>
        <v>0</v>
      </c>
      <c r="AF17" s="204">
        <v>1906</v>
      </c>
      <c r="AG17" s="186">
        <v>43235</v>
      </c>
      <c r="AH17" s="198">
        <v>11924700</v>
      </c>
      <c r="AI17" s="97" t="s">
        <v>518</v>
      </c>
      <c r="AJ17" s="97"/>
      <c r="AK17" s="97"/>
      <c r="AL17" s="198">
        <v>11924700</v>
      </c>
      <c r="AM17" s="198">
        <v>0</v>
      </c>
      <c r="AN17" s="97"/>
      <c r="AO17" s="97"/>
      <c r="AP17" s="97"/>
      <c r="AQ17" s="202"/>
      <c r="AR17" s="97"/>
      <c r="AS17" s="202"/>
      <c r="AT17" s="97"/>
      <c r="AU17" s="97"/>
      <c r="AV17" s="84"/>
      <c r="AW17" s="84"/>
      <c r="AX17" s="84"/>
    </row>
    <row r="18" spans="1:50" x14ac:dyDescent="0.2">
      <c r="A18" s="192">
        <v>1</v>
      </c>
      <c r="B18" s="192" t="s">
        <v>643</v>
      </c>
      <c r="C18" s="97"/>
      <c r="D18" s="97"/>
      <c r="E18" s="97"/>
      <c r="F18" s="97"/>
      <c r="G18" s="97"/>
      <c r="H18" s="97"/>
      <c r="I18" s="97"/>
      <c r="J18" s="97"/>
      <c r="K18" s="97"/>
      <c r="L18" s="97"/>
      <c r="M18" s="97"/>
      <c r="N18" s="97"/>
      <c r="O18" s="97"/>
      <c r="P18" s="97"/>
      <c r="Q18" s="97"/>
      <c r="R18" s="97"/>
      <c r="S18" s="201"/>
      <c r="T18" s="97"/>
      <c r="U18" s="97"/>
      <c r="V18" s="202"/>
      <c r="W18" s="97"/>
      <c r="X18" s="203"/>
      <c r="Y18" s="202"/>
      <c r="Z18" s="97"/>
      <c r="AA18" s="97"/>
      <c r="AB18" s="204"/>
      <c r="AC18" s="192"/>
      <c r="AD18" s="207"/>
      <c r="AE18" s="206">
        <f t="shared" si="0"/>
        <v>0</v>
      </c>
      <c r="AF18" s="204">
        <v>1907</v>
      </c>
      <c r="AG18" s="186">
        <v>43235</v>
      </c>
      <c r="AH18" s="198">
        <v>1366100</v>
      </c>
      <c r="AI18" s="97" t="s">
        <v>518</v>
      </c>
      <c r="AJ18" s="97"/>
      <c r="AK18" s="97"/>
      <c r="AL18" s="198">
        <v>1366100</v>
      </c>
      <c r="AM18" s="198">
        <v>0</v>
      </c>
      <c r="AN18" s="97"/>
      <c r="AO18" s="97"/>
      <c r="AP18" s="97"/>
      <c r="AQ18" s="202"/>
      <c r="AR18" s="97"/>
      <c r="AS18" s="202"/>
      <c r="AT18" s="97"/>
      <c r="AU18" s="97"/>
      <c r="AV18" s="84"/>
      <c r="AW18" s="84"/>
      <c r="AX18" s="84"/>
    </row>
    <row r="19" spans="1:50" x14ac:dyDescent="0.2">
      <c r="A19" s="192">
        <v>1</v>
      </c>
      <c r="B19" s="192" t="s">
        <v>643</v>
      </c>
      <c r="C19" s="97"/>
      <c r="D19" s="97"/>
      <c r="E19" s="97"/>
      <c r="F19" s="97"/>
      <c r="G19" s="97"/>
      <c r="H19" s="97"/>
      <c r="I19" s="97"/>
      <c r="J19" s="97"/>
      <c r="K19" s="97"/>
      <c r="L19" s="97"/>
      <c r="M19" s="97"/>
      <c r="N19" s="97"/>
      <c r="O19" s="97"/>
      <c r="P19" s="97"/>
      <c r="Q19" s="97"/>
      <c r="R19" s="97"/>
      <c r="S19" s="201"/>
      <c r="T19" s="97"/>
      <c r="U19" s="97"/>
      <c r="V19" s="202"/>
      <c r="W19" s="97"/>
      <c r="X19" s="203"/>
      <c r="Y19" s="202"/>
      <c r="Z19" s="97"/>
      <c r="AA19" s="97"/>
      <c r="AB19" s="204"/>
      <c r="AC19" s="192"/>
      <c r="AD19" s="207"/>
      <c r="AE19" s="206">
        <f t="shared" si="0"/>
        <v>0</v>
      </c>
      <c r="AF19" s="204">
        <v>1950</v>
      </c>
      <c r="AG19" s="186">
        <v>43243</v>
      </c>
      <c r="AH19" s="198">
        <v>45934307</v>
      </c>
      <c r="AI19" s="97" t="s">
        <v>518</v>
      </c>
      <c r="AJ19" s="97"/>
      <c r="AK19" s="97"/>
      <c r="AL19" s="198">
        <v>45934307</v>
      </c>
      <c r="AM19" s="198">
        <v>0</v>
      </c>
      <c r="AN19" s="97"/>
      <c r="AO19" s="97"/>
      <c r="AP19" s="97"/>
      <c r="AQ19" s="202"/>
      <c r="AR19" s="97"/>
      <c r="AS19" s="202"/>
      <c r="AT19" s="97"/>
      <c r="AU19" s="97"/>
      <c r="AV19" s="84"/>
      <c r="AW19" s="84"/>
      <c r="AX19" s="84"/>
    </row>
    <row r="20" spans="1:50" x14ac:dyDescent="0.2">
      <c r="A20" s="192">
        <v>1</v>
      </c>
      <c r="B20" s="192" t="s">
        <v>643</v>
      </c>
      <c r="C20" s="97"/>
      <c r="D20" s="97"/>
      <c r="E20" s="97"/>
      <c r="F20" s="97"/>
      <c r="G20" s="97"/>
      <c r="H20" s="97"/>
      <c r="I20" s="97"/>
      <c r="J20" s="97"/>
      <c r="K20" s="97"/>
      <c r="L20" s="97"/>
      <c r="M20" s="97"/>
      <c r="N20" s="97"/>
      <c r="O20" s="97"/>
      <c r="P20" s="97"/>
      <c r="Q20" s="97"/>
      <c r="R20" s="97"/>
      <c r="S20" s="201"/>
      <c r="T20" s="97"/>
      <c r="U20" s="97"/>
      <c r="V20" s="202"/>
      <c r="W20" s="97"/>
      <c r="X20" s="203"/>
      <c r="Y20" s="202"/>
      <c r="Z20" s="97"/>
      <c r="AA20" s="97"/>
      <c r="AB20" s="204"/>
      <c r="AC20" s="192"/>
      <c r="AD20" s="207"/>
      <c r="AE20" s="206">
        <f t="shared" si="0"/>
        <v>0</v>
      </c>
      <c r="AF20" s="204">
        <v>1952</v>
      </c>
      <c r="AG20" s="186">
        <v>43243</v>
      </c>
      <c r="AH20" s="198">
        <v>4549790</v>
      </c>
      <c r="AI20" s="97" t="s">
        <v>518</v>
      </c>
      <c r="AJ20" s="97"/>
      <c r="AK20" s="97"/>
      <c r="AL20" s="198">
        <v>4549790</v>
      </c>
      <c r="AM20" s="198">
        <v>0</v>
      </c>
      <c r="AN20" s="97"/>
      <c r="AO20" s="97"/>
      <c r="AP20" s="97"/>
      <c r="AQ20" s="202"/>
      <c r="AR20" s="97"/>
      <c r="AS20" s="202"/>
      <c r="AT20" s="97"/>
      <c r="AU20" s="97"/>
      <c r="AV20" s="84"/>
      <c r="AW20" s="84"/>
      <c r="AX20" s="84"/>
    </row>
    <row r="21" spans="1:50" x14ac:dyDescent="0.2">
      <c r="A21" s="192">
        <v>1</v>
      </c>
      <c r="B21" s="192" t="s">
        <v>643</v>
      </c>
      <c r="C21" s="97"/>
      <c r="D21" s="97"/>
      <c r="E21" s="97"/>
      <c r="F21" s="97"/>
      <c r="G21" s="97"/>
      <c r="H21" s="97"/>
      <c r="I21" s="97"/>
      <c r="J21" s="97"/>
      <c r="K21" s="97"/>
      <c r="L21" s="97"/>
      <c r="M21" s="97"/>
      <c r="N21" s="97"/>
      <c r="O21" s="97"/>
      <c r="P21" s="97"/>
      <c r="Q21" s="97"/>
      <c r="R21" s="97"/>
      <c r="S21" s="201"/>
      <c r="T21" s="97"/>
      <c r="U21" s="97"/>
      <c r="V21" s="202"/>
      <c r="W21" s="97"/>
      <c r="X21" s="203"/>
      <c r="Y21" s="202"/>
      <c r="Z21" s="97"/>
      <c r="AA21" s="97"/>
      <c r="AB21" s="204"/>
      <c r="AC21" s="192"/>
      <c r="AD21" s="207"/>
      <c r="AE21" s="206">
        <f t="shared" si="0"/>
        <v>0</v>
      </c>
      <c r="AF21" s="204">
        <v>1981</v>
      </c>
      <c r="AG21" s="186">
        <v>43252</v>
      </c>
      <c r="AH21" s="198">
        <v>50287294</v>
      </c>
      <c r="AI21" s="97" t="s">
        <v>518</v>
      </c>
      <c r="AJ21" s="97"/>
      <c r="AK21" s="97"/>
      <c r="AL21" s="198">
        <v>50287294</v>
      </c>
      <c r="AM21" s="198">
        <v>0</v>
      </c>
      <c r="AN21" s="97"/>
      <c r="AO21" s="97"/>
      <c r="AP21" s="97"/>
      <c r="AQ21" s="202"/>
      <c r="AR21" s="97"/>
      <c r="AS21" s="202"/>
      <c r="AT21" s="97"/>
      <c r="AU21" s="97"/>
      <c r="AV21" s="84"/>
      <c r="AW21" s="84"/>
      <c r="AX21" s="84"/>
    </row>
    <row r="22" spans="1:50" x14ac:dyDescent="0.2">
      <c r="A22" s="192">
        <v>1</v>
      </c>
      <c r="B22" s="192" t="s">
        <v>643</v>
      </c>
      <c r="C22" s="97"/>
      <c r="D22" s="97"/>
      <c r="E22" s="97"/>
      <c r="F22" s="97"/>
      <c r="G22" s="97"/>
      <c r="H22" s="97"/>
      <c r="I22" s="97"/>
      <c r="J22" s="97"/>
      <c r="K22" s="97"/>
      <c r="L22" s="97"/>
      <c r="M22" s="97"/>
      <c r="N22" s="97"/>
      <c r="O22" s="97"/>
      <c r="P22" s="97"/>
      <c r="Q22" s="97"/>
      <c r="R22" s="97"/>
      <c r="S22" s="201"/>
      <c r="T22" s="97"/>
      <c r="U22" s="97"/>
      <c r="V22" s="202"/>
      <c r="W22" s="97"/>
      <c r="X22" s="203"/>
      <c r="Y22" s="202"/>
      <c r="Z22" s="97"/>
      <c r="AA22" s="97"/>
      <c r="AB22" s="204"/>
      <c r="AC22" s="192"/>
      <c r="AD22" s="207"/>
      <c r="AE22" s="206">
        <f t="shared" si="0"/>
        <v>0</v>
      </c>
      <c r="AF22" s="204">
        <v>1988</v>
      </c>
      <c r="AG22" s="186">
        <v>43252</v>
      </c>
      <c r="AH22" s="198">
        <v>5722333</v>
      </c>
      <c r="AI22" s="97" t="s">
        <v>518</v>
      </c>
      <c r="AJ22" s="97"/>
      <c r="AK22" s="97"/>
      <c r="AL22" s="198">
        <v>5722333</v>
      </c>
      <c r="AM22" s="198">
        <v>0</v>
      </c>
      <c r="AN22" s="97"/>
      <c r="AO22" s="97"/>
      <c r="AP22" s="97"/>
      <c r="AQ22" s="202"/>
      <c r="AR22" s="97"/>
      <c r="AS22" s="202"/>
      <c r="AT22" s="97"/>
      <c r="AU22" s="97"/>
      <c r="AV22" s="84"/>
      <c r="AW22" s="84"/>
      <c r="AX22" s="84"/>
    </row>
    <row r="23" spans="1:50" x14ac:dyDescent="0.2">
      <c r="A23" s="192">
        <v>1</v>
      </c>
      <c r="B23" s="192" t="s">
        <v>643</v>
      </c>
      <c r="C23" s="97"/>
      <c r="D23" s="97"/>
      <c r="E23" s="97"/>
      <c r="F23" s="97"/>
      <c r="G23" s="97"/>
      <c r="H23" s="97"/>
      <c r="I23" s="97"/>
      <c r="J23" s="97"/>
      <c r="K23" s="97"/>
      <c r="L23" s="97"/>
      <c r="M23" s="97"/>
      <c r="N23" s="97"/>
      <c r="O23" s="97"/>
      <c r="P23" s="97"/>
      <c r="Q23" s="97"/>
      <c r="R23" s="97"/>
      <c r="S23" s="201"/>
      <c r="T23" s="97"/>
      <c r="U23" s="97"/>
      <c r="V23" s="202"/>
      <c r="W23" s="97"/>
      <c r="X23" s="203"/>
      <c r="Y23" s="202"/>
      <c r="Z23" s="97"/>
      <c r="AA23" s="97"/>
      <c r="AB23" s="204"/>
      <c r="AC23" s="192"/>
      <c r="AD23" s="207"/>
      <c r="AE23" s="206">
        <f t="shared" si="0"/>
        <v>0</v>
      </c>
      <c r="AF23" s="204">
        <v>2019</v>
      </c>
      <c r="AG23" s="186">
        <v>43266</v>
      </c>
      <c r="AH23" s="198">
        <v>1366100</v>
      </c>
      <c r="AI23" s="97" t="s">
        <v>518</v>
      </c>
      <c r="AJ23" s="97"/>
      <c r="AK23" s="97"/>
      <c r="AL23" s="198">
        <v>1366100</v>
      </c>
      <c r="AM23" s="198">
        <v>0</v>
      </c>
      <c r="AN23" s="97"/>
      <c r="AO23" s="97"/>
      <c r="AP23" s="97"/>
      <c r="AQ23" s="202"/>
      <c r="AR23" s="97"/>
      <c r="AS23" s="202"/>
      <c r="AT23" s="97"/>
      <c r="AU23" s="97"/>
      <c r="AV23" s="84"/>
      <c r="AW23" s="84"/>
      <c r="AX23" s="84"/>
    </row>
    <row r="24" spans="1:50" x14ac:dyDescent="0.2">
      <c r="A24" s="192">
        <v>1</v>
      </c>
      <c r="B24" s="192" t="s">
        <v>643</v>
      </c>
      <c r="C24" s="97"/>
      <c r="D24" s="97"/>
      <c r="E24" s="97"/>
      <c r="F24" s="97"/>
      <c r="G24" s="97"/>
      <c r="H24" s="97"/>
      <c r="I24" s="97"/>
      <c r="J24" s="97"/>
      <c r="K24" s="97"/>
      <c r="L24" s="97"/>
      <c r="M24" s="97"/>
      <c r="N24" s="97"/>
      <c r="O24" s="97"/>
      <c r="P24" s="97"/>
      <c r="Q24" s="97"/>
      <c r="R24" s="97"/>
      <c r="S24" s="201"/>
      <c r="T24" s="97"/>
      <c r="U24" s="97"/>
      <c r="V24" s="202"/>
      <c r="W24" s="97"/>
      <c r="X24" s="203"/>
      <c r="Y24" s="202"/>
      <c r="Z24" s="97"/>
      <c r="AA24" s="97"/>
      <c r="AB24" s="204"/>
      <c r="AC24" s="192"/>
      <c r="AD24" s="207"/>
      <c r="AE24" s="206">
        <f t="shared" si="0"/>
        <v>0</v>
      </c>
      <c r="AF24" s="204">
        <v>2023</v>
      </c>
      <c r="AG24" s="186">
        <v>43266</v>
      </c>
      <c r="AH24" s="198">
        <v>12172900</v>
      </c>
      <c r="AI24" s="97" t="s">
        <v>518</v>
      </c>
      <c r="AJ24" s="97"/>
      <c r="AK24" s="97"/>
      <c r="AL24" s="198">
        <v>12172900</v>
      </c>
      <c r="AM24" s="198">
        <v>0</v>
      </c>
      <c r="AN24" s="97"/>
      <c r="AO24" s="97"/>
      <c r="AP24" s="97"/>
      <c r="AQ24" s="202"/>
      <c r="AR24" s="97"/>
      <c r="AS24" s="202"/>
      <c r="AT24" s="97"/>
      <c r="AU24" s="97"/>
      <c r="AV24" s="84"/>
      <c r="AW24" s="84"/>
      <c r="AX24" s="84"/>
    </row>
    <row r="25" spans="1:50" x14ac:dyDescent="0.2">
      <c r="A25" s="192">
        <v>1</v>
      </c>
      <c r="B25" s="192" t="s">
        <v>643</v>
      </c>
      <c r="C25" s="97"/>
      <c r="D25" s="97"/>
      <c r="E25" s="97"/>
      <c r="F25" s="97"/>
      <c r="G25" s="97"/>
      <c r="H25" s="97"/>
      <c r="I25" s="97"/>
      <c r="J25" s="97"/>
      <c r="K25" s="97"/>
      <c r="L25" s="97"/>
      <c r="M25" s="97"/>
      <c r="N25" s="97"/>
      <c r="O25" s="97"/>
      <c r="P25" s="97"/>
      <c r="Q25" s="97"/>
      <c r="R25" s="97"/>
      <c r="S25" s="201"/>
      <c r="T25" s="97"/>
      <c r="U25" s="97"/>
      <c r="V25" s="202"/>
      <c r="W25" s="97"/>
      <c r="X25" s="203"/>
      <c r="Y25" s="202"/>
      <c r="Z25" s="97"/>
      <c r="AA25" s="97"/>
      <c r="AB25" s="204"/>
      <c r="AC25" s="192"/>
      <c r="AD25" s="207"/>
      <c r="AE25" s="206">
        <f t="shared" si="0"/>
        <v>0</v>
      </c>
      <c r="AF25" s="204">
        <v>2052</v>
      </c>
      <c r="AG25" s="186">
        <v>43271</v>
      </c>
      <c r="AH25" s="198">
        <v>68557451</v>
      </c>
      <c r="AI25" s="97" t="s">
        <v>518</v>
      </c>
      <c r="AJ25" s="97"/>
      <c r="AK25" s="97"/>
      <c r="AL25" s="198">
        <v>68557451</v>
      </c>
      <c r="AM25" s="198">
        <v>0</v>
      </c>
      <c r="AN25" s="97"/>
      <c r="AO25" s="97"/>
      <c r="AP25" s="97"/>
      <c r="AQ25" s="202"/>
      <c r="AR25" s="97"/>
      <c r="AS25" s="202"/>
      <c r="AT25" s="97"/>
      <c r="AU25" s="97"/>
      <c r="AV25" s="84"/>
      <c r="AW25" s="84"/>
      <c r="AX25" s="84"/>
    </row>
    <row r="26" spans="1:50" x14ac:dyDescent="0.2">
      <c r="A26" s="192">
        <v>1</v>
      </c>
      <c r="B26" s="192" t="s">
        <v>643</v>
      </c>
      <c r="C26" s="97"/>
      <c r="D26" s="97"/>
      <c r="E26" s="97"/>
      <c r="F26" s="97"/>
      <c r="G26" s="97"/>
      <c r="H26" s="97"/>
      <c r="I26" s="97"/>
      <c r="J26" s="97"/>
      <c r="K26" s="97"/>
      <c r="L26" s="97"/>
      <c r="M26" s="97"/>
      <c r="N26" s="97"/>
      <c r="O26" s="97"/>
      <c r="P26" s="97"/>
      <c r="Q26" s="97"/>
      <c r="R26" s="97"/>
      <c r="S26" s="201"/>
      <c r="T26" s="97"/>
      <c r="U26" s="97"/>
      <c r="V26" s="202"/>
      <c r="W26" s="97"/>
      <c r="X26" s="203"/>
      <c r="Y26" s="202"/>
      <c r="Z26" s="97"/>
      <c r="AA26" s="97"/>
      <c r="AB26" s="204"/>
      <c r="AC26" s="192"/>
      <c r="AD26" s="207"/>
      <c r="AE26" s="206">
        <f t="shared" si="0"/>
        <v>0</v>
      </c>
      <c r="AF26" s="204">
        <v>2055</v>
      </c>
      <c r="AG26" s="186">
        <v>43271</v>
      </c>
      <c r="AH26" s="198">
        <v>10166950</v>
      </c>
      <c r="AI26" s="97" t="s">
        <v>518</v>
      </c>
      <c r="AJ26" s="97"/>
      <c r="AK26" s="97"/>
      <c r="AL26" s="198">
        <v>10166950</v>
      </c>
      <c r="AM26" s="198">
        <v>0</v>
      </c>
      <c r="AN26" s="97"/>
      <c r="AO26" s="97"/>
      <c r="AP26" s="97"/>
      <c r="AQ26" s="202"/>
      <c r="AR26" s="97"/>
      <c r="AS26" s="202"/>
      <c r="AT26" s="97"/>
      <c r="AU26" s="97"/>
      <c r="AV26" s="84"/>
      <c r="AW26" s="84"/>
      <c r="AX26" s="84"/>
    </row>
    <row r="27" spans="1:50" x14ac:dyDescent="0.2">
      <c r="A27" s="192">
        <v>1</v>
      </c>
      <c r="B27" s="192" t="s">
        <v>643</v>
      </c>
      <c r="C27" s="97"/>
      <c r="D27" s="97"/>
      <c r="E27" s="97"/>
      <c r="F27" s="97"/>
      <c r="G27" s="97"/>
      <c r="H27" s="97"/>
      <c r="I27" s="97"/>
      <c r="J27" s="97"/>
      <c r="K27" s="97"/>
      <c r="L27" s="97"/>
      <c r="M27" s="97"/>
      <c r="N27" s="97"/>
      <c r="O27" s="97"/>
      <c r="P27" s="97"/>
      <c r="Q27" s="97"/>
      <c r="R27" s="97"/>
      <c r="S27" s="201"/>
      <c r="T27" s="97"/>
      <c r="U27" s="97"/>
      <c r="V27" s="202"/>
      <c r="W27" s="97"/>
      <c r="X27" s="203"/>
      <c r="Y27" s="202"/>
      <c r="Z27" s="97"/>
      <c r="AA27" s="97"/>
      <c r="AB27" s="204"/>
      <c r="AC27" s="192"/>
      <c r="AD27" s="207"/>
      <c r="AE27" s="206">
        <f t="shared" si="0"/>
        <v>0</v>
      </c>
      <c r="AF27" s="204">
        <v>2491</v>
      </c>
      <c r="AG27" s="186">
        <v>43298</v>
      </c>
      <c r="AH27" s="198">
        <v>17764900</v>
      </c>
      <c r="AI27" s="97" t="s">
        <v>518</v>
      </c>
      <c r="AJ27" s="97"/>
      <c r="AK27" s="97"/>
      <c r="AL27" s="198">
        <v>17764900</v>
      </c>
      <c r="AM27" s="198">
        <v>0</v>
      </c>
      <c r="AN27" s="97"/>
      <c r="AO27" s="97"/>
      <c r="AP27" s="97"/>
      <c r="AQ27" s="202"/>
      <c r="AR27" s="97"/>
      <c r="AS27" s="202"/>
      <c r="AT27" s="97"/>
      <c r="AU27" s="97"/>
      <c r="AV27" s="84"/>
      <c r="AW27" s="84"/>
      <c r="AX27" s="84"/>
    </row>
    <row r="28" spans="1:50" x14ac:dyDescent="0.2">
      <c r="A28" s="192">
        <v>1</v>
      </c>
      <c r="B28" s="192" t="s">
        <v>643</v>
      </c>
      <c r="C28" s="97"/>
      <c r="D28" s="97"/>
      <c r="E28" s="97"/>
      <c r="F28" s="97"/>
      <c r="G28" s="97"/>
      <c r="H28" s="97"/>
      <c r="I28" s="97"/>
      <c r="J28" s="97"/>
      <c r="K28" s="97"/>
      <c r="L28" s="97"/>
      <c r="M28" s="97"/>
      <c r="N28" s="97"/>
      <c r="O28" s="97"/>
      <c r="P28" s="97"/>
      <c r="Q28" s="97"/>
      <c r="R28" s="97"/>
      <c r="S28" s="201"/>
      <c r="T28" s="97"/>
      <c r="U28" s="97"/>
      <c r="V28" s="202"/>
      <c r="W28" s="97"/>
      <c r="X28" s="203"/>
      <c r="Y28" s="202"/>
      <c r="Z28" s="97"/>
      <c r="AA28" s="97"/>
      <c r="AB28" s="204"/>
      <c r="AC28" s="192"/>
      <c r="AD28" s="207"/>
      <c r="AE28" s="206">
        <f t="shared" si="0"/>
        <v>0</v>
      </c>
      <c r="AF28" s="204">
        <v>2495</v>
      </c>
      <c r="AG28" s="186">
        <v>43298</v>
      </c>
      <c r="AH28" s="198">
        <v>2114100</v>
      </c>
      <c r="AI28" s="97" t="s">
        <v>518</v>
      </c>
      <c r="AJ28" s="97"/>
      <c r="AK28" s="97"/>
      <c r="AL28" s="198">
        <v>2114100</v>
      </c>
      <c r="AM28" s="198">
        <v>0</v>
      </c>
      <c r="AN28" s="97"/>
      <c r="AO28" s="97"/>
      <c r="AP28" s="97"/>
      <c r="AQ28" s="202"/>
      <c r="AR28" s="97"/>
      <c r="AS28" s="202"/>
      <c r="AT28" s="97"/>
      <c r="AU28" s="97"/>
      <c r="AV28" s="84"/>
      <c r="AW28" s="84"/>
      <c r="AX28" s="84"/>
    </row>
    <row r="29" spans="1:50" x14ac:dyDescent="0.2">
      <c r="A29" s="192">
        <v>1</v>
      </c>
      <c r="B29" s="192" t="s">
        <v>643</v>
      </c>
      <c r="C29" s="97"/>
      <c r="D29" s="97"/>
      <c r="E29" s="97"/>
      <c r="F29" s="97"/>
      <c r="G29" s="97"/>
      <c r="H29" s="97"/>
      <c r="I29" s="97"/>
      <c r="J29" s="97"/>
      <c r="K29" s="97"/>
      <c r="L29" s="97"/>
      <c r="M29" s="97"/>
      <c r="N29" s="97"/>
      <c r="O29" s="97"/>
      <c r="P29" s="97"/>
      <c r="Q29" s="97"/>
      <c r="R29" s="97"/>
      <c r="S29" s="201"/>
      <c r="T29" s="97"/>
      <c r="U29" s="97"/>
      <c r="V29" s="202"/>
      <c r="W29" s="97"/>
      <c r="X29" s="203"/>
      <c r="Y29" s="202"/>
      <c r="Z29" s="97"/>
      <c r="AA29" s="97"/>
      <c r="AB29" s="204"/>
      <c r="AC29" s="192"/>
      <c r="AD29" s="207"/>
      <c r="AE29" s="206">
        <f t="shared" si="0"/>
        <v>0</v>
      </c>
      <c r="AF29" s="204">
        <v>2522</v>
      </c>
      <c r="AG29" s="186">
        <v>43305</v>
      </c>
      <c r="AH29" s="198">
        <v>2123236</v>
      </c>
      <c r="AI29" s="97" t="s">
        <v>518</v>
      </c>
      <c r="AJ29" s="97"/>
      <c r="AK29" s="97"/>
      <c r="AL29" s="198">
        <v>2123236</v>
      </c>
      <c r="AM29" s="198">
        <v>0</v>
      </c>
      <c r="AN29" s="97"/>
      <c r="AO29" s="97"/>
      <c r="AP29" s="97"/>
      <c r="AQ29" s="202"/>
      <c r="AR29" s="97"/>
      <c r="AS29" s="202"/>
      <c r="AT29" s="97"/>
      <c r="AU29" s="97"/>
      <c r="AV29" s="84"/>
      <c r="AW29" s="84"/>
      <c r="AX29" s="84"/>
    </row>
    <row r="30" spans="1:50" x14ac:dyDescent="0.2">
      <c r="A30" s="192">
        <v>1</v>
      </c>
      <c r="B30" s="192" t="s">
        <v>643</v>
      </c>
      <c r="C30" s="97"/>
      <c r="D30" s="97"/>
      <c r="E30" s="97"/>
      <c r="F30" s="97"/>
      <c r="G30" s="97"/>
      <c r="H30" s="97"/>
      <c r="I30" s="97"/>
      <c r="J30" s="97"/>
      <c r="K30" s="97"/>
      <c r="L30" s="97"/>
      <c r="M30" s="97"/>
      <c r="N30" s="97"/>
      <c r="O30" s="97"/>
      <c r="P30" s="97"/>
      <c r="Q30" s="97"/>
      <c r="R30" s="97"/>
      <c r="S30" s="201"/>
      <c r="T30" s="97"/>
      <c r="U30" s="97"/>
      <c r="V30" s="202"/>
      <c r="W30" s="97"/>
      <c r="X30" s="203"/>
      <c r="Y30" s="202"/>
      <c r="Z30" s="97"/>
      <c r="AA30" s="97"/>
      <c r="AB30" s="204"/>
      <c r="AC30" s="192"/>
      <c r="AD30" s="207"/>
      <c r="AE30" s="206">
        <f t="shared" si="0"/>
        <v>0</v>
      </c>
      <c r="AF30" s="204">
        <v>2530</v>
      </c>
      <c r="AG30" s="186">
        <v>43305</v>
      </c>
      <c r="AH30" s="198">
        <v>28560572</v>
      </c>
      <c r="AI30" s="97" t="s">
        <v>518</v>
      </c>
      <c r="AJ30" s="97"/>
      <c r="AK30" s="97"/>
      <c r="AL30" s="198">
        <v>28560572</v>
      </c>
      <c r="AM30" s="198">
        <v>0</v>
      </c>
      <c r="AN30" s="97"/>
      <c r="AO30" s="97"/>
      <c r="AP30" s="97"/>
      <c r="AQ30" s="202"/>
      <c r="AR30" s="97"/>
      <c r="AS30" s="202"/>
      <c r="AT30" s="97"/>
      <c r="AU30" s="97"/>
      <c r="AV30" s="84"/>
      <c r="AW30" s="84"/>
      <c r="AX30" s="84"/>
    </row>
    <row r="31" spans="1:50" x14ac:dyDescent="0.2">
      <c r="A31" s="192">
        <v>2</v>
      </c>
      <c r="B31" s="192" t="s">
        <v>651</v>
      </c>
      <c r="C31" s="97" t="s">
        <v>644</v>
      </c>
      <c r="D31" s="97" t="s">
        <v>645</v>
      </c>
      <c r="E31" s="97" t="s">
        <v>646</v>
      </c>
      <c r="F31" s="97" t="s">
        <v>511</v>
      </c>
      <c r="G31" s="97" t="s">
        <v>512</v>
      </c>
      <c r="H31" s="97" t="s">
        <v>647</v>
      </c>
      <c r="I31" s="97" t="s">
        <v>54</v>
      </c>
      <c r="J31" s="97" t="s">
        <v>55</v>
      </c>
      <c r="K31" s="97">
        <v>80111600</v>
      </c>
      <c r="L31" s="97" t="s">
        <v>492</v>
      </c>
      <c r="M31" s="97" t="s">
        <v>493</v>
      </c>
      <c r="N31" s="97" t="s">
        <v>494</v>
      </c>
      <c r="O31" s="97" t="s">
        <v>508</v>
      </c>
      <c r="P31" s="97" t="s">
        <v>1506</v>
      </c>
      <c r="Q31" s="97">
        <v>71070000</v>
      </c>
      <c r="R31" s="97">
        <v>1</v>
      </c>
      <c r="S31" s="201">
        <v>71070000</v>
      </c>
      <c r="T31" s="97" t="s">
        <v>652</v>
      </c>
      <c r="U31" s="97" t="s">
        <v>58</v>
      </c>
      <c r="V31" s="202">
        <v>43117</v>
      </c>
      <c r="W31" s="97">
        <v>11.5</v>
      </c>
      <c r="X31" s="203" t="s">
        <v>653</v>
      </c>
      <c r="Y31" s="202">
        <v>43117</v>
      </c>
      <c r="Z31" s="97">
        <v>71070000</v>
      </c>
      <c r="AA31" s="97" t="s">
        <v>654</v>
      </c>
      <c r="AB31" s="204">
        <v>518</v>
      </c>
      <c r="AC31" s="192" t="s">
        <v>1507</v>
      </c>
      <c r="AD31" s="205">
        <v>71070000</v>
      </c>
      <c r="AE31" s="206">
        <f t="shared" si="0"/>
        <v>0</v>
      </c>
      <c r="AF31" s="204">
        <v>441</v>
      </c>
      <c r="AG31" s="186">
        <v>43125</v>
      </c>
      <c r="AH31" s="198">
        <v>71070000</v>
      </c>
      <c r="AI31" s="97" t="s">
        <v>1508</v>
      </c>
      <c r="AJ31" s="192">
        <v>145</v>
      </c>
      <c r="AK31" s="97"/>
      <c r="AL31" s="198">
        <v>32136000</v>
      </c>
      <c r="AM31" s="198">
        <v>38934000</v>
      </c>
      <c r="AN31" s="97" t="s">
        <v>650</v>
      </c>
      <c r="AO31" s="97"/>
      <c r="AP31" s="97" t="s">
        <v>655</v>
      </c>
      <c r="AQ31" s="202">
        <v>43109</v>
      </c>
      <c r="AR31" s="97" t="s">
        <v>656</v>
      </c>
      <c r="AS31" s="202">
        <v>43109</v>
      </c>
      <c r="AT31" s="97"/>
      <c r="AU31" s="97"/>
      <c r="AV31" s="84"/>
      <c r="AW31" s="84"/>
      <c r="AX31" s="84"/>
    </row>
    <row r="32" spans="1:50" x14ac:dyDescent="0.2">
      <c r="A32" s="192">
        <v>3</v>
      </c>
      <c r="B32" s="192" t="s">
        <v>657</v>
      </c>
      <c r="C32" s="97" t="s">
        <v>644</v>
      </c>
      <c r="D32" s="97" t="s">
        <v>645</v>
      </c>
      <c r="E32" s="97" t="s">
        <v>646</v>
      </c>
      <c r="F32" s="97" t="s">
        <v>511</v>
      </c>
      <c r="G32" s="97" t="s">
        <v>512</v>
      </c>
      <c r="H32" s="97" t="s">
        <v>647</v>
      </c>
      <c r="I32" s="97" t="s">
        <v>54</v>
      </c>
      <c r="J32" s="97" t="s">
        <v>55</v>
      </c>
      <c r="K32" s="97">
        <v>80111600</v>
      </c>
      <c r="L32" s="97" t="s">
        <v>492</v>
      </c>
      <c r="M32" s="97" t="s">
        <v>493</v>
      </c>
      <c r="N32" s="97" t="s">
        <v>494</v>
      </c>
      <c r="O32" s="97" t="s">
        <v>508</v>
      </c>
      <c r="P32" s="97" t="s">
        <v>658</v>
      </c>
      <c r="Q32" s="97">
        <v>6695000</v>
      </c>
      <c r="R32" s="97">
        <v>1</v>
      </c>
      <c r="S32" s="201">
        <v>37389000</v>
      </c>
      <c r="T32" s="97" t="s">
        <v>652</v>
      </c>
      <c r="U32" s="97" t="s">
        <v>58</v>
      </c>
      <c r="V32" s="202">
        <v>43112</v>
      </c>
      <c r="W32" s="97">
        <v>11</v>
      </c>
      <c r="X32" s="203" t="s">
        <v>1509</v>
      </c>
      <c r="Y32" s="202">
        <v>43117</v>
      </c>
      <c r="Z32" s="97">
        <v>39088500</v>
      </c>
      <c r="AA32" s="97" t="s">
        <v>1510</v>
      </c>
      <c r="AB32" s="204">
        <v>525</v>
      </c>
      <c r="AC32" s="192" t="s">
        <v>1507</v>
      </c>
      <c r="AD32" s="205">
        <v>37389000</v>
      </c>
      <c r="AE32" s="206">
        <f t="shared" si="0"/>
        <v>0</v>
      </c>
      <c r="AF32" s="204">
        <v>440</v>
      </c>
      <c r="AG32" s="186">
        <v>43125</v>
      </c>
      <c r="AH32" s="198">
        <v>37389000</v>
      </c>
      <c r="AI32" s="97" t="s">
        <v>1511</v>
      </c>
      <c r="AJ32" s="192">
        <v>145</v>
      </c>
      <c r="AK32" s="97"/>
      <c r="AL32" s="198">
        <v>17561500</v>
      </c>
      <c r="AM32" s="198">
        <v>19827500</v>
      </c>
      <c r="AN32" s="97" t="s">
        <v>62</v>
      </c>
      <c r="AO32" s="97"/>
      <c r="AP32" s="97" t="s">
        <v>659</v>
      </c>
      <c r="AQ32" s="202" t="s">
        <v>660</v>
      </c>
      <c r="AR32" s="97" t="s">
        <v>661</v>
      </c>
      <c r="AS32" s="202">
        <v>43278</v>
      </c>
      <c r="AT32" s="97" t="s">
        <v>662</v>
      </c>
      <c r="AU32" s="97" t="s">
        <v>1512</v>
      </c>
      <c r="AV32" s="84"/>
      <c r="AW32" s="84"/>
      <c r="AX32" s="84"/>
    </row>
    <row r="33" spans="1:50" x14ac:dyDescent="0.2">
      <c r="A33" s="192">
        <v>4</v>
      </c>
      <c r="B33" s="192" t="s">
        <v>663</v>
      </c>
      <c r="C33" s="97" t="s">
        <v>644</v>
      </c>
      <c r="D33" s="97" t="s">
        <v>645</v>
      </c>
      <c r="E33" s="97" t="s">
        <v>646</v>
      </c>
      <c r="F33" s="97" t="s">
        <v>511</v>
      </c>
      <c r="G33" s="97" t="s">
        <v>512</v>
      </c>
      <c r="H33" s="97" t="s">
        <v>647</v>
      </c>
      <c r="I33" s="97" t="s">
        <v>54</v>
      </c>
      <c r="J33" s="97" t="s">
        <v>55</v>
      </c>
      <c r="K33" s="97">
        <v>80111600</v>
      </c>
      <c r="L33" s="97" t="s">
        <v>492</v>
      </c>
      <c r="M33" s="97" t="s">
        <v>493</v>
      </c>
      <c r="N33" s="97" t="s">
        <v>494</v>
      </c>
      <c r="O33" s="97" t="s">
        <v>508</v>
      </c>
      <c r="P33" s="97" t="s">
        <v>664</v>
      </c>
      <c r="Q33" s="97">
        <v>6180000</v>
      </c>
      <c r="R33" s="97">
        <v>1</v>
      </c>
      <c r="S33" s="201">
        <v>67980000</v>
      </c>
      <c r="T33" s="97" t="s">
        <v>652</v>
      </c>
      <c r="U33" s="97" t="s">
        <v>58</v>
      </c>
      <c r="V33" s="202">
        <v>43112</v>
      </c>
      <c r="W33" s="97">
        <v>11</v>
      </c>
      <c r="X33" s="203" t="s">
        <v>665</v>
      </c>
      <c r="Y33" s="202">
        <v>43102</v>
      </c>
      <c r="Z33" s="97">
        <v>67980000</v>
      </c>
      <c r="AA33" s="97"/>
      <c r="AB33" s="204">
        <v>61</v>
      </c>
      <c r="AC33" s="192" t="s">
        <v>1513</v>
      </c>
      <c r="AD33" s="205">
        <v>67980000</v>
      </c>
      <c r="AE33" s="206">
        <f t="shared" si="0"/>
        <v>0</v>
      </c>
      <c r="AF33" s="204">
        <v>114</v>
      </c>
      <c r="AG33" s="186">
        <v>43117</v>
      </c>
      <c r="AH33" s="198">
        <v>67980000</v>
      </c>
      <c r="AI33" s="97" t="s">
        <v>1514</v>
      </c>
      <c r="AJ33" s="192">
        <v>145</v>
      </c>
      <c r="AK33" s="97"/>
      <c r="AL33" s="198">
        <v>33784000</v>
      </c>
      <c r="AM33" s="198">
        <v>34196000</v>
      </c>
      <c r="AN33" s="97" t="s">
        <v>62</v>
      </c>
      <c r="AO33" s="97"/>
      <c r="AP33" s="97"/>
      <c r="AQ33" s="202"/>
      <c r="AR33" s="97"/>
      <c r="AS33" s="202"/>
      <c r="AT33" s="97"/>
      <c r="AU33" s="97" t="s">
        <v>1514</v>
      </c>
      <c r="AV33" s="84"/>
      <c r="AW33" s="84"/>
      <c r="AX33" s="84"/>
    </row>
    <row r="34" spans="1:50" x14ac:dyDescent="0.2">
      <c r="A34" s="192">
        <v>5</v>
      </c>
      <c r="B34" s="192" t="s">
        <v>666</v>
      </c>
      <c r="C34" s="97" t="s">
        <v>644</v>
      </c>
      <c r="D34" s="97" t="s">
        <v>645</v>
      </c>
      <c r="E34" s="97" t="s">
        <v>646</v>
      </c>
      <c r="F34" s="97" t="s">
        <v>511</v>
      </c>
      <c r="G34" s="97" t="s">
        <v>512</v>
      </c>
      <c r="H34" s="97" t="s">
        <v>647</v>
      </c>
      <c r="I34" s="97" t="s">
        <v>54</v>
      </c>
      <c r="J34" s="97" t="s">
        <v>55</v>
      </c>
      <c r="K34" s="97">
        <v>80111600</v>
      </c>
      <c r="L34" s="97" t="s">
        <v>492</v>
      </c>
      <c r="M34" s="97" t="s">
        <v>493</v>
      </c>
      <c r="N34" s="97" t="s">
        <v>494</v>
      </c>
      <c r="O34" s="97" t="s">
        <v>508</v>
      </c>
      <c r="P34" s="97" t="s">
        <v>667</v>
      </c>
      <c r="Q34" s="97">
        <v>6180000</v>
      </c>
      <c r="R34" s="97">
        <v>1</v>
      </c>
      <c r="S34" s="201">
        <v>67980000</v>
      </c>
      <c r="T34" s="97" t="s">
        <v>652</v>
      </c>
      <c r="U34" s="97" t="s">
        <v>58</v>
      </c>
      <c r="V34" s="202">
        <v>43112</v>
      </c>
      <c r="W34" s="97">
        <v>11</v>
      </c>
      <c r="X34" s="203" t="s">
        <v>668</v>
      </c>
      <c r="Y34" s="202">
        <v>43102</v>
      </c>
      <c r="Z34" s="97">
        <v>67980000</v>
      </c>
      <c r="AA34" s="97"/>
      <c r="AB34" s="204">
        <v>62</v>
      </c>
      <c r="AC34" s="192" t="s">
        <v>1513</v>
      </c>
      <c r="AD34" s="205">
        <v>67980000</v>
      </c>
      <c r="AE34" s="206">
        <f t="shared" si="0"/>
        <v>0</v>
      </c>
      <c r="AF34" s="204">
        <v>107</v>
      </c>
      <c r="AG34" s="186">
        <v>43116</v>
      </c>
      <c r="AH34" s="198">
        <v>67980000</v>
      </c>
      <c r="AI34" s="97" t="s">
        <v>1515</v>
      </c>
      <c r="AJ34" s="192">
        <v>145</v>
      </c>
      <c r="AK34" s="97"/>
      <c r="AL34" s="198">
        <v>33784000</v>
      </c>
      <c r="AM34" s="198">
        <v>34196000</v>
      </c>
      <c r="AN34" s="97" t="s">
        <v>62</v>
      </c>
      <c r="AO34" s="97"/>
      <c r="AP34" s="97"/>
      <c r="AQ34" s="202"/>
      <c r="AR34" s="97"/>
      <c r="AS34" s="202"/>
      <c r="AT34" s="97"/>
      <c r="AU34" s="97" t="s">
        <v>1515</v>
      </c>
      <c r="AV34" s="84"/>
      <c r="AW34" s="84"/>
      <c r="AX34" s="84"/>
    </row>
    <row r="35" spans="1:50" x14ac:dyDescent="0.2">
      <c r="A35" s="192">
        <v>6</v>
      </c>
      <c r="B35" s="192" t="s">
        <v>669</v>
      </c>
      <c r="C35" s="97" t="s">
        <v>644</v>
      </c>
      <c r="D35" s="97" t="s">
        <v>645</v>
      </c>
      <c r="E35" s="97" t="s">
        <v>646</v>
      </c>
      <c r="F35" s="97" t="s">
        <v>511</v>
      </c>
      <c r="G35" s="97" t="s">
        <v>512</v>
      </c>
      <c r="H35" s="97" t="s">
        <v>647</v>
      </c>
      <c r="I35" s="97" t="s">
        <v>54</v>
      </c>
      <c r="J35" s="97" t="s">
        <v>55</v>
      </c>
      <c r="K35" s="97">
        <v>80111600</v>
      </c>
      <c r="L35" s="97" t="s">
        <v>492</v>
      </c>
      <c r="M35" s="97" t="s">
        <v>493</v>
      </c>
      <c r="N35" s="97" t="s">
        <v>494</v>
      </c>
      <c r="O35" s="97" t="s">
        <v>508</v>
      </c>
      <c r="P35" s="97" t="s">
        <v>670</v>
      </c>
      <c r="Q35" s="97">
        <v>4120000</v>
      </c>
      <c r="R35" s="97">
        <v>1</v>
      </c>
      <c r="S35" s="201">
        <v>45320000</v>
      </c>
      <c r="T35" s="97" t="s">
        <v>652</v>
      </c>
      <c r="U35" s="97" t="s">
        <v>58</v>
      </c>
      <c r="V35" s="202">
        <v>43112</v>
      </c>
      <c r="W35" s="97">
        <v>11</v>
      </c>
      <c r="X35" s="203" t="s">
        <v>671</v>
      </c>
      <c r="Y35" s="202">
        <v>43102</v>
      </c>
      <c r="Z35" s="97">
        <v>45320000</v>
      </c>
      <c r="AA35" s="97"/>
      <c r="AB35" s="204">
        <v>63</v>
      </c>
      <c r="AC35" s="192" t="s">
        <v>1513</v>
      </c>
      <c r="AD35" s="205">
        <v>45320000</v>
      </c>
      <c r="AE35" s="206">
        <f t="shared" si="0"/>
        <v>0</v>
      </c>
      <c r="AF35" s="204">
        <v>81</v>
      </c>
      <c r="AG35" s="186">
        <v>43116</v>
      </c>
      <c r="AH35" s="198">
        <v>45320000</v>
      </c>
      <c r="AI35" s="97" t="s">
        <v>1516</v>
      </c>
      <c r="AJ35" s="192">
        <v>145</v>
      </c>
      <c r="AK35" s="97"/>
      <c r="AL35" s="198">
        <v>22522667</v>
      </c>
      <c r="AM35" s="198">
        <v>22797333</v>
      </c>
      <c r="AN35" s="97" t="s">
        <v>62</v>
      </c>
      <c r="AO35" s="97"/>
      <c r="AP35" s="97"/>
      <c r="AQ35" s="202"/>
      <c r="AR35" s="97"/>
      <c r="AS35" s="202"/>
      <c r="AT35" s="97"/>
      <c r="AU35" s="97" t="s">
        <v>1516</v>
      </c>
      <c r="AV35" s="84"/>
      <c r="AW35" s="84"/>
      <c r="AX35" s="84"/>
    </row>
    <row r="36" spans="1:50" x14ac:dyDescent="0.2">
      <c r="A36" s="192">
        <v>7</v>
      </c>
      <c r="B36" s="192" t="s">
        <v>672</v>
      </c>
      <c r="C36" s="97" t="s">
        <v>644</v>
      </c>
      <c r="D36" s="97" t="s">
        <v>645</v>
      </c>
      <c r="E36" s="97" t="s">
        <v>646</v>
      </c>
      <c r="F36" s="97" t="s">
        <v>511</v>
      </c>
      <c r="G36" s="97" t="s">
        <v>512</v>
      </c>
      <c r="H36" s="97" t="s">
        <v>647</v>
      </c>
      <c r="I36" s="97" t="s">
        <v>54</v>
      </c>
      <c r="J36" s="97" t="s">
        <v>55</v>
      </c>
      <c r="K36" s="97">
        <v>80111600</v>
      </c>
      <c r="L36" s="97" t="s">
        <v>492</v>
      </c>
      <c r="M36" s="97" t="s">
        <v>493</v>
      </c>
      <c r="N36" s="97" t="s">
        <v>494</v>
      </c>
      <c r="O36" s="97" t="s">
        <v>508</v>
      </c>
      <c r="P36" s="97" t="s">
        <v>670</v>
      </c>
      <c r="Q36" s="97">
        <v>5665000</v>
      </c>
      <c r="R36" s="97">
        <v>1</v>
      </c>
      <c r="S36" s="201">
        <v>55403700</v>
      </c>
      <c r="T36" s="97" t="s">
        <v>652</v>
      </c>
      <c r="U36" s="97" t="s">
        <v>58</v>
      </c>
      <c r="V36" s="202">
        <v>43112</v>
      </c>
      <c r="W36" s="97">
        <v>11</v>
      </c>
      <c r="X36" s="203" t="s">
        <v>673</v>
      </c>
      <c r="Y36" s="202">
        <v>43102</v>
      </c>
      <c r="Z36" s="97">
        <v>62315000</v>
      </c>
      <c r="AA36" s="97" t="s">
        <v>674</v>
      </c>
      <c r="AB36" s="204">
        <v>65</v>
      </c>
      <c r="AC36" s="192" t="s">
        <v>1513</v>
      </c>
      <c r="AD36" s="205">
        <v>55403700</v>
      </c>
      <c r="AE36" s="206">
        <f t="shared" si="0"/>
        <v>0</v>
      </c>
      <c r="AF36" s="204">
        <v>14</v>
      </c>
      <c r="AG36" s="186">
        <v>43112</v>
      </c>
      <c r="AH36" s="198">
        <v>55403700</v>
      </c>
      <c r="AI36" s="97" t="s">
        <v>1517</v>
      </c>
      <c r="AJ36" s="192">
        <v>145</v>
      </c>
      <c r="AK36" s="97"/>
      <c r="AL36" s="198">
        <v>27869740</v>
      </c>
      <c r="AM36" s="198">
        <v>27533960</v>
      </c>
      <c r="AN36" s="97" t="s">
        <v>62</v>
      </c>
      <c r="AO36" s="97"/>
      <c r="AP36" s="97" t="s">
        <v>674</v>
      </c>
      <c r="AQ36" s="202">
        <v>43277</v>
      </c>
      <c r="AR36" s="97" t="s">
        <v>675</v>
      </c>
      <c r="AS36" s="202">
        <v>43278</v>
      </c>
      <c r="AT36" s="97" t="s">
        <v>662</v>
      </c>
      <c r="AU36" s="97" t="s">
        <v>1518</v>
      </c>
      <c r="AV36" s="84"/>
      <c r="AW36" s="84"/>
      <c r="AX36" s="84"/>
    </row>
    <row r="37" spans="1:50" x14ac:dyDescent="0.2">
      <c r="A37" s="192">
        <v>8</v>
      </c>
      <c r="B37" s="192" t="s">
        <v>676</v>
      </c>
      <c r="C37" s="97" t="s">
        <v>644</v>
      </c>
      <c r="D37" s="97" t="s">
        <v>645</v>
      </c>
      <c r="E37" s="97" t="s">
        <v>677</v>
      </c>
      <c r="F37" s="97" t="s">
        <v>511</v>
      </c>
      <c r="G37" s="97" t="s">
        <v>512</v>
      </c>
      <c r="H37" s="97" t="s">
        <v>647</v>
      </c>
      <c r="I37" s="97" t="s">
        <v>54</v>
      </c>
      <c r="J37" s="97" t="s">
        <v>55</v>
      </c>
      <c r="K37" s="97">
        <v>80111600</v>
      </c>
      <c r="L37" s="97" t="s">
        <v>492</v>
      </c>
      <c r="M37" s="97" t="s">
        <v>493</v>
      </c>
      <c r="N37" s="97" t="s">
        <v>494</v>
      </c>
      <c r="O37" s="97" t="s">
        <v>508</v>
      </c>
      <c r="P37" s="97" t="s">
        <v>678</v>
      </c>
      <c r="Q37" s="97">
        <v>5036700</v>
      </c>
      <c r="R37" s="97">
        <v>1</v>
      </c>
      <c r="S37" s="201">
        <v>57922050</v>
      </c>
      <c r="T37" s="97" t="s">
        <v>652</v>
      </c>
      <c r="U37" s="97" t="s">
        <v>58</v>
      </c>
      <c r="V37" s="202">
        <v>43112</v>
      </c>
      <c r="W37" s="97">
        <v>11.5</v>
      </c>
      <c r="X37" s="203" t="s">
        <v>679</v>
      </c>
      <c r="Y37" s="202">
        <v>43102</v>
      </c>
      <c r="Z37" s="97">
        <v>57922050</v>
      </c>
      <c r="AA37" s="97"/>
      <c r="AB37" s="204">
        <v>67</v>
      </c>
      <c r="AC37" s="192" t="s">
        <v>1513</v>
      </c>
      <c r="AD37" s="205">
        <v>30220200</v>
      </c>
      <c r="AE37" s="206">
        <f t="shared" si="0"/>
        <v>27701850</v>
      </c>
      <c r="AF37" s="204">
        <v>237</v>
      </c>
      <c r="AG37" s="186">
        <v>43119</v>
      </c>
      <c r="AH37" s="198">
        <v>30220200</v>
      </c>
      <c r="AI37" s="97" t="s">
        <v>1519</v>
      </c>
      <c r="AJ37" s="192">
        <v>145</v>
      </c>
      <c r="AK37" s="97"/>
      <c r="AL37" s="198">
        <v>27198180</v>
      </c>
      <c r="AM37" s="198">
        <v>3022020</v>
      </c>
      <c r="AN37" s="97" t="s">
        <v>680</v>
      </c>
      <c r="AO37" s="97"/>
      <c r="AP37" s="97"/>
      <c r="AQ37" s="202"/>
      <c r="AR37" s="97"/>
      <c r="AS37" s="202"/>
      <c r="AT37" s="97"/>
      <c r="AU37" s="97" t="s">
        <v>1520</v>
      </c>
      <c r="AV37" s="84"/>
      <c r="AW37" s="84"/>
      <c r="AX37" s="84"/>
    </row>
    <row r="38" spans="1:50" x14ac:dyDescent="0.2">
      <c r="A38" s="192">
        <v>9</v>
      </c>
      <c r="B38" s="192" t="s">
        <v>681</v>
      </c>
      <c r="C38" s="97" t="s">
        <v>644</v>
      </c>
      <c r="D38" s="97" t="s">
        <v>645</v>
      </c>
      <c r="E38" s="97" t="s">
        <v>677</v>
      </c>
      <c r="F38" s="97" t="s">
        <v>511</v>
      </c>
      <c r="G38" s="97" t="s">
        <v>512</v>
      </c>
      <c r="H38" s="97" t="s">
        <v>647</v>
      </c>
      <c r="I38" s="97" t="s">
        <v>54</v>
      </c>
      <c r="J38" s="97" t="s">
        <v>55</v>
      </c>
      <c r="K38" s="97">
        <v>80111600</v>
      </c>
      <c r="L38" s="97" t="s">
        <v>492</v>
      </c>
      <c r="M38" s="97" t="s">
        <v>493</v>
      </c>
      <c r="N38" s="97" t="s">
        <v>494</v>
      </c>
      <c r="O38" s="97" t="s">
        <v>508</v>
      </c>
      <c r="P38" s="97" t="s">
        <v>682</v>
      </c>
      <c r="Q38" s="97">
        <v>5665000</v>
      </c>
      <c r="R38" s="97">
        <v>1</v>
      </c>
      <c r="S38" s="201">
        <v>63931480</v>
      </c>
      <c r="T38" s="97" t="s">
        <v>652</v>
      </c>
      <c r="U38" s="97" t="s">
        <v>58</v>
      </c>
      <c r="V38" s="202">
        <v>43112</v>
      </c>
      <c r="W38" s="97">
        <v>11.5</v>
      </c>
      <c r="X38" s="203" t="s">
        <v>683</v>
      </c>
      <c r="Y38" s="202">
        <v>43102</v>
      </c>
      <c r="Z38" s="97">
        <v>65147500</v>
      </c>
      <c r="AA38" s="97"/>
      <c r="AB38" s="204">
        <v>68</v>
      </c>
      <c r="AC38" s="192" t="s">
        <v>1513</v>
      </c>
      <c r="AD38" s="205">
        <v>33990000</v>
      </c>
      <c r="AE38" s="206">
        <f t="shared" si="0"/>
        <v>29941480</v>
      </c>
      <c r="AF38" s="204">
        <v>254</v>
      </c>
      <c r="AG38" s="186">
        <v>43119</v>
      </c>
      <c r="AH38" s="198">
        <v>33990000</v>
      </c>
      <c r="AI38" s="97" t="s">
        <v>1521</v>
      </c>
      <c r="AJ38" s="192">
        <v>145</v>
      </c>
      <c r="AK38" s="97"/>
      <c r="AL38" s="198">
        <v>30591000</v>
      </c>
      <c r="AM38" s="198">
        <v>3399000</v>
      </c>
      <c r="AN38" s="97" t="s">
        <v>680</v>
      </c>
      <c r="AO38" s="97"/>
      <c r="AP38" s="97" t="s">
        <v>684</v>
      </c>
      <c r="AQ38" s="202">
        <v>43306</v>
      </c>
      <c r="AR38" s="97" t="s">
        <v>306</v>
      </c>
      <c r="AS38" s="202">
        <v>43306</v>
      </c>
      <c r="AT38" s="97" t="s">
        <v>685</v>
      </c>
      <c r="AU38" s="97" t="s">
        <v>1521</v>
      </c>
      <c r="AV38" s="84"/>
      <c r="AW38" s="84"/>
      <c r="AX38" s="84"/>
    </row>
    <row r="39" spans="1:50" x14ac:dyDescent="0.2">
      <c r="A39" s="192">
        <v>10</v>
      </c>
      <c r="B39" s="192" t="s">
        <v>686</v>
      </c>
      <c r="C39" s="97" t="s">
        <v>644</v>
      </c>
      <c r="D39" s="97" t="s">
        <v>645</v>
      </c>
      <c r="E39" s="97" t="s">
        <v>677</v>
      </c>
      <c r="F39" s="97" t="s">
        <v>511</v>
      </c>
      <c r="G39" s="97" t="s">
        <v>512</v>
      </c>
      <c r="H39" s="97" t="s">
        <v>647</v>
      </c>
      <c r="I39" s="97" t="s">
        <v>54</v>
      </c>
      <c r="J39" s="97" t="s">
        <v>55</v>
      </c>
      <c r="K39" s="97">
        <v>80111600</v>
      </c>
      <c r="L39" s="97" t="s">
        <v>492</v>
      </c>
      <c r="M39" s="97" t="s">
        <v>493</v>
      </c>
      <c r="N39" s="97" t="s">
        <v>494</v>
      </c>
      <c r="O39" s="97" t="s">
        <v>508</v>
      </c>
      <c r="P39" s="97" t="s">
        <v>687</v>
      </c>
      <c r="Q39" s="97">
        <v>5665000</v>
      </c>
      <c r="R39" s="97">
        <v>1</v>
      </c>
      <c r="S39" s="201">
        <v>61937333</v>
      </c>
      <c r="T39" s="97" t="s">
        <v>652</v>
      </c>
      <c r="U39" s="97" t="s">
        <v>58</v>
      </c>
      <c r="V39" s="202">
        <v>43112</v>
      </c>
      <c r="W39" s="97">
        <v>11.5</v>
      </c>
      <c r="X39" s="203" t="s">
        <v>688</v>
      </c>
      <c r="Y39" s="202">
        <v>43102</v>
      </c>
      <c r="Z39" s="97">
        <v>65147500</v>
      </c>
      <c r="AA39" s="97"/>
      <c r="AB39" s="204">
        <v>69</v>
      </c>
      <c r="AC39" s="192" t="s">
        <v>1513</v>
      </c>
      <c r="AD39" s="205">
        <v>33990000</v>
      </c>
      <c r="AE39" s="206">
        <f t="shared" si="0"/>
        <v>27947333</v>
      </c>
      <c r="AF39" s="204">
        <v>248</v>
      </c>
      <c r="AG39" s="186">
        <v>43119</v>
      </c>
      <c r="AH39" s="198">
        <v>33990000</v>
      </c>
      <c r="AI39" s="97" t="s">
        <v>1522</v>
      </c>
      <c r="AJ39" s="192">
        <v>145</v>
      </c>
      <c r="AK39" s="97"/>
      <c r="AL39" s="198">
        <v>28136166</v>
      </c>
      <c r="AM39" s="198">
        <v>5853834</v>
      </c>
      <c r="AN39" s="97" t="s">
        <v>680</v>
      </c>
      <c r="AO39" s="97"/>
      <c r="AP39" s="97" t="s">
        <v>684</v>
      </c>
      <c r="AQ39" s="202">
        <v>43306</v>
      </c>
      <c r="AR39" s="97" t="s">
        <v>306</v>
      </c>
      <c r="AS39" s="202">
        <v>43306</v>
      </c>
      <c r="AT39" s="97" t="s">
        <v>685</v>
      </c>
      <c r="AU39" s="97" t="s">
        <v>1523</v>
      </c>
      <c r="AV39" s="84"/>
      <c r="AW39" s="84"/>
      <c r="AX39" s="84"/>
    </row>
    <row r="40" spans="1:50" x14ac:dyDescent="0.2">
      <c r="A40" s="192">
        <v>11</v>
      </c>
      <c r="B40" s="192" t="s">
        <v>689</v>
      </c>
      <c r="C40" s="97" t="s">
        <v>644</v>
      </c>
      <c r="D40" s="97" t="s">
        <v>645</v>
      </c>
      <c r="E40" s="97" t="s">
        <v>677</v>
      </c>
      <c r="F40" s="97" t="s">
        <v>511</v>
      </c>
      <c r="G40" s="97" t="s">
        <v>512</v>
      </c>
      <c r="H40" s="97" t="s">
        <v>647</v>
      </c>
      <c r="I40" s="97" t="s">
        <v>54</v>
      </c>
      <c r="J40" s="97" t="s">
        <v>55</v>
      </c>
      <c r="K40" s="97">
        <v>80111600</v>
      </c>
      <c r="L40" s="97" t="s">
        <v>492</v>
      </c>
      <c r="M40" s="97" t="s">
        <v>493</v>
      </c>
      <c r="N40" s="97" t="s">
        <v>494</v>
      </c>
      <c r="O40" s="97" t="s">
        <v>508</v>
      </c>
      <c r="P40" s="97" t="s">
        <v>690</v>
      </c>
      <c r="Q40" s="97">
        <v>5253000</v>
      </c>
      <c r="R40" s="97">
        <v>1</v>
      </c>
      <c r="S40" s="201">
        <v>60409500</v>
      </c>
      <c r="T40" s="97" t="s">
        <v>652</v>
      </c>
      <c r="U40" s="97" t="s">
        <v>58</v>
      </c>
      <c r="V40" s="202">
        <v>43112</v>
      </c>
      <c r="W40" s="97">
        <v>11.5</v>
      </c>
      <c r="X40" s="203" t="s">
        <v>691</v>
      </c>
      <c r="Y40" s="202">
        <v>43102</v>
      </c>
      <c r="Z40" s="97">
        <v>60409500</v>
      </c>
      <c r="AA40" s="97"/>
      <c r="AB40" s="204">
        <v>70</v>
      </c>
      <c r="AC40" s="192" t="s">
        <v>1513</v>
      </c>
      <c r="AD40" s="205">
        <v>60409500</v>
      </c>
      <c r="AE40" s="206">
        <f t="shared" si="0"/>
        <v>0</v>
      </c>
      <c r="AF40" s="204">
        <v>115</v>
      </c>
      <c r="AG40" s="186">
        <v>43117</v>
      </c>
      <c r="AH40" s="198">
        <v>60409500</v>
      </c>
      <c r="AI40" s="97" t="s">
        <v>1524</v>
      </c>
      <c r="AJ40" s="192">
        <v>145</v>
      </c>
      <c r="AK40" s="97"/>
      <c r="AL40" s="198">
        <v>28716400</v>
      </c>
      <c r="AM40" s="198">
        <v>31693100</v>
      </c>
      <c r="AN40" s="97" t="s">
        <v>71</v>
      </c>
      <c r="AO40" s="97"/>
      <c r="AP40" s="97"/>
      <c r="AQ40" s="202"/>
      <c r="AR40" s="97"/>
      <c r="AS40" s="202"/>
      <c r="AT40" s="97"/>
      <c r="AU40" s="97" t="s">
        <v>1524</v>
      </c>
      <c r="AV40" s="84"/>
      <c r="AW40" s="84"/>
      <c r="AX40" s="84"/>
    </row>
    <row r="41" spans="1:50" x14ac:dyDescent="0.2">
      <c r="A41" s="192">
        <v>12</v>
      </c>
      <c r="B41" s="192" t="s">
        <v>692</v>
      </c>
      <c r="C41" s="97" t="s">
        <v>644</v>
      </c>
      <c r="D41" s="97" t="s">
        <v>645</v>
      </c>
      <c r="E41" s="97" t="s">
        <v>677</v>
      </c>
      <c r="F41" s="97" t="s">
        <v>511</v>
      </c>
      <c r="G41" s="97" t="s">
        <v>512</v>
      </c>
      <c r="H41" s="97" t="s">
        <v>647</v>
      </c>
      <c r="I41" s="97" t="s">
        <v>54</v>
      </c>
      <c r="J41" s="97" t="s">
        <v>55</v>
      </c>
      <c r="K41" s="97">
        <v>80111600</v>
      </c>
      <c r="L41" s="97" t="s">
        <v>492</v>
      </c>
      <c r="M41" s="97" t="s">
        <v>493</v>
      </c>
      <c r="N41" s="97" t="s">
        <v>494</v>
      </c>
      <c r="O41" s="97" t="s">
        <v>508</v>
      </c>
      <c r="P41" s="97" t="s">
        <v>693</v>
      </c>
      <c r="Q41" s="97">
        <v>5036700</v>
      </c>
      <c r="R41" s="97">
        <v>1</v>
      </c>
      <c r="S41" s="201">
        <v>52118000</v>
      </c>
      <c r="T41" s="97" t="s">
        <v>652</v>
      </c>
      <c r="U41" s="97" t="s">
        <v>58</v>
      </c>
      <c r="V41" s="202">
        <v>43112</v>
      </c>
      <c r="W41" s="97">
        <v>11.5</v>
      </c>
      <c r="X41" s="203" t="s">
        <v>694</v>
      </c>
      <c r="Y41" s="202">
        <v>43102</v>
      </c>
      <c r="Z41" s="97">
        <v>57922050</v>
      </c>
      <c r="AA41" s="97"/>
      <c r="AB41" s="204">
        <v>71</v>
      </c>
      <c r="AC41" s="192" t="s">
        <v>1513</v>
      </c>
      <c r="AD41" s="205">
        <v>52118000</v>
      </c>
      <c r="AE41" s="206">
        <f t="shared" si="0"/>
        <v>0</v>
      </c>
      <c r="AF41" s="204">
        <v>481</v>
      </c>
      <c r="AG41" s="186">
        <v>43126</v>
      </c>
      <c r="AH41" s="198">
        <v>52118000</v>
      </c>
      <c r="AI41" s="97" t="s">
        <v>1525</v>
      </c>
      <c r="AJ41" s="192">
        <v>145</v>
      </c>
      <c r="AK41" s="97"/>
      <c r="AL41" s="198">
        <v>23566400</v>
      </c>
      <c r="AM41" s="198">
        <v>28551600</v>
      </c>
      <c r="AN41" s="97" t="s">
        <v>71</v>
      </c>
      <c r="AO41" s="97"/>
      <c r="AP41" s="97" t="s">
        <v>684</v>
      </c>
      <c r="AQ41" s="202">
        <v>43306</v>
      </c>
      <c r="AR41" s="97" t="s">
        <v>306</v>
      </c>
      <c r="AS41" s="202">
        <v>43306</v>
      </c>
      <c r="AT41" s="97" t="s">
        <v>685</v>
      </c>
      <c r="AU41" s="97" t="s">
        <v>1526</v>
      </c>
      <c r="AV41" s="84"/>
      <c r="AW41" s="84"/>
      <c r="AX41" s="84"/>
    </row>
    <row r="42" spans="1:50" x14ac:dyDescent="0.2">
      <c r="A42" s="192">
        <v>13</v>
      </c>
      <c r="B42" s="192" t="s">
        <v>695</v>
      </c>
      <c r="C42" s="97" t="s">
        <v>644</v>
      </c>
      <c r="D42" s="97" t="s">
        <v>645</v>
      </c>
      <c r="E42" s="97" t="s">
        <v>677</v>
      </c>
      <c r="F42" s="97" t="s">
        <v>511</v>
      </c>
      <c r="G42" s="97" t="s">
        <v>512</v>
      </c>
      <c r="H42" s="97" t="s">
        <v>647</v>
      </c>
      <c r="I42" s="97" t="s">
        <v>54</v>
      </c>
      <c r="J42" s="97" t="s">
        <v>55</v>
      </c>
      <c r="K42" s="97">
        <v>80111600</v>
      </c>
      <c r="L42" s="97" t="s">
        <v>492</v>
      </c>
      <c r="M42" s="97" t="s">
        <v>493</v>
      </c>
      <c r="N42" s="97" t="s">
        <v>494</v>
      </c>
      <c r="O42" s="97" t="s">
        <v>508</v>
      </c>
      <c r="P42" s="97" t="s">
        <v>696</v>
      </c>
      <c r="Q42" s="97">
        <v>5665000</v>
      </c>
      <c r="R42" s="97">
        <v>1</v>
      </c>
      <c r="S42" s="201">
        <v>65147500</v>
      </c>
      <c r="T42" s="97" t="s">
        <v>652</v>
      </c>
      <c r="U42" s="97" t="s">
        <v>58</v>
      </c>
      <c r="V42" s="202">
        <v>43105</v>
      </c>
      <c r="W42" s="97">
        <v>11.5</v>
      </c>
      <c r="X42" s="203" t="s">
        <v>697</v>
      </c>
      <c r="Y42" s="202">
        <v>43102</v>
      </c>
      <c r="Z42" s="97">
        <v>65147500</v>
      </c>
      <c r="AA42" s="97"/>
      <c r="AB42" s="204">
        <v>135</v>
      </c>
      <c r="AC42" s="192" t="s">
        <v>1527</v>
      </c>
      <c r="AD42" s="205">
        <v>65147500</v>
      </c>
      <c r="AE42" s="206">
        <f t="shared" si="0"/>
        <v>0</v>
      </c>
      <c r="AF42" s="204">
        <v>100</v>
      </c>
      <c r="AG42" s="186">
        <v>43116</v>
      </c>
      <c r="AH42" s="198">
        <v>65147500</v>
      </c>
      <c r="AI42" s="97" t="s">
        <v>1528</v>
      </c>
      <c r="AJ42" s="192">
        <v>145</v>
      </c>
      <c r="AK42" s="97"/>
      <c r="AL42" s="198">
        <v>29646833</v>
      </c>
      <c r="AM42" s="198">
        <v>35500667</v>
      </c>
      <c r="AN42" s="97" t="s">
        <v>650</v>
      </c>
      <c r="AO42" s="97"/>
      <c r="AP42" s="97"/>
      <c r="AQ42" s="202"/>
      <c r="AR42" s="97"/>
      <c r="AS42" s="202"/>
      <c r="AT42" s="97"/>
      <c r="AU42" s="97" t="s">
        <v>1529</v>
      </c>
      <c r="AV42" s="84"/>
      <c r="AW42" s="84"/>
      <c r="AX42" s="84"/>
    </row>
    <row r="43" spans="1:50" x14ac:dyDescent="0.2">
      <c r="A43" s="192">
        <v>14</v>
      </c>
      <c r="B43" s="192" t="s">
        <v>698</v>
      </c>
      <c r="C43" s="97" t="s">
        <v>644</v>
      </c>
      <c r="D43" s="97" t="s">
        <v>645</v>
      </c>
      <c r="E43" s="97" t="s">
        <v>677</v>
      </c>
      <c r="F43" s="97" t="s">
        <v>511</v>
      </c>
      <c r="G43" s="97" t="s">
        <v>512</v>
      </c>
      <c r="H43" s="97" t="s">
        <v>647</v>
      </c>
      <c r="I43" s="97" t="s">
        <v>54</v>
      </c>
      <c r="J43" s="97" t="s">
        <v>55</v>
      </c>
      <c r="K43" s="97">
        <v>80111600</v>
      </c>
      <c r="L43" s="97" t="s">
        <v>492</v>
      </c>
      <c r="M43" s="97" t="s">
        <v>493</v>
      </c>
      <c r="N43" s="97" t="s">
        <v>494</v>
      </c>
      <c r="O43" s="97" t="s">
        <v>508</v>
      </c>
      <c r="P43" s="97" t="s">
        <v>699</v>
      </c>
      <c r="Q43" s="97">
        <v>5253000</v>
      </c>
      <c r="R43" s="97">
        <v>1</v>
      </c>
      <c r="S43" s="201">
        <v>57922050</v>
      </c>
      <c r="T43" s="97" t="s">
        <v>652</v>
      </c>
      <c r="U43" s="97" t="s">
        <v>58</v>
      </c>
      <c r="V43" s="202">
        <v>43105</v>
      </c>
      <c r="W43" s="97">
        <v>11.5</v>
      </c>
      <c r="X43" s="203" t="s">
        <v>700</v>
      </c>
      <c r="Y43" s="202">
        <v>43102</v>
      </c>
      <c r="Z43" s="97">
        <v>60409500</v>
      </c>
      <c r="AA43" s="97" t="s">
        <v>674</v>
      </c>
      <c r="AB43" s="204">
        <v>479</v>
      </c>
      <c r="AC43" s="192" t="s">
        <v>1530</v>
      </c>
      <c r="AD43" s="205">
        <v>57922050</v>
      </c>
      <c r="AE43" s="206">
        <f t="shared" si="0"/>
        <v>0</v>
      </c>
      <c r="AF43" s="204">
        <v>259</v>
      </c>
      <c r="AG43" s="186">
        <v>43119</v>
      </c>
      <c r="AH43" s="198">
        <v>57922050</v>
      </c>
      <c r="AI43" s="97" t="s">
        <v>1531</v>
      </c>
      <c r="AJ43" s="192">
        <v>145</v>
      </c>
      <c r="AK43" s="97"/>
      <c r="AL43" s="198">
        <v>26694510</v>
      </c>
      <c r="AM43" s="198">
        <v>31227540</v>
      </c>
      <c r="AN43" s="97" t="s">
        <v>650</v>
      </c>
      <c r="AO43" s="97"/>
      <c r="AP43" s="97" t="s">
        <v>674</v>
      </c>
      <c r="AQ43" s="202">
        <v>43277</v>
      </c>
      <c r="AR43" s="97" t="s">
        <v>675</v>
      </c>
      <c r="AS43" s="202">
        <v>43278</v>
      </c>
      <c r="AT43" s="97" t="s">
        <v>662</v>
      </c>
      <c r="AU43" s="97" t="s">
        <v>1532</v>
      </c>
      <c r="AV43" s="84"/>
      <c r="AW43" s="84"/>
      <c r="AX43" s="84"/>
    </row>
    <row r="44" spans="1:50" x14ac:dyDescent="0.2">
      <c r="A44" s="192">
        <v>15</v>
      </c>
      <c r="B44" s="192" t="s">
        <v>701</v>
      </c>
      <c r="C44" s="97" t="s">
        <v>644</v>
      </c>
      <c r="D44" s="97" t="s">
        <v>645</v>
      </c>
      <c r="E44" s="97" t="s">
        <v>677</v>
      </c>
      <c r="F44" s="97" t="s">
        <v>511</v>
      </c>
      <c r="G44" s="97" t="s">
        <v>512</v>
      </c>
      <c r="H44" s="97" t="s">
        <v>647</v>
      </c>
      <c r="I44" s="97" t="s">
        <v>54</v>
      </c>
      <c r="J44" s="97" t="s">
        <v>55</v>
      </c>
      <c r="K44" s="97">
        <v>80111600</v>
      </c>
      <c r="L44" s="97" t="s">
        <v>492</v>
      </c>
      <c r="M44" s="97" t="s">
        <v>493</v>
      </c>
      <c r="N44" s="97" t="s">
        <v>494</v>
      </c>
      <c r="O44" s="97" t="s">
        <v>508</v>
      </c>
      <c r="P44" s="97" t="s">
        <v>702</v>
      </c>
      <c r="Q44" s="97">
        <v>4120000</v>
      </c>
      <c r="R44" s="97">
        <v>1</v>
      </c>
      <c r="S44" s="201">
        <v>47380000</v>
      </c>
      <c r="T44" s="97" t="s">
        <v>652</v>
      </c>
      <c r="U44" s="97" t="s">
        <v>58</v>
      </c>
      <c r="V44" s="202">
        <v>43105</v>
      </c>
      <c r="W44" s="97">
        <v>11.5</v>
      </c>
      <c r="X44" s="203" t="s">
        <v>703</v>
      </c>
      <c r="Y44" s="202">
        <v>43102</v>
      </c>
      <c r="Z44" s="97">
        <v>47380000</v>
      </c>
      <c r="AA44" s="97"/>
      <c r="AB44" s="204">
        <v>134</v>
      </c>
      <c r="AC44" s="192" t="s">
        <v>1527</v>
      </c>
      <c r="AD44" s="205">
        <v>26780000</v>
      </c>
      <c r="AE44" s="206">
        <f t="shared" si="0"/>
        <v>20600000</v>
      </c>
      <c r="AF44" s="204">
        <v>431</v>
      </c>
      <c r="AG44" s="186">
        <v>43124</v>
      </c>
      <c r="AH44" s="198">
        <v>26780000</v>
      </c>
      <c r="AI44" s="97" t="s">
        <v>1533</v>
      </c>
      <c r="AJ44" s="192">
        <v>145</v>
      </c>
      <c r="AK44" s="97"/>
      <c r="AL44" s="198">
        <v>21424000</v>
      </c>
      <c r="AM44" s="198">
        <v>5356000</v>
      </c>
      <c r="AN44" s="97" t="s">
        <v>650</v>
      </c>
      <c r="AO44" s="97"/>
      <c r="AP44" s="97"/>
      <c r="AQ44" s="202"/>
      <c r="AR44" s="97"/>
      <c r="AS44" s="202"/>
      <c r="AT44" s="97"/>
      <c r="AU44" s="97" t="s">
        <v>1534</v>
      </c>
      <c r="AV44" s="84"/>
      <c r="AW44" s="84"/>
      <c r="AX44" s="84"/>
    </row>
    <row r="45" spans="1:50" ht="14.25" customHeight="1" x14ac:dyDescent="0.2">
      <c r="A45" s="192">
        <v>16</v>
      </c>
      <c r="B45" s="192" t="s">
        <v>704</v>
      </c>
      <c r="C45" s="97" t="s">
        <v>644</v>
      </c>
      <c r="D45" s="97" t="s">
        <v>645</v>
      </c>
      <c r="E45" s="97" t="s">
        <v>677</v>
      </c>
      <c r="F45" s="97" t="s">
        <v>511</v>
      </c>
      <c r="G45" s="97" t="s">
        <v>512</v>
      </c>
      <c r="H45" s="97" t="s">
        <v>647</v>
      </c>
      <c r="I45" s="97" t="s">
        <v>54</v>
      </c>
      <c r="J45" s="97" t="s">
        <v>55</v>
      </c>
      <c r="K45" s="97">
        <v>80111600</v>
      </c>
      <c r="L45" s="97" t="s">
        <v>492</v>
      </c>
      <c r="M45" s="97" t="s">
        <v>493</v>
      </c>
      <c r="N45" s="97" t="s">
        <v>494</v>
      </c>
      <c r="O45" s="97" t="s">
        <v>508</v>
      </c>
      <c r="P45" s="97" t="s">
        <v>1535</v>
      </c>
      <c r="Q45" s="97">
        <v>6180000</v>
      </c>
      <c r="R45" s="97">
        <v>1</v>
      </c>
      <c r="S45" s="201">
        <v>71070000</v>
      </c>
      <c r="T45" s="97" t="s">
        <v>652</v>
      </c>
      <c r="U45" s="97" t="s">
        <v>58</v>
      </c>
      <c r="V45" s="202">
        <v>43105</v>
      </c>
      <c r="W45" s="97">
        <v>11.5</v>
      </c>
      <c r="X45" s="203" t="s">
        <v>707</v>
      </c>
      <c r="Y45" s="202">
        <v>43102</v>
      </c>
      <c r="Z45" s="97">
        <v>71070000</v>
      </c>
      <c r="AA45" s="97"/>
      <c r="AB45" s="204">
        <v>480</v>
      </c>
      <c r="AC45" s="192" t="s">
        <v>1530</v>
      </c>
      <c r="AD45" s="205">
        <v>71070000</v>
      </c>
      <c r="AE45" s="206">
        <f t="shared" si="0"/>
        <v>0</v>
      </c>
      <c r="AF45" s="204">
        <v>113</v>
      </c>
      <c r="AG45" s="186">
        <v>43117</v>
      </c>
      <c r="AH45" s="198">
        <v>71070000</v>
      </c>
      <c r="AI45" s="97" t="s">
        <v>1536</v>
      </c>
      <c r="AJ45" s="192">
        <v>145</v>
      </c>
      <c r="AK45" s="97"/>
      <c r="AL45" s="198">
        <v>33784000</v>
      </c>
      <c r="AM45" s="198">
        <v>37286000</v>
      </c>
      <c r="AN45" s="97" t="s">
        <v>650</v>
      </c>
      <c r="AO45" s="97"/>
      <c r="AP45" s="97"/>
      <c r="AQ45" s="202"/>
      <c r="AR45" s="97"/>
      <c r="AS45" s="202"/>
      <c r="AT45" s="97"/>
      <c r="AU45" s="97" t="s">
        <v>1536</v>
      </c>
      <c r="AV45" s="84"/>
      <c r="AW45" s="84"/>
      <c r="AX45" s="84"/>
    </row>
    <row r="46" spans="1:50" x14ac:dyDescent="0.2">
      <c r="A46" s="192">
        <v>17</v>
      </c>
      <c r="B46" s="192" t="s">
        <v>708</v>
      </c>
      <c r="C46" s="97" t="s">
        <v>644</v>
      </c>
      <c r="D46" s="97" t="s">
        <v>645</v>
      </c>
      <c r="E46" s="97" t="s">
        <v>677</v>
      </c>
      <c r="F46" s="97" t="s">
        <v>511</v>
      </c>
      <c r="G46" s="97" t="s">
        <v>512</v>
      </c>
      <c r="H46" s="97" t="s">
        <v>647</v>
      </c>
      <c r="I46" s="97" t="s">
        <v>54</v>
      </c>
      <c r="J46" s="97" t="s">
        <v>55</v>
      </c>
      <c r="K46" s="97">
        <v>80111600</v>
      </c>
      <c r="L46" s="97" t="s">
        <v>492</v>
      </c>
      <c r="M46" s="97" t="s">
        <v>493</v>
      </c>
      <c r="N46" s="97" t="s">
        <v>494</v>
      </c>
      <c r="O46" s="97" t="s">
        <v>508</v>
      </c>
      <c r="P46" s="97" t="s">
        <v>709</v>
      </c>
      <c r="Q46" s="97">
        <v>4532000</v>
      </c>
      <c r="R46" s="97">
        <v>1</v>
      </c>
      <c r="S46" s="201">
        <v>39088500</v>
      </c>
      <c r="T46" s="97" t="s">
        <v>652</v>
      </c>
      <c r="U46" s="97" t="s">
        <v>58</v>
      </c>
      <c r="V46" s="202">
        <v>43112</v>
      </c>
      <c r="W46" s="97">
        <v>11.5</v>
      </c>
      <c r="X46" s="203" t="s">
        <v>710</v>
      </c>
      <c r="Y46" s="202">
        <v>43102</v>
      </c>
      <c r="Z46" s="97">
        <v>52118000</v>
      </c>
      <c r="AA46" s="97" t="s">
        <v>711</v>
      </c>
      <c r="AB46" s="204">
        <v>72</v>
      </c>
      <c r="AC46" s="192" t="s">
        <v>1513</v>
      </c>
      <c r="AD46" s="205">
        <v>39088500</v>
      </c>
      <c r="AE46" s="206">
        <f t="shared" si="0"/>
        <v>0</v>
      </c>
      <c r="AF46" s="204">
        <v>506</v>
      </c>
      <c r="AG46" s="186">
        <v>43126</v>
      </c>
      <c r="AH46" s="198">
        <v>39088500</v>
      </c>
      <c r="AI46" s="97" t="s">
        <v>1537</v>
      </c>
      <c r="AJ46" s="192">
        <v>145</v>
      </c>
      <c r="AK46" s="97"/>
      <c r="AL46" s="198">
        <v>17334900</v>
      </c>
      <c r="AM46" s="198">
        <v>21753600</v>
      </c>
      <c r="AN46" s="97" t="s">
        <v>712</v>
      </c>
      <c r="AO46" s="97"/>
      <c r="AP46" s="97" t="s">
        <v>713</v>
      </c>
      <c r="AQ46" s="202" t="s">
        <v>714</v>
      </c>
      <c r="AR46" s="97" t="s">
        <v>715</v>
      </c>
      <c r="AS46" s="202">
        <v>43278</v>
      </c>
      <c r="AT46" s="97" t="s">
        <v>662</v>
      </c>
      <c r="AU46" s="97" t="s">
        <v>1538</v>
      </c>
      <c r="AV46" s="84"/>
      <c r="AW46" s="84"/>
      <c r="AX46" s="84"/>
    </row>
    <row r="47" spans="1:50" x14ac:dyDescent="0.2">
      <c r="A47" s="192">
        <v>18</v>
      </c>
      <c r="B47" s="192" t="s">
        <v>716</v>
      </c>
      <c r="C47" s="97" t="s">
        <v>644</v>
      </c>
      <c r="D47" s="97" t="s">
        <v>645</v>
      </c>
      <c r="E47" s="97" t="s">
        <v>677</v>
      </c>
      <c r="F47" s="97" t="s">
        <v>511</v>
      </c>
      <c r="G47" s="97" t="s">
        <v>512</v>
      </c>
      <c r="H47" s="97" t="s">
        <v>647</v>
      </c>
      <c r="I47" s="97" t="s">
        <v>54</v>
      </c>
      <c r="J47" s="97" t="s">
        <v>55</v>
      </c>
      <c r="K47" s="97">
        <v>80111600</v>
      </c>
      <c r="L47" s="97" t="s">
        <v>492</v>
      </c>
      <c r="M47" s="97" t="s">
        <v>493</v>
      </c>
      <c r="N47" s="97" t="s">
        <v>494</v>
      </c>
      <c r="O47" s="97" t="s">
        <v>508</v>
      </c>
      <c r="P47" s="97" t="s">
        <v>717</v>
      </c>
      <c r="Q47" s="97">
        <v>5253000</v>
      </c>
      <c r="R47" s="97">
        <v>1</v>
      </c>
      <c r="S47" s="201">
        <v>60409500</v>
      </c>
      <c r="T47" s="97" t="s">
        <v>652</v>
      </c>
      <c r="U47" s="97" t="s">
        <v>58</v>
      </c>
      <c r="V47" s="202">
        <v>43112</v>
      </c>
      <c r="W47" s="97">
        <v>11.5</v>
      </c>
      <c r="X47" s="203" t="s">
        <v>718</v>
      </c>
      <c r="Y47" s="202">
        <v>43102</v>
      </c>
      <c r="Z47" s="97">
        <v>60409500</v>
      </c>
      <c r="AA47" s="97"/>
      <c r="AB47" s="204">
        <v>73</v>
      </c>
      <c r="AC47" s="192" t="s">
        <v>1513</v>
      </c>
      <c r="AD47" s="205">
        <v>60409500</v>
      </c>
      <c r="AE47" s="206">
        <f t="shared" si="0"/>
        <v>0</v>
      </c>
      <c r="AF47" s="204">
        <v>74</v>
      </c>
      <c r="AG47" s="186">
        <v>43116</v>
      </c>
      <c r="AH47" s="198">
        <v>60409500</v>
      </c>
      <c r="AI47" s="97" t="s">
        <v>1539</v>
      </c>
      <c r="AJ47" s="192">
        <v>145</v>
      </c>
      <c r="AK47" s="97"/>
      <c r="AL47" s="198">
        <v>28716400</v>
      </c>
      <c r="AM47" s="198">
        <v>31693100</v>
      </c>
      <c r="AN47" s="97" t="s">
        <v>712</v>
      </c>
      <c r="AO47" s="97"/>
      <c r="AP47" s="97"/>
      <c r="AQ47" s="202"/>
      <c r="AR47" s="97"/>
      <c r="AS47" s="202"/>
      <c r="AT47" s="97"/>
      <c r="AU47" s="97" t="s">
        <v>1539</v>
      </c>
      <c r="AV47" s="84"/>
      <c r="AW47" s="84"/>
      <c r="AX47" s="84"/>
    </row>
    <row r="48" spans="1:50" x14ac:dyDescent="0.2">
      <c r="A48" s="192">
        <v>19</v>
      </c>
      <c r="B48" s="192" t="s">
        <v>719</v>
      </c>
      <c r="C48" s="97" t="s">
        <v>644</v>
      </c>
      <c r="D48" s="97" t="s">
        <v>645</v>
      </c>
      <c r="E48" s="97" t="s">
        <v>677</v>
      </c>
      <c r="F48" s="97" t="s">
        <v>511</v>
      </c>
      <c r="G48" s="97" t="s">
        <v>512</v>
      </c>
      <c r="H48" s="97" t="s">
        <v>647</v>
      </c>
      <c r="I48" s="97" t="s">
        <v>54</v>
      </c>
      <c r="J48" s="97" t="s">
        <v>55</v>
      </c>
      <c r="K48" s="97">
        <v>80111600</v>
      </c>
      <c r="L48" s="97" t="s">
        <v>492</v>
      </c>
      <c r="M48" s="97" t="s">
        <v>493</v>
      </c>
      <c r="N48" s="97" t="s">
        <v>494</v>
      </c>
      <c r="O48" s="97" t="s">
        <v>508</v>
      </c>
      <c r="P48" s="97" t="s">
        <v>720</v>
      </c>
      <c r="Q48" s="97">
        <v>5993739.1304347822</v>
      </c>
      <c r="R48" s="97">
        <v>1</v>
      </c>
      <c r="S48" s="201">
        <v>68927240</v>
      </c>
      <c r="T48" s="97" t="s">
        <v>652</v>
      </c>
      <c r="U48" s="97" t="s">
        <v>58</v>
      </c>
      <c r="V48" s="202">
        <v>43112</v>
      </c>
      <c r="W48" s="97">
        <v>11.5</v>
      </c>
      <c r="X48" s="203" t="s">
        <v>721</v>
      </c>
      <c r="Y48" s="202">
        <v>43102</v>
      </c>
      <c r="Z48" s="97">
        <v>68928000</v>
      </c>
      <c r="AA48" s="97" t="s">
        <v>674</v>
      </c>
      <c r="AB48" s="204">
        <v>74</v>
      </c>
      <c r="AC48" s="192" t="s">
        <v>1513</v>
      </c>
      <c r="AD48" s="205">
        <v>68927240</v>
      </c>
      <c r="AE48" s="206">
        <f t="shared" si="0"/>
        <v>0</v>
      </c>
      <c r="AF48" s="204">
        <v>96</v>
      </c>
      <c r="AG48" s="186">
        <v>43116</v>
      </c>
      <c r="AH48" s="198">
        <v>68927240</v>
      </c>
      <c r="AI48" s="97" t="s">
        <v>1540</v>
      </c>
      <c r="AJ48" s="192">
        <v>145</v>
      </c>
      <c r="AK48" s="97"/>
      <c r="AL48" s="198">
        <v>32765412</v>
      </c>
      <c r="AM48" s="198">
        <v>36161828</v>
      </c>
      <c r="AN48" s="97" t="s">
        <v>712</v>
      </c>
      <c r="AO48" s="97"/>
      <c r="AP48" s="97" t="s">
        <v>674</v>
      </c>
      <c r="AQ48" s="202">
        <v>43277</v>
      </c>
      <c r="AR48" s="97" t="s">
        <v>675</v>
      </c>
      <c r="AS48" s="202">
        <v>43278</v>
      </c>
      <c r="AT48" s="97" t="s">
        <v>662</v>
      </c>
      <c r="AU48" s="97" t="s">
        <v>1540</v>
      </c>
      <c r="AV48" s="84"/>
      <c r="AW48" s="84"/>
      <c r="AX48" s="84"/>
    </row>
    <row r="49" spans="1:50" x14ac:dyDescent="0.2">
      <c r="A49" s="192">
        <v>20</v>
      </c>
      <c r="B49" s="192" t="s">
        <v>722</v>
      </c>
      <c r="C49" s="97" t="s">
        <v>644</v>
      </c>
      <c r="D49" s="97" t="s">
        <v>645</v>
      </c>
      <c r="E49" s="97" t="s">
        <v>677</v>
      </c>
      <c r="F49" s="97" t="s">
        <v>511</v>
      </c>
      <c r="G49" s="97" t="s">
        <v>512</v>
      </c>
      <c r="H49" s="97" t="s">
        <v>647</v>
      </c>
      <c r="I49" s="97" t="s">
        <v>54</v>
      </c>
      <c r="J49" s="97" t="s">
        <v>55</v>
      </c>
      <c r="K49" s="97">
        <v>80111600</v>
      </c>
      <c r="L49" s="97" t="s">
        <v>492</v>
      </c>
      <c r="M49" s="97" t="s">
        <v>493</v>
      </c>
      <c r="N49" s="97" t="s">
        <v>494</v>
      </c>
      <c r="O49" s="97" t="s">
        <v>508</v>
      </c>
      <c r="P49" s="97" t="s">
        <v>723</v>
      </c>
      <c r="Q49" s="97">
        <v>5665000</v>
      </c>
      <c r="R49" s="97">
        <v>1</v>
      </c>
      <c r="S49" s="201">
        <v>65147500</v>
      </c>
      <c r="T49" s="97" t="s">
        <v>652</v>
      </c>
      <c r="U49" s="97" t="s">
        <v>58</v>
      </c>
      <c r="V49" s="202">
        <v>43112</v>
      </c>
      <c r="W49" s="97">
        <v>11.5</v>
      </c>
      <c r="X49" s="203" t="s">
        <v>724</v>
      </c>
      <c r="Y49" s="202">
        <v>43102</v>
      </c>
      <c r="Z49" s="97">
        <v>65147500</v>
      </c>
      <c r="AA49" s="97"/>
      <c r="AB49" s="204">
        <v>75</v>
      </c>
      <c r="AC49" s="192" t="s">
        <v>1513</v>
      </c>
      <c r="AD49" s="205">
        <v>65147500</v>
      </c>
      <c r="AE49" s="206">
        <f t="shared" si="0"/>
        <v>0</v>
      </c>
      <c r="AF49" s="204">
        <v>72</v>
      </c>
      <c r="AG49" s="186">
        <v>43116</v>
      </c>
      <c r="AH49" s="198">
        <v>65147500</v>
      </c>
      <c r="AI49" s="97" t="s">
        <v>1541</v>
      </c>
      <c r="AJ49" s="192">
        <v>145</v>
      </c>
      <c r="AK49" s="97"/>
      <c r="AL49" s="198">
        <v>30968667</v>
      </c>
      <c r="AM49" s="198">
        <v>34178833</v>
      </c>
      <c r="AN49" s="97" t="s">
        <v>712</v>
      </c>
      <c r="AO49" s="97"/>
      <c r="AP49" s="97"/>
      <c r="AQ49" s="202"/>
      <c r="AR49" s="97"/>
      <c r="AS49" s="202"/>
      <c r="AT49" s="97"/>
      <c r="AU49" s="97" t="s">
        <v>1541</v>
      </c>
      <c r="AV49" s="84"/>
      <c r="AW49" s="84"/>
      <c r="AX49" s="84"/>
    </row>
    <row r="50" spans="1:50" x14ac:dyDescent="0.2">
      <c r="A50" s="192">
        <v>21</v>
      </c>
      <c r="B50" s="192" t="s">
        <v>725</v>
      </c>
      <c r="C50" s="97" t="s">
        <v>644</v>
      </c>
      <c r="D50" s="97" t="s">
        <v>645</v>
      </c>
      <c r="E50" s="97" t="s">
        <v>677</v>
      </c>
      <c r="F50" s="97" t="s">
        <v>511</v>
      </c>
      <c r="G50" s="97" t="s">
        <v>512</v>
      </c>
      <c r="H50" s="97" t="s">
        <v>647</v>
      </c>
      <c r="I50" s="97" t="s">
        <v>54</v>
      </c>
      <c r="J50" s="97" t="s">
        <v>55</v>
      </c>
      <c r="K50" s="97">
        <v>80111600</v>
      </c>
      <c r="L50" s="97" t="s">
        <v>492</v>
      </c>
      <c r="M50" s="97" t="s">
        <v>493</v>
      </c>
      <c r="N50" s="97" t="s">
        <v>494</v>
      </c>
      <c r="O50" s="97" t="s">
        <v>508</v>
      </c>
      <c r="P50" s="97" t="s">
        <v>726</v>
      </c>
      <c r="Q50" s="97">
        <v>5253043.4782608692</v>
      </c>
      <c r="R50" s="97">
        <v>1</v>
      </c>
      <c r="S50" s="201">
        <v>60409500</v>
      </c>
      <c r="T50" s="97" t="s">
        <v>652</v>
      </c>
      <c r="U50" s="97" t="s">
        <v>58</v>
      </c>
      <c r="V50" s="202">
        <v>43112</v>
      </c>
      <c r="W50" s="97">
        <v>11.5</v>
      </c>
      <c r="X50" s="203" t="s">
        <v>727</v>
      </c>
      <c r="Y50" s="202">
        <v>43102</v>
      </c>
      <c r="Z50" s="97">
        <v>60410000</v>
      </c>
      <c r="AA50" s="97" t="s">
        <v>674</v>
      </c>
      <c r="AB50" s="204">
        <v>76</v>
      </c>
      <c r="AC50" s="192" t="s">
        <v>1513</v>
      </c>
      <c r="AD50" s="205">
        <v>60409500</v>
      </c>
      <c r="AE50" s="206">
        <f t="shared" si="0"/>
        <v>0</v>
      </c>
      <c r="AF50" s="204">
        <v>98</v>
      </c>
      <c r="AG50" s="186">
        <v>43116</v>
      </c>
      <c r="AH50" s="198">
        <v>60409500</v>
      </c>
      <c r="AI50" s="97" t="s">
        <v>1542</v>
      </c>
      <c r="AJ50" s="192">
        <v>145</v>
      </c>
      <c r="AK50" s="97"/>
      <c r="AL50" s="198">
        <v>28716400</v>
      </c>
      <c r="AM50" s="198">
        <v>31693100</v>
      </c>
      <c r="AN50" s="97" t="s">
        <v>712</v>
      </c>
      <c r="AO50" s="97"/>
      <c r="AP50" s="97" t="s">
        <v>674</v>
      </c>
      <c r="AQ50" s="202">
        <v>43277</v>
      </c>
      <c r="AR50" s="97" t="s">
        <v>675</v>
      </c>
      <c r="AS50" s="202">
        <v>43278</v>
      </c>
      <c r="AT50" s="97" t="s">
        <v>662</v>
      </c>
      <c r="AU50" s="97" t="s">
        <v>1542</v>
      </c>
      <c r="AV50" s="84"/>
      <c r="AW50" s="84"/>
      <c r="AX50" s="84"/>
    </row>
    <row r="51" spans="1:50" x14ac:dyDescent="0.2">
      <c r="A51" s="192">
        <v>22</v>
      </c>
      <c r="B51" s="192" t="s">
        <v>728</v>
      </c>
      <c r="C51" s="97" t="s">
        <v>644</v>
      </c>
      <c r="D51" s="97" t="s">
        <v>645</v>
      </c>
      <c r="E51" s="97" t="s">
        <v>677</v>
      </c>
      <c r="F51" s="97" t="s">
        <v>511</v>
      </c>
      <c r="G51" s="97" t="s">
        <v>512</v>
      </c>
      <c r="H51" s="97" t="s">
        <v>647</v>
      </c>
      <c r="I51" s="97" t="s">
        <v>54</v>
      </c>
      <c r="J51" s="97" t="s">
        <v>55</v>
      </c>
      <c r="K51" s="97">
        <v>80111600</v>
      </c>
      <c r="L51" s="97" t="s">
        <v>492</v>
      </c>
      <c r="M51" s="97" t="s">
        <v>493</v>
      </c>
      <c r="N51" s="97" t="s">
        <v>494</v>
      </c>
      <c r="O51" s="97" t="s">
        <v>508</v>
      </c>
      <c r="P51" s="97" t="s">
        <v>729</v>
      </c>
      <c r="Q51" s="97">
        <v>5253000</v>
      </c>
      <c r="R51" s="97">
        <v>1</v>
      </c>
      <c r="S51" s="201">
        <v>60409500</v>
      </c>
      <c r="T51" s="97" t="s">
        <v>652</v>
      </c>
      <c r="U51" s="97" t="s">
        <v>58</v>
      </c>
      <c r="V51" s="202">
        <v>43112</v>
      </c>
      <c r="W51" s="97">
        <v>11.5</v>
      </c>
      <c r="X51" s="203" t="s">
        <v>730</v>
      </c>
      <c r="Y51" s="202">
        <v>43102</v>
      </c>
      <c r="Z51" s="97">
        <v>60409500</v>
      </c>
      <c r="AA51" s="97"/>
      <c r="AB51" s="204">
        <v>77</v>
      </c>
      <c r="AC51" s="192" t="s">
        <v>1513</v>
      </c>
      <c r="AD51" s="205">
        <v>60409500</v>
      </c>
      <c r="AE51" s="206">
        <f t="shared" si="0"/>
        <v>0</v>
      </c>
      <c r="AF51" s="204">
        <v>131</v>
      </c>
      <c r="AG51" s="186">
        <v>43117</v>
      </c>
      <c r="AH51" s="198">
        <v>60409500</v>
      </c>
      <c r="AI51" s="97" t="s">
        <v>1543</v>
      </c>
      <c r="AJ51" s="192">
        <v>145</v>
      </c>
      <c r="AK51" s="97"/>
      <c r="AL51" s="198">
        <v>28541300</v>
      </c>
      <c r="AM51" s="198">
        <v>31868200</v>
      </c>
      <c r="AN51" s="97" t="s">
        <v>712</v>
      </c>
      <c r="AO51" s="97"/>
      <c r="AP51" s="97"/>
      <c r="AQ51" s="202"/>
      <c r="AR51" s="97"/>
      <c r="AS51" s="202"/>
      <c r="AT51" s="97"/>
      <c r="AU51" s="97" t="s">
        <v>1544</v>
      </c>
      <c r="AV51" s="84"/>
      <c r="AW51" s="84"/>
      <c r="AX51" s="84"/>
    </row>
    <row r="52" spans="1:50" x14ac:dyDescent="0.2">
      <c r="A52" s="192">
        <v>23</v>
      </c>
      <c r="B52" s="192" t="s">
        <v>731</v>
      </c>
      <c r="C52" s="97" t="s">
        <v>644</v>
      </c>
      <c r="D52" s="97" t="s">
        <v>645</v>
      </c>
      <c r="E52" s="97" t="s">
        <v>677</v>
      </c>
      <c r="F52" s="97" t="s">
        <v>511</v>
      </c>
      <c r="G52" s="97" t="s">
        <v>512</v>
      </c>
      <c r="H52" s="97" t="s">
        <v>647</v>
      </c>
      <c r="I52" s="97" t="s">
        <v>54</v>
      </c>
      <c r="J52" s="97" t="s">
        <v>55</v>
      </c>
      <c r="K52" s="97">
        <v>80111600</v>
      </c>
      <c r="L52" s="97" t="s">
        <v>492</v>
      </c>
      <c r="M52" s="97" t="s">
        <v>493</v>
      </c>
      <c r="N52" s="97" t="s">
        <v>494</v>
      </c>
      <c r="O52" s="97" t="s">
        <v>508</v>
      </c>
      <c r="P52" s="97" t="s">
        <v>732</v>
      </c>
      <c r="Q52" s="97">
        <v>3553500</v>
      </c>
      <c r="R52" s="97">
        <v>1</v>
      </c>
      <c r="S52" s="201">
        <v>40865250</v>
      </c>
      <c r="T52" s="97" t="s">
        <v>652</v>
      </c>
      <c r="U52" s="97" t="s">
        <v>58</v>
      </c>
      <c r="V52" s="202">
        <v>43112</v>
      </c>
      <c r="W52" s="97">
        <v>11.5</v>
      </c>
      <c r="X52" s="203" t="s">
        <v>733</v>
      </c>
      <c r="Y52" s="202">
        <v>43102</v>
      </c>
      <c r="Z52" s="97">
        <v>40865250</v>
      </c>
      <c r="AA52" s="97"/>
      <c r="AB52" s="204">
        <v>78</v>
      </c>
      <c r="AC52" s="192" t="s">
        <v>1513</v>
      </c>
      <c r="AD52" s="205">
        <v>40865250</v>
      </c>
      <c r="AE52" s="206">
        <f t="shared" si="0"/>
        <v>0</v>
      </c>
      <c r="AF52" s="204">
        <v>58</v>
      </c>
      <c r="AG52" s="186">
        <v>43116</v>
      </c>
      <c r="AH52" s="198">
        <v>40865250</v>
      </c>
      <c r="AI52" s="97" t="s">
        <v>1545</v>
      </c>
      <c r="AJ52" s="192">
        <v>145</v>
      </c>
      <c r="AK52" s="97"/>
      <c r="AL52" s="198">
        <v>18952000</v>
      </c>
      <c r="AM52" s="198">
        <v>21913250</v>
      </c>
      <c r="AN52" s="97" t="s">
        <v>116</v>
      </c>
      <c r="AO52" s="97"/>
      <c r="AP52" s="97"/>
      <c r="AQ52" s="202"/>
      <c r="AR52" s="97"/>
      <c r="AS52" s="202"/>
      <c r="AT52" s="97"/>
      <c r="AU52" s="97" t="s">
        <v>1545</v>
      </c>
      <c r="AV52" s="84"/>
      <c r="AW52" s="84"/>
      <c r="AX52" s="84"/>
    </row>
    <row r="53" spans="1:50" x14ac:dyDescent="0.2">
      <c r="A53" s="192">
        <v>24</v>
      </c>
      <c r="B53" s="192" t="s">
        <v>734</v>
      </c>
      <c r="C53" s="97" t="s">
        <v>644</v>
      </c>
      <c r="D53" s="97" t="s">
        <v>645</v>
      </c>
      <c r="E53" s="97" t="s">
        <v>646</v>
      </c>
      <c r="F53" s="97" t="s">
        <v>511</v>
      </c>
      <c r="G53" s="97" t="s">
        <v>512</v>
      </c>
      <c r="H53" s="97" t="s">
        <v>647</v>
      </c>
      <c r="I53" s="97" t="s">
        <v>54</v>
      </c>
      <c r="J53" s="97" t="s">
        <v>55</v>
      </c>
      <c r="K53" s="97">
        <v>80111600</v>
      </c>
      <c r="L53" s="97" t="s">
        <v>492</v>
      </c>
      <c r="M53" s="97" t="s">
        <v>493</v>
      </c>
      <c r="N53" s="97" t="s">
        <v>494</v>
      </c>
      <c r="O53" s="97" t="s">
        <v>508</v>
      </c>
      <c r="P53" s="97" t="s">
        <v>735</v>
      </c>
      <c r="Q53" s="97">
        <v>6180000</v>
      </c>
      <c r="R53" s="97">
        <v>1</v>
      </c>
      <c r="S53" s="201">
        <v>71070000</v>
      </c>
      <c r="T53" s="97" t="s">
        <v>652</v>
      </c>
      <c r="U53" s="97" t="s">
        <v>58</v>
      </c>
      <c r="V53" s="202">
        <v>43112</v>
      </c>
      <c r="W53" s="97">
        <v>11.5</v>
      </c>
      <c r="X53" s="203" t="s">
        <v>736</v>
      </c>
      <c r="Y53" s="202">
        <v>43102</v>
      </c>
      <c r="Z53" s="97">
        <v>71070000</v>
      </c>
      <c r="AA53" s="97"/>
      <c r="AB53" s="204">
        <v>79</v>
      </c>
      <c r="AC53" s="192" t="s">
        <v>1513</v>
      </c>
      <c r="AD53" s="205">
        <v>71070000</v>
      </c>
      <c r="AE53" s="206">
        <f t="shared" si="0"/>
        <v>0</v>
      </c>
      <c r="AF53" s="204">
        <v>53</v>
      </c>
      <c r="AG53" s="186">
        <v>43116</v>
      </c>
      <c r="AH53" s="198">
        <v>71070000</v>
      </c>
      <c r="AI53" s="97" t="s">
        <v>1546</v>
      </c>
      <c r="AJ53" s="192">
        <v>145</v>
      </c>
      <c r="AK53" s="97"/>
      <c r="AL53" s="198">
        <v>33784000</v>
      </c>
      <c r="AM53" s="198">
        <v>37286000</v>
      </c>
      <c r="AN53" s="97" t="s">
        <v>116</v>
      </c>
      <c r="AO53" s="97"/>
      <c r="AP53" s="97"/>
      <c r="AQ53" s="202"/>
      <c r="AR53" s="97"/>
      <c r="AS53" s="202"/>
      <c r="AT53" s="97"/>
      <c r="AU53" s="97" t="s">
        <v>1547</v>
      </c>
      <c r="AV53" s="84"/>
      <c r="AW53" s="84"/>
      <c r="AX53" s="84"/>
    </row>
    <row r="54" spans="1:50" x14ac:dyDescent="0.2">
      <c r="A54" s="192">
        <v>25</v>
      </c>
      <c r="B54" s="192" t="s">
        <v>737</v>
      </c>
      <c r="C54" s="97" t="s">
        <v>644</v>
      </c>
      <c r="D54" s="97" t="s">
        <v>645</v>
      </c>
      <c r="E54" s="97" t="s">
        <v>646</v>
      </c>
      <c r="F54" s="97" t="s">
        <v>511</v>
      </c>
      <c r="G54" s="97" t="s">
        <v>512</v>
      </c>
      <c r="H54" s="97" t="s">
        <v>647</v>
      </c>
      <c r="I54" s="97" t="s">
        <v>54</v>
      </c>
      <c r="J54" s="97" t="s">
        <v>55</v>
      </c>
      <c r="K54" s="97">
        <v>80111600</v>
      </c>
      <c r="L54" s="97" t="s">
        <v>492</v>
      </c>
      <c r="M54" s="97" t="s">
        <v>493</v>
      </c>
      <c r="N54" s="97" t="s">
        <v>494</v>
      </c>
      <c r="O54" s="97" t="s">
        <v>508</v>
      </c>
      <c r="P54" s="97" t="s">
        <v>738</v>
      </c>
      <c r="Q54" s="97">
        <v>7210000</v>
      </c>
      <c r="R54" s="97">
        <v>1</v>
      </c>
      <c r="S54" s="201">
        <v>82915000</v>
      </c>
      <c r="T54" s="97" t="s">
        <v>652</v>
      </c>
      <c r="U54" s="97" t="s">
        <v>58</v>
      </c>
      <c r="V54" s="202">
        <v>43112</v>
      </c>
      <c r="W54" s="97">
        <v>11.5</v>
      </c>
      <c r="X54" s="203" t="s">
        <v>739</v>
      </c>
      <c r="Y54" s="202">
        <v>43102</v>
      </c>
      <c r="Z54" s="97">
        <v>82915000</v>
      </c>
      <c r="AA54" s="97"/>
      <c r="AB54" s="204">
        <v>80</v>
      </c>
      <c r="AC54" s="192" t="s">
        <v>1513</v>
      </c>
      <c r="AD54" s="205">
        <v>82915000</v>
      </c>
      <c r="AE54" s="206">
        <f t="shared" si="0"/>
        <v>0</v>
      </c>
      <c r="AF54" s="204">
        <v>39</v>
      </c>
      <c r="AG54" s="186">
        <v>43116</v>
      </c>
      <c r="AH54" s="198">
        <v>82915000</v>
      </c>
      <c r="AI54" s="97" t="s">
        <v>1548</v>
      </c>
      <c r="AJ54" s="192">
        <v>145</v>
      </c>
      <c r="AK54" s="97"/>
      <c r="AL54" s="198">
        <v>39414667</v>
      </c>
      <c r="AM54" s="198">
        <v>43500333</v>
      </c>
      <c r="AN54" s="97" t="s">
        <v>116</v>
      </c>
      <c r="AO54" s="97"/>
      <c r="AP54" s="97"/>
      <c r="AQ54" s="202"/>
      <c r="AR54" s="97"/>
      <c r="AS54" s="202"/>
      <c r="AT54" s="97"/>
      <c r="AU54" s="97" t="s">
        <v>1549</v>
      </c>
      <c r="AV54" s="84"/>
      <c r="AW54" s="84"/>
      <c r="AX54" s="84"/>
    </row>
    <row r="55" spans="1:50" x14ac:dyDescent="0.2">
      <c r="A55" s="192">
        <v>26</v>
      </c>
      <c r="B55" s="192" t="s">
        <v>740</v>
      </c>
      <c r="C55" s="97" t="s">
        <v>644</v>
      </c>
      <c r="D55" s="97" t="s">
        <v>645</v>
      </c>
      <c r="E55" s="97" t="s">
        <v>677</v>
      </c>
      <c r="F55" s="97" t="s">
        <v>511</v>
      </c>
      <c r="G55" s="97" t="s">
        <v>512</v>
      </c>
      <c r="H55" s="97" t="s">
        <v>647</v>
      </c>
      <c r="I55" s="97" t="s">
        <v>54</v>
      </c>
      <c r="J55" s="97" t="s">
        <v>55</v>
      </c>
      <c r="K55" s="97">
        <v>80111600</v>
      </c>
      <c r="L55" s="97" t="s">
        <v>492</v>
      </c>
      <c r="M55" s="97" t="s">
        <v>493</v>
      </c>
      <c r="N55" s="97" t="s">
        <v>494</v>
      </c>
      <c r="O55" s="97" t="s">
        <v>508</v>
      </c>
      <c r="P55" s="97" t="s">
        <v>741</v>
      </c>
      <c r="Q55" s="97">
        <v>7210000</v>
      </c>
      <c r="R55" s="97">
        <v>1</v>
      </c>
      <c r="S55" s="201">
        <v>82915000</v>
      </c>
      <c r="T55" s="97" t="s">
        <v>652</v>
      </c>
      <c r="U55" s="97" t="s">
        <v>58</v>
      </c>
      <c r="V55" s="202">
        <v>43112</v>
      </c>
      <c r="W55" s="97">
        <v>11.5</v>
      </c>
      <c r="X55" s="203" t="s">
        <v>742</v>
      </c>
      <c r="Y55" s="202">
        <v>43102</v>
      </c>
      <c r="Z55" s="97">
        <v>82915000</v>
      </c>
      <c r="AA55" s="97"/>
      <c r="AB55" s="204">
        <v>81</v>
      </c>
      <c r="AC55" s="192" t="s">
        <v>1513</v>
      </c>
      <c r="AD55" s="205">
        <v>82915000</v>
      </c>
      <c r="AE55" s="206">
        <f t="shared" si="0"/>
        <v>0</v>
      </c>
      <c r="AF55" s="204">
        <v>56</v>
      </c>
      <c r="AG55" s="186">
        <v>43116</v>
      </c>
      <c r="AH55" s="198">
        <v>82915000</v>
      </c>
      <c r="AI55" s="97" t="s">
        <v>1550</v>
      </c>
      <c r="AJ55" s="192">
        <v>145</v>
      </c>
      <c r="AK55" s="97"/>
      <c r="AL55" s="198">
        <v>39414667</v>
      </c>
      <c r="AM55" s="198">
        <v>43500333</v>
      </c>
      <c r="AN55" s="97" t="s">
        <v>116</v>
      </c>
      <c r="AO55" s="97"/>
      <c r="AP55" s="97"/>
      <c r="AQ55" s="202"/>
      <c r="AR55" s="97"/>
      <c r="AS55" s="202"/>
      <c r="AT55" s="97"/>
      <c r="AU55" s="97" t="s">
        <v>1551</v>
      </c>
      <c r="AV55" s="84"/>
      <c r="AW55" s="84"/>
      <c r="AX55" s="84"/>
    </row>
    <row r="56" spans="1:50" x14ac:dyDescent="0.2">
      <c r="A56" s="192">
        <v>27</v>
      </c>
      <c r="B56" s="192" t="s">
        <v>743</v>
      </c>
      <c r="C56" s="97" t="s">
        <v>644</v>
      </c>
      <c r="D56" s="97" t="s">
        <v>645</v>
      </c>
      <c r="E56" s="97" t="s">
        <v>677</v>
      </c>
      <c r="F56" s="97" t="s">
        <v>511</v>
      </c>
      <c r="G56" s="97" t="s">
        <v>512</v>
      </c>
      <c r="H56" s="97" t="s">
        <v>647</v>
      </c>
      <c r="I56" s="97" t="s">
        <v>54</v>
      </c>
      <c r="J56" s="97" t="s">
        <v>55</v>
      </c>
      <c r="K56" s="97">
        <v>80111600</v>
      </c>
      <c r="L56" s="97" t="s">
        <v>492</v>
      </c>
      <c r="M56" s="97" t="s">
        <v>493</v>
      </c>
      <c r="N56" s="97" t="s">
        <v>494</v>
      </c>
      <c r="O56" s="97" t="s">
        <v>508</v>
      </c>
      <c r="P56" s="97" t="s">
        <v>744</v>
      </c>
      <c r="Q56" s="97">
        <v>7210000</v>
      </c>
      <c r="R56" s="97">
        <v>43612167</v>
      </c>
      <c r="S56" s="201">
        <v>48890667</v>
      </c>
      <c r="T56" s="97" t="s">
        <v>652</v>
      </c>
      <c r="U56" s="97" t="s">
        <v>58</v>
      </c>
      <c r="V56" s="202">
        <v>43277</v>
      </c>
      <c r="W56" s="97">
        <v>5.93</v>
      </c>
      <c r="X56" s="203" t="s">
        <v>1552</v>
      </c>
      <c r="Y56" s="202">
        <v>43278</v>
      </c>
      <c r="Z56" s="97">
        <v>48890667</v>
      </c>
      <c r="AA56" s="97" t="s">
        <v>745</v>
      </c>
      <c r="AB56" s="192">
        <v>927</v>
      </c>
      <c r="AC56" s="208">
        <v>43279</v>
      </c>
      <c r="AD56" s="198">
        <v>48890667</v>
      </c>
      <c r="AE56" s="206">
        <f t="shared" si="0"/>
        <v>0</v>
      </c>
      <c r="AF56" s="204">
        <v>2435</v>
      </c>
      <c r="AG56" s="186">
        <v>43286</v>
      </c>
      <c r="AH56" s="198">
        <v>48890667</v>
      </c>
      <c r="AI56" s="97" t="s">
        <v>1553</v>
      </c>
      <c r="AJ56" s="192">
        <v>145</v>
      </c>
      <c r="AK56" s="97"/>
      <c r="AL56" s="198">
        <v>0</v>
      </c>
      <c r="AM56" s="198">
        <v>48890667</v>
      </c>
      <c r="AN56" s="97" t="s">
        <v>116</v>
      </c>
      <c r="AO56" s="97"/>
      <c r="AP56" s="97" t="s">
        <v>746</v>
      </c>
      <c r="AQ56" s="202">
        <v>43277</v>
      </c>
      <c r="AR56" s="97" t="s">
        <v>146</v>
      </c>
      <c r="AS56" s="202">
        <v>43278</v>
      </c>
      <c r="AT56" s="97" t="s">
        <v>747</v>
      </c>
      <c r="AU56" s="97" t="s">
        <v>1554</v>
      </c>
      <c r="AV56" s="84"/>
      <c r="AW56" s="84"/>
      <c r="AX56" s="84"/>
    </row>
    <row r="57" spans="1:50" x14ac:dyDescent="0.2">
      <c r="A57" s="192">
        <v>28</v>
      </c>
      <c r="B57" s="192" t="s">
        <v>748</v>
      </c>
      <c r="C57" s="97" t="s">
        <v>644</v>
      </c>
      <c r="D57" s="97" t="s">
        <v>645</v>
      </c>
      <c r="E57" s="97" t="s">
        <v>677</v>
      </c>
      <c r="F57" s="97" t="s">
        <v>511</v>
      </c>
      <c r="G57" s="97" t="s">
        <v>512</v>
      </c>
      <c r="H57" s="97" t="s">
        <v>647</v>
      </c>
      <c r="I57" s="97" t="s">
        <v>54</v>
      </c>
      <c r="J57" s="97" t="s">
        <v>55</v>
      </c>
      <c r="K57" s="97">
        <v>80111600</v>
      </c>
      <c r="L57" s="97" t="s">
        <v>492</v>
      </c>
      <c r="M57" s="97" t="s">
        <v>493</v>
      </c>
      <c r="N57" s="97" t="s">
        <v>494</v>
      </c>
      <c r="O57" s="97" t="s">
        <v>508</v>
      </c>
      <c r="P57" s="97" t="s">
        <v>749</v>
      </c>
      <c r="Q57" s="97">
        <v>6695000</v>
      </c>
      <c r="R57" s="97">
        <v>1</v>
      </c>
      <c r="S57" s="201">
        <v>76992500</v>
      </c>
      <c r="T57" s="97" t="s">
        <v>652</v>
      </c>
      <c r="U57" s="97" t="s">
        <v>58</v>
      </c>
      <c r="V57" s="202">
        <v>43112</v>
      </c>
      <c r="W57" s="97">
        <v>11.5</v>
      </c>
      <c r="X57" s="203" t="s">
        <v>750</v>
      </c>
      <c r="Y57" s="202">
        <v>43102</v>
      </c>
      <c r="Z57" s="97">
        <v>76992500</v>
      </c>
      <c r="AA57" s="97"/>
      <c r="AB57" s="204">
        <v>82</v>
      </c>
      <c r="AC57" s="192" t="s">
        <v>1513</v>
      </c>
      <c r="AD57" s="205">
        <v>76992500</v>
      </c>
      <c r="AE57" s="206">
        <f t="shared" si="0"/>
        <v>0</v>
      </c>
      <c r="AF57" s="204">
        <v>57</v>
      </c>
      <c r="AG57" s="186">
        <v>43116</v>
      </c>
      <c r="AH57" s="198">
        <v>76992500</v>
      </c>
      <c r="AI57" s="97" t="s">
        <v>1555</v>
      </c>
      <c r="AJ57" s="192">
        <v>145</v>
      </c>
      <c r="AK57" s="97"/>
      <c r="AL57" s="198">
        <v>36599333</v>
      </c>
      <c r="AM57" s="198">
        <v>40393167</v>
      </c>
      <c r="AN57" s="97" t="s">
        <v>116</v>
      </c>
      <c r="AO57" s="97"/>
      <c r="AP57" s="97"/>
      <c r="AQ57" s="202"/>
      <c r="AR57" s="97"/>
      <c r="AS57" s="202"/>
      <c r="AT57" s="97"/>
      <c r="AU57" s="97" t="s">
        <v>1555</v>
      </c>
      <c r="AV57" s="84"/>
      <c r="AW57" s="84"/>
      <c r="AX57" s="84"/>
    </row>
    <row r="58" spans="1:50" x14ac:dyDescent="0.2">
      <c r="A58" s="192">
        <v>29</v>
      </c>
      <c r="B58" s="192" t="s">
        <v>751</v>
      </c>
      <c r="C58" s="97" t="s">
        <v>644</v>
      </c>
      <c r="D58" s="97" t="s">
        <v>645</v>
      </c>
      <c r="E58" s="97" t="s">
        <v>677</v>
      </c>
      <c r="F58" s="97" t="s">
        <v>511</v>
      </c>
      <c r="G58" s="97" t="s">
        <v>512</v>
      </c>
      <c r="H58" s="97" t="s">
        <v>647</v>
      </c>
      <c r="I58" s="97" t="s">
        <v>54</v>
      </c>
      <c r="J58" s="97" t="s">
        <v>55</v>
      </c>
      <c r="K58" s="97">
        <v>80111600</v>
      </c>
      <c r="L58" s="97" t="s">
        <v>492</v>
      </c>
      <c r="M58" s="97" t="s">
        <v>493</v>
      </c>
      <c r="N58" s="97" t="s">
        <v>494</v>
      </c>
      <c r="O58" s="97" t="s">
        <v>508</v>
      </c>
      <c r="P58" s="97" t="s">
        <v>735</v>
      </c>
      <c r="Q58" s="97">
        <v>6180000</v>
      </c>
      <c r="R58" s="97">
        <v>1</v>
      </c>
      <c r="S58" s="201">
        <v>76992500</v>
      </c>
      <c r="T58" s="97" t="s">
        <v>652</v>
      </c>
      <c r="U58" s="97" t="s">
        <v>58</v>
      </c>
      <c r="V58" s="202">
        <v>43112</v>
      </c>
      <c r="W58" s="97">
        <v>11.5</v>
      </c>
      <c r="X58" s="203" t="s">
        <v>1556</v>
      </c>
      <c r="Y58" s="202">
        <v>43109</v>
      </c>
      <c r="Z58" s="97">
        <v>76992500</v>
      </c>
      <c r="AA58" s="97" t="s">
        <v>752</v>
      </c>
      <c r="AB58" s="204">
        <v>442</v>
      </c>
      <c r="AC58" s="192" t="s">
        <v>1505</v>
      </c>
      <c r="AD58" s="205">
        <v>76992500</v>
      </c>
      <c r="AE58" s="206">
        <f t="shared" si="0"/>
        <v>0</v>
      </c>
      <c r="AF58" s="204">
        <v>50</v>
      </c>
      <c r="AG58" s="186">
        <v>43116</v>
      </c>
      <c r="AH58" s="198">
        <v>76992500</v>
      </c>
      <c r="AI58" s="97" t="s">
        <v>1557</v>
      </c>
      <c r="AJ58" s="192">
        <v>145</v>
      </c>
      <c r="AK58" s="97"/>
      <c r="AL58" s="198">
        <v>36599333</v>
      </c>
      <c r="AM58" s="198">
        <v>40393167</v>
      </c>
      <c r="AN58" s="97" t="s">
        <v>116</v>
      </c>
      <c r="AO58" s="97"/>
      <c r="AP58" s="97"/>
      <c r="AQ58" s="202">
        <v>43109</v>
      </c>
      <c r="AR58" s="97" t="s">
        <v>753</v>
      </c>
      <c r="AS58" s="202">
        <v>43109</v>
      </c>
      <c r="AT58" s="97"/>
      <c r="AU58" s="97" t="s">
        <v>1557</v>
      </c>
      <c r="AV58" s="84"/>
      <c r="AW58" s="84"/>
      <c r="AX58" s="84"/>
    </row>
    <row r="59" spans="1:50" x14ac:dyDescent="0.2">
      <c r="A59" s="192">
        <v>30</v>
      </c>
      <c r="B59" s="192" t="s">
        <v>754</v>
      </c>
      <c r="C59" s="97" t="s">
        <v>644</v>
      </c>
      <c r="D59" s="97" t="s">
        <v>645</v>
      </c>
      <c r="E59" s="97" t="s">
        <v>677</v>
      </c>
      <c r="F59" s="97" t="s">
        <v>511</v>
      </c>
      <c r="G59" s="97" t="s">
        <v>512</v>
      </c>
      <c r="H59" s="97" t="s">
        <v>647</v>
      </c>
      <c r="I59" s="97" t="s">
        <v>54</v>
      </c>
      <c r="J59" s="97" t="s">
        <v>55</v>
      </c>
      <c r="K59" s="97">
        <v>80111600</v>
      </c>
      <c r="L59" s="97" t="s">
        <v>492</v>
      </c>
      <c r="M59" s="97" t="s">
        <v>493</v>
      </c>
      <c r="N59" s="97" t="s">
        <v>494</v>
      </c>
      <c r="O59" s="97" t="s">
        <v>508</v>
      </c>
      <c r="P59" s="97" t="s">
        <v>735</v>
      </c>
      <c r="Q59" s="97">
        <v>7210000</v>
      </c>
      <c r="R59" s="97">
        <v>1</v>
      </c>
      <c r="S59" s="201">
        <v>82915000</v>
      </c>
      <c r="T59" s="97" t="s">
        <v>652</v>
      </c>
      <c r="U59" s="97" t="s">
        <v>58</v>
      </c>
      <c r="V59" s="202">
        <v>43112</v>
      </c>
      <c r="W59" s="97">
        <v>11.5</v>
      </c>
      <c r="X59" s="203" t="s">
        <v>755</v>
      </c>
      <c r="Y59" s="202" t="s">
        <v>756</v>
      </c>
      <c r="Z59" s="97">
        <v>82915000</v>
      </c>
      <c r="AA59" s="97"/>
      <c r="AB59" s="204">
        <v>84</v>
      </c>
      <c r="AC59" s="192" t="s">
        <v>1513</v>
      </c>
      <c r="AD59" s="205">
        <v>82915000</v>
      </c>
      <c r="AE59" s="206">
        <f t="shared" si="0"/>
        <v>0</v>
      </c>
      <c r="AF59" s="204">
        <v>452</v>
      </c>
      <c r="AG59" s="186">
        <v>43125</v>
      </c>
      <c r="AH59" s="198">
        <v>82915000</v>
      </c>
      <c r="AI59" s="97" t="s">
        <v>1558</v>
      </c>
      <c r="AJ59" s="192">
        <v>145</v>
      </c>
      <c r="AK59" s="97"/>
      <c r="AL59" s="198">
        <v>37251667</v>
      </c>
      <c r="AM59" s="198">
        <v>45663333</v>
      </c>
      <c r="AN59" s="97" t="s">
        <v>116</v>
      </c>
      <c r="AO59" s="97"/>
      <c r="AP59" s="97"/>
      <c r="AQ59" s="202"/>
      <c r="AR59" s="97"/>
      <c r="AS59" s="202"/>
      <c r="AT59" s="97"/>
      <c r="AU59" s="97" t="s">
        <v>1559</v>
      </c>
      <c r="AV59" s="84"/>
      <c r="AW59" s="84"/>
      <c r="AX59" s="84"/>
    </row>
    <row r="60" spans="1:50" x14ac:dyDescent="0.2">
      <c r="A60" s="192">
        <v>31</v>
      </c>
      <c r="B60" s="192" t="s">
        <v>757</v>
      </c>
      <c r="C60" s="97" t="s">
        <v>644</v>
      </c>
      <c r="D60" s="97" t="s">
        <v>645</v>
      </c>
      <c r="E60" s="97" t="s">
        <v>677</v>
      </c>
      <c r="F60" s="97" t="s">
        <v>511</v>
      </c>
      <c r="G60" s="97" t="s">
        <v>512</v>
      </c>
      <c r="H60" s="97" t="s">
        <v>647</v>
      </c>
      <c r="I60" s="97" t="s">
        <v>54</v>
      </c>
      <c r="J60" s="97" t="s">
        <v>55</v>
      </c>
      <c r="K60" s="97">
        <v>80111600</v>
      </c>
      <c r="L60" s="97" t="s">
        <v>492</v>
      </c>
      <c r="M60" s="97" t="s">
        <v>493</v>
      </c>
      <c r="N60" s="97" t="s">
        <v>494</v>
      </c>
      <c r="O60" s="97" t="s">
        <v>508</v>
      </c>
      <c r="P60" s="97" t="s">
        <v>758</v>
      </c>
      <c r="Q60" s="97">
        <v>10300000</v>
      </c>
      <c r="R60" s="97">
        <v>1</v>
      </c>
      <c r="S60" s="201">
        <v>113300000</v>
      </c>
      <c r="T60" s="97" t="s">
        <v>652</v>
      </c>
      <c r="U60" s="97" t="s">
        <v>58</v>
      </c>
      <c r="V60" s="202">
        <v>43112</v>
      </c>
      <c r="W60" s="97">
        <v>11</v>
      </c>
      <c r="X60" s="203" t="s">
        <v>759</v>
      </c>
      <c r="Y60" s="202" t="s">
        <v>756</v>
      </c>
      <c r="Z60" s="97">
        <v>113300000</v>
      </c>
      <c r="AA60" s="97"/>
      <c r="AB60" s="204">
        <v>29</v>
      </c>
      <c r="AC60" s="192" t="s">
        <v>756</v>
      </c>
      <c r="AD60" s="205">
        <v>113300000</v>
      </c>
      <c r="AE60" s="206">
        <f t="shared" si="0"/>
        <v>0</v>
      </c>
      <c r="AF60" s="204">
        <v>1</v>
      </c>
      <c r="AG60" s="186">
        <v>43105</v>
      </c>
      <c r="AH60" s="198">
        <v>113300000</v>
      </c>
      <c r="AI60" s="97" t="s">
        <v>1560</v>
      </c>
      <c r="AJ60" s="192">
        <v>145</v>
      </c>
      <c r="AK60" s="97"/>
      <c r="AL60" s="198">
        <v>60426667</v>
      </c>
      <c r="AM60" s="198">
        <v>52873333</v>
      </c>
      <c r="AN60" s="97" t="s">
        <v>116</v>
      </c>
      <c r="AO60" s="97"/>
      <c r="AP60" s="97"/>
      <c r="AQ60" s="202"/>
      <c r="AR60" s="97"/>
      <c r="AS60" s="202"/>
      <c r="AT60" s="97"/>
      <c r="AU60" s="97" t="s">
        <v>760</v>
      </c>
      <c r="AV60" s="84"/>
      <c r="AW60" s="84"/>
      <c r="AX60" s="84"/>
    </row>
    <row r="61" spans="1:50" x14ac:dyDescent="0.2">
      <c r="A61" s="192">
        <v>32</v>
      </c>
      <c r="B61" s="192" t="s">
        <v>761</v>
      </c>
      <c r="C61" s="97" t="s">
        <v>644</v>
      </c>
      <c r="D61" s="97" t="s">
        <v>645</v>
      </c>
      <c r="E61" s="97" t="s">
        <v>646</v>
      </c>
      <c r="F61" s="97" t="s">
        <v>511</v>
      </c>
      <c r="G61" s="97" t="s">
        <v>512</v>
      </c>
      <c r="H61" s="97" t="s">
        <v>647</v>
      </c>
      <c r="I61" s="97" t="s">
        <v>54</v>
      </c>
      <c r="J61" s="97" t="s">
        <v>55</v>
      </c>
      <c r="K61" s="97">
        <v>80111600</v>
      </c>
      <c r="L61" s="97" t="s">
        <v>492</v>
      </c>
      <c r="M61" s="97" t="s">
        <v>493</v>
      </c>
      <c r="N61" s="97" t="s">
        <v>494</v>
      </c>
      <c r="O61" s="97" t="s">
        <v>508</v>
      </c>
      <c r="P61" s="97" t="s">
        <v>762</v>
      </c>
      <c r="Q61" s="97">
        <v>10300000</v>
      </c>
      <c r="R61" s="97">
        <v>1</v>
      </c>
      <c r="S61" s="201">
        <v>113300000</v>
      </c>
      <c r="T61" s="97" t="s">
        <v>652</v>
      </c>
      <c r="U61" s="97" t="s">
        <v>58</v>
      </c>
      <c r="V61" s="202">
        <v>43112</v>
      </c>
      <c r="W61" s="97">
        <v>11</v>
      </c>
      <c r="X61" s="203" t="s">
        <v>763</v>
      </c>
      <c r="Y61" s="202" t="s">
        <v>756</v>
      </c>
      <c r="Z61" s="97">
        <v>113300000</v>
      </c>
      <c r="AA61" s="97"/>
      <c r="AB61" s="204">
        <v>85</v>
      </c>
      <c r="AC61" s="192" t="s">
        <v>1513</v>
      </c>
      <c r="AD61" s="205">
        <v>113300000</v>
      </c>
      <c r="AE61" s="206">
        <f t="shared" si="0"/>
        <v>0</v>
      </c>
      <c r="AF61" s="204">
        <v>93</v>
      </c>
      <c r="AG61" s="186">
        <v>43116</v>
      </c>
      <c r="AH61" s="198">
        <v>113300000</v>
      </c>
      <c r="AI61" s="97" t="s">
        <v>1561</v>
      </c>
      <c r="AJ61" s="192">
        <v>145</v>
      </c>
      <c r="AK61" s="97"/>
      <c r="AL61" s="198">
        <v>56306667</v>
      </c>
      <c r="AM61" s="198">
        <v>56993333</v>
      </c>
      <c r="AN61" s="97" t="s">
        <v>116</v>
      </c>
      <c r="AO61" s="97"/>
      <c r="AP61" s="97"/>
      <c r="AQ61" s="202"/>
      <c r="AR61" s="97"/>
      <c r="AS61" s="202"/>
      <c r="AT61" s="97"/>
      <c r="AU61" s="97" t="s">
        <v>1561</v>
      </c>
      <c r="AV61" s="84"/>
      <c r="AW61" s="84"/>
      <c r="AX61" s="84"/>
    </row>
    <row r="62" spans="1:50" x14ac:dyDescent="0.2">
      <c r="A62" s="192">
        <v>33</v>
      </c>
      <c r="B62" s="192" t="s">
        <v>764</v>
      </c>
      <c r="C62" s="97" t="s">
        <v>644</v>
      </c>
      <c r="D62" s="97" t="s">
        <v>645</v>
      </c>
      <c r="E62" s="97" t="s">
        <v>677</v>
      </c>
      <c r="F62" s="97" t="s">
        <v>511</v>
      </c>
      <c r="G62" s="97" t="s">
        <v>512</v>
      </c>
      <c r="H62" s="97" t="s">
        <v>647</v>
      </c>
      <c r="I62" s="97" t="s">
        <v>54</v>
      </c>
      <c r="J62" s="97" t="s">
        <v>55</v>
      </c>
      <c r="K62" s="97">
        <v>80111600</v>
      </c>
      <c r="L62" s="97" t="s">
        <v>492</v>
      </c>
      <c r="M62" s="97" t="s">
        <v>493</v>
      </c>
      <c r="N62" s="97" t="s">
        <v>494</v>
      </c>
      <c r="O62" s="97" t="s">
        <v>508</v>
      </c>
      <c r="P62" s="97" t="s">
        <v>765</v>
      </c>
      <c r="Q62" s="97">
        <v>7210000</v>
      </c>
      <c r="R62" s="97">
        <v>1</v>
      </c>
      <c r="S62" s="201">
        <v>82915000</v>
      </c>
      <c r="T62" s="97" t="s">
        <v>652</v>
      </c>
      <c r="U62" s="97" t="s">
        <v>58</v>
      </c>
      <c r="V62" s="202">
        <v>43112</v>
      </c>
      <c r="W62" s="97">
        <v>11.5</v>
      </c>
      <c r="X62" s="203" t="s">
        <v>766</v>
      </c>
      <c r="Y62" s="202" t="s">
        <v>756</v>
      </c>
      <c r="Z62" s="97">
        <v>82915000</v>
      </c>
      <c r="AA62" s="97"/>
      <c r="AB62" s="204">
        <v>86</v>
      </c>
      <c r="AC62" s="192" t="s">
        <v>1513</v>
      </c>
      <c r="AD62" s="205">
        <v>82915000</v>
      </c>
      <c r="AE62" s="206">
        <f t="shared" si="0"/>
        <v>0</v>
      </c>
      <c r="AF62" s="204">
        <v>310</v>
      </c>
      <c r="AG62" s="186">
        <v>43122</v>
      </c>
      <c r="AH62" s="198">
        <v>82915000</v>
      </c>
      <c r="AI62" s="97" t="s">
        <v>1562</v>
      </c>
      <c r="AJ62" s="192">
        <v>145</v>
      </c>
      <c r="AK62" s="97"/>
      <c r="AL62" s="198">
        <v>37972667</v>
      </c>
      <c r="AM62" s="198">
        <v>44942333</v>
      </c>
      <c r="AN62" s="97" t="s">
        <v>116</v>
      </c>
      <c r="AO62" s="97"/>
      <c r="AP62" s="97"/>
      <c r="AQ62" s="202"/>
      <c r="AR62" s="97"/>
      <c r="AS62" s="202"/>
      <c r="AT62" s="97"/>
      <c r="AU62" s="97" t="s">
        <v>1563</v>
      </c>
      <c r="AV62" s="84"/>
      <c r="AW62" s="84"/>
      <c r="AX62" s="84"/>
    </row>
    <row r="63" spans="1:50" x14ac:dyDescent="0.2">
      <c r="A63" s="192">
        <v>34</v>
      </c>
      <c r="B63" s="192" t="s">
        <v>767</v>
      </c>
      <c r="C63" s="97" t="s">
        <v>644</v>
      </c>
      <c r="D63" s="97" t="s">
        <v>645</v>
      </c>
      <c r="E63" s="97" t="s">
        <v>677</v>
      </c>
      <c r="F63" s="97" t="s">
        <v>511</v>
      </c>
      <c r="G63" s="97" t="s">
        <v>512</v>
      </c>
      <c r="H63" s="97" t="s">
        <v>647</v>
      </c>
      <c r="I63" s="97" t="s">
        <v>54</v>
      </c>
      <c r="J63" s="97" t="s">
        <v>55</v>
      </c>
      <c r="K63" s="97">
        <v>80111600</v>
      </c>
      <c r="L63" s="97" t="s">
        <v>492</v>
      </c>
      <c r="M63" s="97" t="s">
        <v>493</v>
      </c>
      <c r="N63" s="97" t="s">
        <v>494</v>
      </c>
      <c r="O63" s="97" t="s">
        <v>508</v>
      </c>
      <c r="P63" s="97" t="s">
        <v>735</v>
      </c>
      <c r="Q63" s="97">
        <v>6180000</v>
      </c>
      <c r="R63" s="97">
        <v>1</v>
      </c>
      <c r="S63" s="201">
        <v>76992500</v>
      </c>
      <c r="T63" s="97" t="s">
        <v>652</v>
      </c>
      <c r="U63" s="97" t="s">
        <v>58</v>
      </c>
      <c r="V63" s="202">
        <v>43112</v>
      </c>
      <c r="W63" s="97">
        <v>11.5</v>
      </c>
      <c r="X63" s="203" t="s">
        <v>1564</v>
      </c>
      <c r="Y63" s="202">
        <v>43109</v>
      </c>
      <c r="Z63" s="97">
        <v>76992500</v>
      </c>
      <c r="AA63" s="97" t="s">
        <v>752</v>
      </c>
      <c r="AB63" s="204">
        <v>443</v>
      </c>
      <c r="AC63" s="192" t="s">
        <v>1505</v>
      </c>
      <c r="AD63" s="205">
        <v>76992500</v>
      </c>
      <c r="AE63" s="206">
        <f t="shared" si="0"/>
        <v>0</v>
      </c>
      <c r="AF63" s="204">
        <v>26</v>
      </c>
      <c r="AG63" s="186">
        <v>43115</v>
      </c>
      <c r="AH63" s="198">
        <v>76992500</v>
      </c>
      <c r="AI63" s="97" t="s">
        <v>1565</v>
      </c>
      <c r="AJ63" s="192">
        <v>145</v>
      </c>
      <c r="AK63" s="97"/>
      <c r="AL63" s="198">
        <v>36822500</v>
      </c>
      <c r="AM63" s="198">
        <v>40170000</v>
      </c>
      <c r="AN63" s="97" t="s">
        <v>116</v>
      </c>
      <c r="AO63" s="97"/>
      <c r="AP63" s="97"/>
      <c r="AQ63" s="202">
        <v>43109</v>
      </c>
      <c r="AR63" s="97" t="s">
        <v>768</v>
      </c>
      <c r="AS63" s="202">
        <v>43109</v>
      </c>
      <c r="AT63" s="97"/>
      <c r="AU63" s="97" t="s">
        <v>1565</v>
      </c>
      <c r="AV63" s="84"/>
      <c r="AW63" s="84"/>
      <c r="AX63" s="84"/>
    </row>
    <row r="64" spans="1:50" x14ac:dyDescent="0.2">
      <c r="A64" s="192">
        <v>35</v>
      </c>
      <c r="B64" s="192" t="s">
        <v>769</v>
      </c>
      <c r="C64" s="97" t="s">
        <v>644</v>
      </c>
      <c r="D64" s="97" t="s">
        <v>645</v>
      </c>
      <c r="E64" s="97" t="s">
        <v>646</v>
      </c>
      <c r="F64" s="97" t="s">
        <v>511</v>
      </c>
      <c r="G64" s="97" t="s">
        <v>512</v>
      </c>
      <c r="H64" s="97" t="s">
        <v>647</v>
      </c>
      <c r="I64" s="97" t="s">
        <v>54</v>
      </c>
      <c r="J64" s="97" t="s">
        <v>55</v>
      </c>
      <c r="K64" s="97">
        <v>80111600</v>
      </c>
      <c r="L64" s="97" t="s">
        <v>492</v>
      </c>
      <c r="M64" s="97" t="s">
        <v>493</v>
      </c>
      <c r="N64" s="97" t="s">
        <v>494</v>
      </c>
      <c r="O64" s="97" t="s">
        <v>508</v>
      </c>
      <c r="P64" s="97" t="s">
        <v>770</v>
      </c>
      <c r="Q64" s="97">
        <v>3553500</v>
      </c>
      <c r="R64" s="97">
        <v>1</v>
      </c>
      <c r="S64" s="201">
        <v>40865250</v>
      </c>
      <c r="T64" s="97" t="s">
        <v>652</v>
      </c>
      <c r="U64" s="97" t="s">
        <v>58</v>
      </c>
      <c r="V64" s="202">
        <v>43112</v>
      </c>
      <c r="W64" s="97">
        <v>11.5</v>
      </c>
      <c r="X64" s="203" t="s">
        <v>771</v>
      </c>
      <c r="Y64" s="202">
        <v>43102</v>
      </c>
      <c r="Z64" s="97">
        <v>40865250</v>
      </c>
      <c r="AA64" s="97"/>
      <c r="AB64" s="204">
        <v>88</v>
      </c>
      <c r="AC64" s="192" t="s">
        <v>1513</v>
      </c>
      <c r="AD64" s="205">
        <v>40865250</v>
      </c>
      <c r="AE64" s="206">
        <f t="shared" si="0"/>
        <v>0</v>
      </c>
      <c r="AF64" s="204">
        <v>52</v>
      </c>
      <c r="AG64" s="186">
        <v>43116</v>
      </c>
      <c r="AH64" s="198">
        <v>40865250</v>
      </c>
      <c r="AI64" s="97" t="s">
        <v>1566</v>
      </c>
      <c r="AJ64" s="192">
        <v>145</v>
      </c>
      <c r="AK64" s="97"/>
      <c r="AL64" s="198">
        <v>19425800</v>
      </c>
      <c r="AM64" s="198">
        <v>21439450</v>
      </c>
      <c r="AN64" s="97" t="s">
        <v>116</v>
      </c>
      <c r="AO64" s="97"/>
      <c r="AP64" s="97"/>
      <c r="AQ64" s="202"/>
      <c r="AR64" s="97"/>
      <c r="AS64" s="202"/>
      <c r="AT64" s="97"/>
      <c r="AU64" s="97" t="s">
        <v>1567</v>
      </c>
      <c r="AV64" s="84"/>
      <c r="AW64" s="84"/>
      <c r="AX64" s="84"/>
    </row>
    <row r="65" spans="1:50" x14ac:dyDescent="0.2">
      <c r="A65" s="192">
        <v>36</v>
      </c>
      <c r="B65" s="192" t="s">
        <v>772</v>
      </c>
      <c r="C65" s="97" t="s">
        <v>644</v>
      </c>
      <c r="D65" s="97" t="s">
        <v>645</v>
      </c>
      <c r="E65" s="97" t="s">
        <v>646</v>
      </c>
      <c r="F65" s="97" t="s">
        <v>511</v>
      </c>
      <c r="G65" s="97" t="s">
        <v>512</v>
      </c>
      <c r="H65" s="97" t="s">
        <v>647</v>
      </c>
      <c r="I65" s="97" t="s">
        <v>54</v>
      </c>
      <c r="J65" s="97" t="s">
        <v>55</v>
      </c>
      <c r="K65" s="97">
        <v>80111600</v>
      </c>
      <c r="L65" s="97" t="s">
        <v>492</v>
      </c>
      <c r="M65" s="97" t="s">
        <v>493</v>
      </c>
      <c r="N65" s="97" t="s">
        <v>494</v>
      </c>
      <c r="O65" s="97" t="s">
        <v>508</v>
      </c>
      <c r="P65" s="97" t="s">
        <v>735</v>
      </c>
      <c r="Q65" s="97">
        <v>4532000</v>
      </c>
      <c r="R65" s="97">
        <v>1</v>
      </c>
      <c r="S65" s="201">
        <v>51211600</v>
      </c>
      <c r="T65" s="97" t="s">
        <v>652</v>
      </c>
      <c r="U65" s="97" t="s">
        <v>58</v>
      </c>
      <c r="V65" s="202">
        <v>43112</v>
      </c>
      <c r="W65" s="97">
        <v>11.5</v>
      </c>
      <c r="X65" s="203" t="s">
        <v>773</v>
      </c>
      <c r="Y65" s="202">
        <v>43102</v>
      </c>
      <c r="Z65" s="97">
        <v>52118000</v>
      </c>
      <c r="AA65" s="97" t="s">
        <v>674</v>
      </c>
      <c r="AB65" s="204">
        <v>89</v>
      </c>
      <c r="AC65" s="192" t="s">
        <v>1513</v>
      </c>
      <c r="AD65" s="205">
        <v>51211600</v>
      </c>
      <c r="AE65" s="206">
        <f t="shared" si="0"/>
        <v>0</v>
      </c>
      <c r="AF65" s="204">
        <v>300</v>
      </c>
      <c r="AG65" s="186">
        <v>43122</v>
      </c>
      <c r="AH65" s="198">
        <v>51211600</v>
      </c>
      <c r="AI65" s="97" t="s">
        <v>1568</v>
      </c>
      <c r="AJ65" s="192">
        <v>145</v>
      </c>
      <c r="AK65" s="97"/>
      <c r="AL65" s="198">
        <v>23868533</v>
      </c>
      <c r="AM65" s="198">
        <v>27343067</v>
      </c>
      <c r="AN65" s="97" t="s">
        <v>116</v>
      </c>
      <c r="AO65" s="97"/>
      <c r="AP65" s="97" t="s">
        <v>674</v>
      </c>
      <c r="AQ65" s="202">
        <v>43277</v>
      </c>
      <c r="AR65" s="97" t="s">
        <v>675</v>
      </c>
      <c r="AS65" s="202">
        <v>43278</v>
      </c>
      <c r="AT65" s="97" t="s">
        <v>662</v>
      </c>
      <c r="AU65" s="97" t="s">
        <v>1568</v>
      </c>
      <c r="AV65" s="84"/>
      <c r="AW65" s="84"/>
      <c r="AX65" s="84"/>
    </row>
    <row r="66" spans="1:50" x14ac:dyDescent="0.2">
      <c r="A66" s="192">
        <v>37</v>
      </c>
      <c r="B66" s="192" t="s">
        <v>774</v>
      </c>
      <c r="C66" s="97" t="s">
        <v>644</v>
      </c>
      <c r="D66" s="97" t="s">
        <v>645</v>
      </c>
      <c r="E66" s="97" t="s">
        <v>646</v>
      </c>
      <c r="F66" s="97" t="s">
        <v>775</v>
      </c>
      <c r="G66" s="97" t="s">
        <v>776</v>
      </c>
      <c r="H66" s="97" t="s">
        <v>777</v>
      </c>
      <c r="I66" s="97" t="s">
        <v>54</v>
      </c>
      <c r="J66" s="97" t="s">
        <v>55</v>
      </c>
      <c r="K66" s="97">
        <v>78131600</v>
      </c>
      <c r="L66" s="97" t="s">
        <v>492</v>
      </c>
      <c r="M66" s="97" t="s">
        <v>493</v>
      </c>
      <c r="N66" s="97" t="s">
        <v>494</v>
      </c>
      <c r="O66" s="97" t="s">
        <v>508</v>
      </c>
      <c r="P66" s="97" t="s">
        <v>1569</v>
      </c>
      <c r="Q66" s="97">
        <v>88000000</v>
      </c>
      <c r="R66" s="97">
        <v>1</v>
      </c>
      <c r="S66" s="201">
        <v>704000000</v>
      </c>
      <c r="T66" s="97" t="s">
        <v>778</v>
      </c>
      <c r="U66" s="97" t="s">
        <v>58</v>
      </c>
      <c r="V66" s="202">
        <v>43202</v>
      </c>
      <c r="W66" s="97">
        <v>8</v>
      </c>
      <c r="X66" s="203"/>
      <c r="Y66" s="202"/>
      <c r="Z66" s="97">
        <v>704000000</v>
      </c>
      <c r="AA66" s="97"/>
      <c r="AB66" s="209"/>
      <c r="AC66" s="202"/>
      <c r="AD66" s="97"/>
      <c r="AE66" s="206">
        <f t="shared" si="0"/>
        <v>704000000</v>
      </c>
      <c r="AF66" s="201"/>
      <c r="AG66" s="202"/>
      <c r="AH66" s="97"/>
      <c r="AI66" s="97"/>
      <c r="AJ66" s="97"/>
      <c r="AK66" s="97"/>
      <c r="AL66" s="97"/>
      <c r="AM66" s="97"/>
      <c r="AN66" s="97" t="s">
        <v>62</v>
      </c>
      <c r="AO66" s="97"/>
      <c r="AP66" s="97"/>
      <c r="AQ66" s="202"/>
      <c r="AR66" s="97"/>
      <c r="AS66" s="202"/>
      <c r="AT66" s="97"/>
      <c r="AU66" s="97" t="s">
        <v>1570</v>
      </c>
      <c r="AV66" s="84"/>
      <c r="AW66" s="84"/>
      <c r="AX66" s="84"/>
    </row>
    <row r="67" spans="1:50" x14ac:dyDescent="0.2">
      <c r="A67" s="192">
        <v>38</v>
      </c>
      <c r="B67" s="192" t="s">
        <v>779</v>
      </c>
      <c r="C67" s="97" t="s">
        <v>644</v>
      </c>
      <c r="D67" s="97" t="s">
        <v>645</v>
      </c>
      <c r="E67" s="97" t="s">
        <v>646</v>
      </c>
      <c r="F67" s="97" t="s">
        <v>501</v>
      </c>
      <c r="G67" s="97" t="s">
        <v>780</v>
      </c>
      <c r="H67" s="97" t="s">
        <v>781</v>
      </c>
      <c r="I67" s="97" t="s">
        <v>54</v>
      </c>
      <c r="J67" s="97" t="s">
        <v>55</v>
      </c>
      <c r="K67" s="97">
        <v>84111600</v>
      </c>
      <c r="L67" s="97" t="s">
        <v>492</v>
      </c>
      <c r="M67" s="97" t="s">
        <v>493</v>
      </c>
      <c r="N67" s="97" t="s">
        <v>494</v>
      </c>
      <c r="O67" s="97" t="s">
        <v>508</v>
      </c>
      <c r="P67" s="97" t="s">
        <v>782</v>
      </c>
      <c r="Q67" s="97">
        <v>10430609</v>
      </c>
      <c r="R67" s="97">
        <v>1</v>
      </c>
      <c r="S67" s="201">
        <v>10430609</v>
      </c>
      <c r="T67" s="97" t="s">
        <v>778</v>
      </c>
      <c r="U67" s="97" t="s">
        <v>339</v>
      </c>
      <c r="V67" s="202">
        <v>43160</v>
      </c>
      <c r="W67" s="97">
        <v>1</v>
      </c>
      <c r="X67" s="203" t="s">
        <v>783</v>
      </c>
      <c r="Y67" s="202">
        <v>43161</v>
      </c>
      <c r="Z67" s="97">
        <v>10430609</v>
      </c>
      <c r="AA67" s="97" t="s">
        <v>784</v>
      </c>
      <c r="AB67" s="204">
        <v>672</v>
      </c>
      <c r="AC67" s="210">
        <v>43161</v>
      </c>
      <c r="AD67" s="205">
        <v>10430609</v>
      </c>
      <c r="AE67" s="206">
        <f t="shared" si="0"/>
        <v>0</v>
      </c>
      <c r="AF67" s="204">
        <v>1725</v>
      </c>
      <c r="AG67" s="186">
        <v>43195</v>
      </c>
      <c r="AH67" s="198">
        <v>8782200</v>
      </c>
      <c r="AI67" s="97" t="s">
        <v>1571</v>
      </c>
      <c r="AJ67" s="192">
        <v>12</v>
      </c>
      <c r="AK67" s="97"/>
      <c r="AL67" s="198">
        <v>8782200</v>
      </c>
      <c r="AM67" s="198">
        <v>0</v>
      </c>
      <c r="AN67" s="97" t="s">
        <v>62</v>
      </c>
      <c r="AO67" s="97"/>
      <c r="AP67" s="97" t="s">
        <v>785</v>
      </c>
      <c r="AQ67" s="202"/>
      <c r="AR67" s="97"/>
      <c r="AS67" s="202"/>
      <c r="AT67" s="97"/>
      <c r="AU67" s="97"/>
      <c r="AV67" s="84"/>
      <c r="AW67" s="84"/>
      <c r="AX67" s="84"/>
    </row>
    <row r="68" spans="1:50" x14ac:dyDescent="0.2">
      <c r="A68" s="192">
        <v>39</v>
      </c>
      <c r="B68" s="192" t="s">
        <v>786</v>
      </c>
      <c r="C68" s="97" t="s">
        <v>644</v>
      </c>
      <c r="D68" s="97" t="s">
        <v>645</v>
      </c>
      <c r="E68" s="97" t="s">
        <v>646</v>
      </c>
      <c r="F68" s="97" t="s">
        <v>501</v>
      </c>
      <c r="G68" s="97" t="s">
        <v>780</v>
      </c>
      <c r="H68" s="97" t="s">
        <v>781</v>
      </c>
      <c r="I68" s="97" t="s">
        <v>54</v>
      </c>
      <c r="J68" s="97" t="s">
        <v>55</v>
      </c>
      <c r="K68" s="97">
        <v>82101600</v>
      </c>
      <c r="L68" s="97" t="s">
        <v>492</v>
      </c>
      <c r="M68" s="97" t="s">
        <v>493</v>
      </c>
      <c r="N68" s="97" t="s">
        <v>494</v>
      </c>
      <c r="O68" s="97" t="s">
        <v>508</v>
      </c>
      <c r="P68" s="97" t="s">
        <v>787</v>
      </c>
      <c r="Q68" s="97">
        <v>6849391</v>
      </c>
      <c r="R68" s="97">
        <v>1</v>
      </c>
      <c r="S68" s="201">
        <v>6849391</v>
      </c>
      <c r="T68" s="97" t="s">
        <v>778</v>
      </c>
      <c r="U68" s="97" t="s">
        <v>339</v>
      </c>
      <c r="V68" s="202">
        <v>43221</v>
      </c>
      <c r="W68" s="97">
        <v>1</v>
      </c>
      <c r="X68" s="203" t="s">
        <v>788</v>
      </c>
      <c r="Y68" s="202">
        <v>43284</v>
      </c>
      <c r="Z68" s="97">
        <v>6743942</v>
      </c>
      <c r="AA68" s="97" t="s">
        <v>789</v>
      </c>
      <c r="AB68" s="192">
        <v>939</v>
      </c>
      <c r="AC68" s="210">
        <v>43285</v>
      </c>
      <c r="AD68" s="198">
        <v>6743942</v>
      </c>
      <c r="AE68" s="206">
        <f t="shared" si="0"/>
        <v>105449</v>
      </c>
      <c r="AF68" s="204"/>
      <c r="AG68" s="186"/>
      <c r="AH68" s="198"/>
      <c r="AI68" s="97"/>
      <c r="AJ68" s="192"/>
      <c r="AK68" s="97"/>
      <c r="AL68" s="198"/>
      <c r="AM68" s="198"/>
      <c r="AN68" s="97" t="s">
        <v>650</v>
      </c>
      <c r="AO68" s="97"/>
      <c r="AP68" s="97" t="s">
        <v>1572</v>
      </c>
      <c r="AQ68" s="202"/>
      <c r="AR68" s="97"/>
      <c r="AS68" s="202"/>
      <c r="AT68" s="97"/>
      <c r="AU68" s="97"/>
      <c r="AV68" s="84"/>
      <c r="AW68" s="84"/>
      <c r="AX68" s="84"/>
    </row>
    <row r="69" spans="1:50" x14ac:dyDescent="0.2">
      <c r="A69" s="192">
        <v>40</v>
      </c>
      <c r="B69" s="192" t="s">
        <v>790</v>
      </c>
      <c r="C69" s="97" t="s">
        <v>644</v>
      </c>
      <c r="D69" s="97" t="s">
        <v>645</v>
      </c>
      <c r="E69" s="97" t="s">
        <v>677</v>
      </c>
      <c r="F69" s="97" t="s">
        <v>501</v>
      </c>
      <c r="G69" s="97" t="s">
        <v>780</v>
      </c>
      <c r="H69" s="97" t="s">
        <v>781</v>
      </c>
      <c r="I69" s="97" t="s">
        <v>54</v>
      </c>
      <c r="J69" s="97" t="s">
        <v>55</v>
      </c>
      <c r="K69" s="97">
        <v>90101600</v>
      </c>
      <c r="L69" s="97" t="s">
        <v>492</v>
      </c>
      <c r="M69" s="97" t="s">
        <v>493</v>
      </c>
      <c r="N69" s="97" t="s">
        <v>494</v>
      </c>
      <c r="O69" s="97" t="s">
        <v>508</v>
      </c>
      <c r="P69" s="97" t="s">
        <v>791</v>
      </c>
      <c r="Q69" s="97">
        <v>26909090.90909091</v>
      </c>
      <c r="R69" s="97">
        <v>1</v>
      </c>
      <c r="S69" s="201">
        <v>296000000</v>
      </c>
      <c r="T69" s="97" t="s">
        <v>497</v>
      </c>
      <c r="U69" s="97" t="s">
        <v>497</v>
      </c>
      <c r="V69" s="202">
        <v>43266</v>
      </c>
      <c r="W69" s="97">
        <v>12</v>
      </c>
      <c r="X69" s="203" t="s">
        <v>792</v>
      </c>
      <c r="Y69" s="202">
        <v>43165</v>
      </c>
      <c r="Z69" s="97">
        <v>296000000</v>
      </c>
      <c r="AA69" s="97"/>
      <c r="AB69" s="204">
        <v>693</v>
      </c>
      <c r="AC69" s="210">
        <v>43165</v>
      </c>
      <c r="AD69" s="205">
        <v>296000000</v>
      </c>
      <c r="AE69" s="206">
        <f t="shared" ref="AE69:AE132" si="1">S69-AD69</f>
        <v>0</v>
      </c>
      <c r="AF69" s="204"/>
      <c r="AG69" s="186"/>
      <c r="AH69" s="198"/>
      <c r="AI69" s="97"/>
      <c r="AJ69" s="192"/>
      <c r="AK69" s="97"/>
      <c r="AL69" s="198"/>
      <c r="AM69" s="198"/>
      <c r="AN69" s="97" t="s">
        <v>650</v>
      </c>
      <c r="AO69" s="97"/>
      <c r="AP69" s="97"/>
      <c r="AQ69" s="202"/>
      <c r="AR69" s="97"/>
      <c r="AS69" s="202"/>
      <c r="AT69" s="97"/>
      <c r="AU69" s="97"/>
      <c r="AV69" s="84"/>
      <c r="AW69" s="84"/>
      <c r="AX69" s="84"/>
    </row>
    <row r="70" spans="1:50" x14ac:dyDescent="0.2">
      <c r="A70" s="192">
        <v>41</v>
      </c>
      <c r="B70" s="192" t="s">
        <v>793</v>
      </c>
      <c r="C70" s="97" t="s">
        <v>644</v>
      </c>
      <c r="D70" s="97" t="s">
        <v>645</v>
      </c>
      <c r="E70" s="97" t="s">
        <v>677</v>
      </c>
      <c r="F70" s="97" t="s">
        <v>501</v>
      </c>
      <c r="G70" s="97" t="s">
        <v>780</v>
      </c>
      <c r="H70" s="97" t="s">
        <v>781</v>
      </c>
      <c r="I70" s="97" t="s">
        <v>54</v>
      </c>
      <c r="J70" s="97" t="s">
        <v>55</v>
      </c>
      <c r="K70" s="97">
        <v>83101800</v>
      </c>
      <c r="L70" s="97" t="s">
        <v>492</v>
      </c>
      <c r="M70" s="97" t="s">
        <v>493</v>
      </c>
      <c r="N70" s="97" t="s">
        <v>494</v>
      </c>
      <c r="O70" s="97" t="s">
        <v>508</v>
      </c>
      <c r="P70" s="97" t="s">
        <v>794</v>
      </c>
      <c r="Q70" s="97">
        <v>5386750</v>
      </c>
      <c r="R70" s="97">
        <v>1</v>
      </c>
      <c r="S70" s="201">
        <v>64641000</v>
      </c>
      <c r="T70" s="97" t="s">
        <v>50</v>
      </c>
      <c r="U70" s="97" t="s">
        <v>50</v>
      </c>
      <c r="V70" s="202">
        <v>43102</v>
      </c>
      <c r="W70" s="97">
        <v>12</v>
      </c>
      <c r="X70" s="203" t="s">
        <v>795</v>
      </c>
      <c r="Y70" s="202">
        <v>43117</v>
      </c>
      <c r="Z70" s="97">
        <v>64641000</v>
      </c>
      <c r="AA70" s="97"/>
      <c r="AB70" s="204">
        <v>529</v>
      </c>
      <c r="AC70" s="192" t="s">
        <v>1507</v>
      </c>
      <c r="AD70" s="205">
        <v>64641000</v>
      </c>
      <c r="AE70" s="206">
        <f t="shared" si="1"/>
        <v>0</v>
      </c>
      <c r="AF70" s="204">
        <v>220</v>
      </c>
      <c r="AG70" s="186">
        <v>43118</v>
      </c>
      <c r="AH70" s="198">
        <v>255180</v>
      </c>
      <c r="AI70" s="97" t="s">
        <v>1573</v>
      </c>
      <c r="AJ70" s="192">
        <v>28</v>
      </c>
      <c r="AK70" s="97"/>
      <c r="AL70" s="198">
        <v>255180</v>
      </c>
      <c r="AM70" s="198">
        <v>0</v>
      </c>
      <c r="AN70" s="97" t="s">
        <v>650</v>
      </c>
      <c r="AO70" s="97"/>
      <c r="AP70" s="97"/>
      <c r="AQ70" s="202"/>
      <c r="AR70" s="97"/>
      <c r="AS70" s="202"/>
      <c r="AT70" s="97"/>
      <c r="AU70" s="97"/>
      <c r="AV70" s="84"/>
      <c r="AW70" s="84"/>
      <c r="AX70" s="84"/>
    </row>
    <row r="71" spans="1:50" x14ac:dyDescent="0.2">
      <c r="A71" s="192">
        <v>41</v>
      </c>
      <c r="B71" s="192" t="s">
        <v>793</v>
      </c>
      <c r="C71" s="97"/>
      <c r="D71" s="97"/>
      <c r="E71" s="97"/>
      <c r="F71" s="97"/>
      <c r="G71" s="97"/>
      <c r="H71" s="97"/>
      <c r="I71" s="97"/>
      <c r="J71" s="97"/>
      <c r="K71" s="97"/>
      <c r="L71" s="97"/>
      <c r="M71" s="97"/>
      <c r="N71" s="97"/>
      <c r="O71" s="97"/>
      <c r="P71" s="97"/>
      <c r="Q71" s="97"/>
      <c r="R71" s="97"/>
      <c r="S71" s="201"/>
      <c r="T71" s="97"/>
      <c r="U71" s="97"/>
      <c r="V71" s="202"/>
      <c r="W71" s="97"/>
      <c r="X71" s="203"/>
      <c r="Y71" s="202"/>
      <c r="Z71" s="97"/>
      <c r="AA71" s="97"/>
      <c r="AB71" s="204"/>
      <c r="AC71" s="192"/>
      <c r="AD71" s="207"/>
      <c r="AE71" s="206">
        <f t="shared" si="1"/>
        <v>0</v>
      </c>
      <c r="AF71" s="204">
        <v>316</v>
      </c>
      <c r="AG71" s="186">
        <v>43122</v>
      </c>
      <c r="AH71" s="198">
        <v>253880</v>
      </c>
      <c r="AI71" s="97" t="s">
        <v>1574</v>
      </c>
      <c r="AJ71" s="192">
        <v>28</v>
      </c>
      <c r="AK71" s="97"/>
      <c r="AL71" s="198">
        <v>253880</v>
      </c>
      <c r="AM71" s="198">
        <v>0</v>
      </c>
      <c r="AN71" s="97"/>
      <c r="AO71" s="97"/>
      <c r="AP71" s="97"/>
      <c r="AQ71" s="202"/>
      <c r="AR71" s="97"/>
      <c r="AS71" s="202"/>
      <c r="AT71" s="97"/>
      <c r="AU71" s="97"/>
      <c r="AV71" s="84"/>
      <c r="AW71" s="84"/>
      <c r="AX71" s="84"/>
    </row>
    <row r="72" spans="1:50" x14ac:dyDescent="0.2">
      <c r="A72" s="192">
        <v>41</v>
      </c>
      <c r="B72" s="192" t="s">
        <v>793</v>
      </c>
      <c r="C72" s="97"/>
      <c r="D72" s="97"/>
      <c r="E72" s="97"/>
      <c r="F72" s="97"/>
      <c r="G72" s="97"/>
      <c r="H72" s="97"/>
      <c r="I72" s="97"/>
      <c r="J72" s="97"/>
      <c r="K72" s="97"/>
      <c r="L72" s="97"/>
      <c r="M72" s="97"/>
      <c r="N72" s="97"/>
      <c r="O72" s="97"/>
      <c r="P72" s="97"/>
      <c r="Q72" s="97"/>
      <c r="R72" s="97"/>
      <c r="S72" s="201"/>
      <c r="T72" s="97"/>
      <c r="U72" s="97"/>
      <c r="V72" s="202"/>
      <c r="W72" s="97"/>
      <c r="X72" s="203"/>
      <c r="Y72" s="202"/>
      <c r="Z72" s="97"/>
      <c r="AA72" s="97"/>
      <c r="AB72" s="204"/>
      <c r="AC72" s="192"/>
      <c r="AD72" s="207"/>
      <c r="AE72" s="206">
        <f t="shared" si="1"/>
        <v>0</v>
      </c>
      <c r="AF72" s="204">
        <v>446</v>
      </c>
      <c r="AG72" s="186">
        <v>43125</v>
      </c>
      <c r="AH72" s="198">
        <v>28780</v>
      </c>
      <c r="AI72" s="97" t="s">
        <v>1573</v>
      </c>
      <c r="AJ72" s="192">
        <v>28</v>
      </c>
      <c r="AK72" s="97"/>
      <c r="AL72" s="198">
        <v>28780</v>
      </c>
      <c r="AM72" s="198">
        <v>0</v>
      </c>
      <c r="AN72" s="97"/>
      <c r="AO72" s="97"/>
      <c r="AP72" s="97"/>
      <c r="AQ72" s="202"/>
      <c r="AR72" s="97"/>
      <c r="AS72" s="202"/>
      <c r="AT72" s="97"/>
      <c r="AU72" s="97"/>
      <c r="AV72" s="84"/>
      <c r="AW72" s="84"/>
      <c r="AX72" s="84"/>
    </row>
    <row r="73" spans="1:50" x14ac:dyDescent="0.2">
      <c r="A73" s="192">
        <v>41</v>
      </c>
      <c r="B73" s="192" t="s">
        <v>793</v>
      </c>
      <c r="C73" s="97"/>
      <c r="D73" s="97"/>
      <c r="E73" s="97"/>
      <c r="F73" s="97"/>
      <c r="G73" s="97"/>
      <c r="H73" s="97"/>
      <c r="I73" s="97"/>
      <c r="J73" s="97"/>
      <c r="K73" s="97"/>
      <c r="L73" s="97"/>
      <c r="M73" s="97"/>
      <c r="N73" s="97"/>
      <c r="O73" s="97"/>
      <c r="P73" s="97"/>
      <c r="Q73" s="97"/>
      <c r="R73" s="97"/>
      <c r="S73" s="201"/>
      <c r="T73" s="97"/>
      <c r="U73" s="97"/>
      <c r="V73" s="202"/>
      <c r="W73" s="97"/>
      <c r="X73" s="203"/>
      <c r="Y73" s="202"/>
      <c r="Z73" s="97"/>
      <c r="AA73" s="97"/>
      <c r="AB73" s="204"/>
      <c r="AC73" s="192"/>
      <c r="AD73" s="207"/>
      <c r="AE73" s="206">
        <f t="shared" si="1"/>
        <v>0</v>
      </c>
      <c r="AF73" s="204">
        <v>447</v>
      </c>
      <c r="AG73" s="186">
        <v>43125</v>
      </c>
      <c r="AH73" s="198">
        <v>148030</v>
      </c>
      <c r="AI73" s="97" t="s">
        <v>1574</v>
      </c>
      <c r="AJ73" s="192">
        <v>28</v>
      </c>
      <c r="AK73" s="97"/>
      <c r="AL73" s="198">
        <v>148030</v>
      </c>
      <c r="AM73" s="198">
        <v>0</v>
      </c>
      <c r="AN73" s="97"/>
      <c r="AO73" s="97"/>
      <c r="AP73" s="97"/>
      <c r="AQ73" s="202"/>
      <c r="AR73" s="97"/>
      <c r="AS73" s="202"/>
      <c r="AT73" s="97"/>
      <c r="AU73" s="97"/>
      <c r="AV73" s="84"/>
      <c r="AW73" s="84"/>
      <c r="AX73" s="84"/>
    </row>
    <row r="74" spans="1:50" x14ac:dyDescent="0.2">
      <c r="A74" s="192">
        <v>41</v>
      </c>
      <c r="B74" s="192" t="s">
        <v>793</v>
      </c>
      <c r="C74" s="97"/>
      <c r="D74" s="97"/>
      <c r="E74" s="97"/>
      <c r="F74" s="97"/>
      <c r="G74" s="97"/>
      <c r="H74" s="97"/>
      <c r="I74" s="97"/>
      <c r="J74" s="97"/>
      <c r="K74" s="97"/>
      <c r="L74" s="97"/>
      <c r="M74" s="97"/>
      <c r="N74" s="97"/>
      <c r="O74" s="97"/>
      <c r="P74" s="97"/>
      <c r="Q74" s="97"/>
      <c r="R74" s="97"/>
      <c r="S74" s="201"/>
      <c r="T74" s="97"/>
      <c r="U74" s="97"/>
      <c r="V74" s="202"/>
      <c r="W74" s="97"/>
      <c r="X74" s="203"/>
      <c r="Y74" s="202"/>
      <c r="Z74" s="97"/>
      <c r="AA74" s="97"/>
      <c r="AB74" s="204"/>
      <c r="AC74" s="192"/>
      <c r="AD74" s="207"/>
      <c r="AE74" s="206">
        <f t="shared" si="1"/>
        <v>0</v>
      </c>
      <c r="AF74" s="204">
        <v>448</v>
      </c>
      <c r="AG74" s="186">
        <v>43125</v>
      </c>
      <c r="AH74" s="198">
        <v>63330</v>
      </c>
      <c r="AI74" s="97" t="s">
        <v>1574</v>
      </c>
      <c r="AJ74" s="192">
        <v>28</v>
      </c>
      <c r="AK74" s="97"/>
      <c r="AL74" s="198">
        <v>63330</v>
      </c>
      <c r="AM74" s="198">
        <v>0</v>
      </c>
      <c r="AN74" s="97"/>
      <c r="AO74" s="97"/>
      <c r="AP74" s="97"/>
      <c r="AQ74" s="202"/>
      <c r="AR74" s="97"/>
      <c r="AS74" s="202"/>
      <c r="AT74" s="97"/>
      <c r="AU74" s="97"/>
      <c r="AV74" s="84"/>
      <c r="AW74" s="84"/>
      <c r="AX74" s="84"/>
    </row>
    <row r="75" spans="1:50" x14ac:dyDescent="0.2">
      <c r="A75" s="192">
        <v>41</v>
      </c>
      <c r="B75" s="192" t="s">
        <v>793</v>
      </c>
      <c r="C75" s="97"/>
      <c r="D75" s="97"/>
      <c r="E75" s="97"/>
      <c r="F75" s="97"/>
      <c r="G75" s="97"/>
      <c r="H75" s="97"/>
      <c r="I75" s="97"/>
      <c r="J75" s="97"/>
      <c r="K75" s="97"/>
      <c r="L75" s="97"/>
      <c r="M75" s="97"/>
      <c r="N75" s="97"/>
      <c r="O75" s="97"/>
      <c r="P75" s="97"/>
      <c r="Q75" s="97"/>
      <c r="R75" s="97"/>
      <c r="S75" s="201"/>
      <c r="T75" s="97"/>
      <c r="U75" s="97"/>
      <c r="V75" s="202"/>
      <c r="W75" s="97"/>
      <c r="X75" s="203"/>
      <c r="Y75" s="202"/>
      <c r="Z75" s="97"/>
      <c r="AA75" s="97"/>
      <c r="AB75" s="204"/>
      <c r="AC75" s="192"/>
      <c r="AD75" s="207"/>
      <c r="AE75" s="206">
        <f t="shared" si="1"/>
        <v>0</v>
      </c>
      <c r="AF75" s="204">
        <v>514</v>
      </c>
      <c r="AG75" s="186">
        <v>43130</v>
      </c>
      <c r="AH75" s="198">
        <v>115640</v>
      </c>
      <c r="AI75" s="97" t="s">
        <v>1573</v>
      </c>
      <c r="AJ75" s="192">
        <v>28</v>
      </c>
      <c r="AK75" s="97"/>
      <c r="AL75" s="198">
        <v>115640</v>
      </c>
      <c r="AM75" s="198">
        <v>0</v>
      </c>
      <c r="AN75" s="97"/>
      <c r="AO75" s="97"/>
      <c r="AP75" s="97"/>
      <c r="AQ75" s="202"/>
      <c r="AR75" s="97"/>
      <c r="AS75" s="202"/>
      <c r="AT75" s="97"/>
      <c r="AU75" s="97"/>
      <c r="AV75" s="84"/>
      <c r="AW75" s="84"/>
      <c r="AX75" s="84"/>
    </row>
    <row r="76" spans="1:50" x14ac:dyDescent="0.2">
      <c r="A76" s="192">
        <v>41</v>
      </c>
      <c r="B76" s="192" t="s">
        <v>793</v>
      </c>
      <c r="C76" s="97"/>
      <c r="D76" s="97"/>
      <c r="E76" s="97"/>
      <c r="F76" s="97"/>
      <c r="G76" s="97"/>
      <c r="H76" s="97"/>
      <c r="I76" s="97"/>
      <c r="J76" s="97"/>
      <c r="K76" s="97"/>
      <c r="L76" s="97"/>
      <c r="M76" s="97"/>
      <c r="N76" s="97"/>
      <c r="O76" s="97"/>
      <c r="P76" s="97"/>
      <c r="Q76" s="97"/>
      <c r="R76" s="97"/>
      <c r="S76" s="201"/>
      <c r="T76" s="97"/>
      <c r="U76" s="97"/>
      <c r="V76" s="202"/>
      <c r="W76" s="97"/>
      <c r="X76" s="203"/>
      <c r="Y76" s="202"/>
      <c r="Z76" s="97"/>
      <c r="AA76" s="97"/>
      <c r="AB76" s="204"/>
      <c r="AC76" s="192"/>
      <c r="AD76" s="207"/>
      <c r="AE76" s="206">
        <f t="shared" si="1"/>
        <v>0</v>
      </c>
      <c r="AF76" s="204">
        <v>753</v>
      </c>
      <c r="AG76" s="186">
        <v>43137</v>
      </c>
      <c r="AH76" s="198">
        <v>12390</v>
      </c>
      <c r="AI76" s="97" t="s">
        <v>1574</v>
      </c>
      <c r="AJ76" s="192">
        <v>28</v>
      </c>
      <c r="AK76" s="97"/>
      <c r="AL76" s="198">
        <v>12390</v>
      </c>
      <c r="AM76" s="198">
        <v>0</v>
      </c>
      <c r="AN76" s="97"/>
      <c r="AO76" s="97"/>
      <c r="AP76" s="97"/>
      <c r="AQ76" s="202"/>
      <c r="AR76" s="97"/>
      <c r="AS76" s="202"/>
      <c r="AT76" s="97"/>
      <c r="AU76" s="97"/>
      <c r="AV76" s="84"/>
      <c r="AW76" s="84"/>
      <c r="AX76" s="84"/>
    </row>
    <row r="77" spans="1:50" x14ac:dyDescent="0.2">
      <c r="A77" s="192">
        <v>41</v>
      </c>
      <c r="B77" s="192" t="s">
        <v>793</v>
      </c>
      <c r="C77" s="97"/>
      <c r="D77" s="97"/>
      <c r="E77" s="97"/>
      <c r="F77" s="97"/>
      <c r="G77" s="97"/>
      <c r="H77" s="97"/>
      <c r="I77" s="97"/>
      <c r="J77" s="97"/>
      <c r="K77" s="97"/>
      <c r="L77" s="97"/>
      <c r="M77" s="97"/>
      <c r="N77" s="97"/>
      <c r="O77" s="97"/>
      <c r="P77" s="97"/>
      <c r="Q77" s="97"/>
      <c r="R77" s="97"/>
      <c r="S77" s="201"/>
      <c r="T77" s="97"/>
      <c r="U77" s="97"/>
      <c r="V77" s="202"/>
      <c r="W77" s="97"/>
      <c r="X77" s="203"/>
      <c r="Y77" s="202"/>
      <c r="Z77" s="97"/>
      <c r="AA77" s="97"/>
      <c r="AB77" s="204"/>
      <c r="AC77" s="192"/>
      <c r="AD77" s="207"/>
      <c r="AE77" s="206">
        <f t="shared" si="1"/>
        <v>0</v>
      </c>
      <c r="AF77" s="204">
        <v>754</v>
      </c>
      <c r="AG77" s="186">
        <v>43137</v>
      </c>
      <c r="AH77" s="198">
        <v>6200</v>
      </c>
      <c r="AI77" s="97" t="s">
        <v>1574</v>
      </c>
      <c r="AJ77" s="192">
        <v>28</v>
      </c>
      <c r="AK77" s="97"/>
      <c r="AL77" s="198">
        <v>6200</v>
      </c>
      <c r="AM77" s="198">
        <v>0</v>
      </c>
      <c r="AN77" s="97"/>
      <c r="AO77" s="97"/>
      <c r="AP77" s="97"/>
      <c r="AQ77" s="202"/>
      <c r="AR77" s="97"/>
      <c r="AS77" s="202"/>
      <c r="AT77" s="97"/>
      <c r="AU77" s="97"/>
      <c r="AV77" s="84"/>
      <c r="AW77" s="84"/>
      <c r="AX77" s="84"/>
    </row>
    <row r="78" spans="1:50" x14ac:dyDescent="0.2">
      <c r="A78" s="192">
        <v>41</v>
      </c>
      <c r="B78" s="192" t="s">
        <v>793</v>
      </c>
      <c r="C78" s="97"/>
      <c r="D78" s="97"/>
      <c r="E78" s="97"/>
      <c r="F78" s="97"/>
      <c r="G78" s="97"/>
      <c r="H78" s="97"/>
      <c r="I78" s="97"/>
      <c r="J78" s="97"/>
      <c r="K78" s="97"/>
      <c r="L78" s="97"/>
      <c r="M78" s="97"/>
      <c r="N78" s="97"/>
      <c r="O78" s="97"/>
      <c r="P78" s="97"/>
      <c r="Q78" s="97"/>
      <c r="R78" s="97"/>
      <c r="S78" s="201"/>
      <c r="T78" s="97"/>
      <c r="U78" s="97"/>
      <c r="V78" s="202"/>
      <c r="W78" s="97"/>
      <c r="X78" s="203"/>
      <c r="Y78" s="202"/>
      <c r="Z78" s="97"/>
      <c r="AA78" s="97"/>
      <c r="AB78" s="204"/>
      <c r="AC78" s="192"/>
      <c r="AD78" s="207"/>
      <c r="AE78" s="206">
        <f t="shared" si="1"/>
        <v>0</v>
      </c>
      <c r="AF78" s="204">
        <v>1362</v>
      </c>
      <c r="AG78" s="186">
        <v>43147</v>
      </c>
      <c r="AH78" s="198">
        <v>300200</v>
      </c>
      <c r="AI78" s="97" t="s">
        <v>1573</v>
      </c>
      <c r="AJ78" s="192">
        <v>28</v>
      </c>
      <c r="AK78" s="97"/>
      <c r="AL78" s="198">
        <v>300200</v>
      </c>
      <c r="AM78" s="198">
        <v>0</v>
      </c>
      <c r="AN78" s="97"/>
      <c r="AO78" s="97"/>
      <c r="AP78" s="97"/>
      <c r="AQ78" s="202"/>
      <c r="AR78" s="97"/>
      <c r="AS78" s="202"/>
      <c r="AT78" s="97"/>
      <c r="AU78" s="97"/>
      <c r="AV78" s="84"/>
      <c r="AW78" s="84"/>
      <c r="AX78" s="84"/>
    </row>
    <row r="79" spans="1:50" x14ac:dyDescent="0.2">
      <c r="A79" s="192">
        <v>41</v>
      </c>
      <c r="B79" s="192" t="s">
        <v>793</v>
      </c>
      <c r="C79" s="97"/>
      <c r="D79" s="97"/>
      <c r="E79" s="97"/>
      <c r="F79" s="97"/>
      <c r="G79" s="97"/>
      <c r="H79" s="97"/>
      <c r="I79" s="97"/>
      <c r="J79" s="97"/>
      <c r="K79" s="97"/>
      <c r="L79" s="97"/>
      <c r="M79" s="97"/>
      <c r="N79" s="97"/>
      <c r="O79" s="97"/>
      <c r="P79" s="97"/>
      <c r="Q79" s="97"/>
      <c r="R79" s="97"/>
      <c r="S79" s="201"/>
      <c r="T79" s="97"/>
      <c r="U79" s="97"/>
      <c r="V79" s="202"/>
      <c r="W79" s="97"/>
      <c r="X79" s="203"/>
      <c r="Y79" s="202"/>
      <c r="Z79" s="97"/>
      <c r="AA79" s="97"/>
      <c r="AB79" s="204"/>
      <c r="AC79" s="192"/>
      <c r="AD79" s="207"/>
      <c r="AE79" s="206">
        <f t="shared" si="1"/>
        <v>0</v>
      </c>
      <c r="AF79" s="204">
        <v>1459</v>
      </c>
      <c r="AG79" s="186">
        <v>43154</v>
      </c>
      <c r="AH79" s="198">
        <v>123440</v>
      </c>
      <c r="AI79" s="97" t="s">
        <v>1573</v>
      </c>
      <c r="AJ79" s="192">
        <v>28</v>
      </c>
      <c r="AK79" s="97"/>
      <c r="AL79" s="198">
        <v>123440</v>
      </c>
      <c r="AM79" s="198">
        <v>0</v>
      </c>
      <c r="AN79" s="97"/>
      <c r="AO79" s="97"/>
      <c r="AP79" s="97"/>
      <c r="AQ79" s="202"/>
      <c r="AR79" s="97"/>
      <c r="AS79" s="202"/>
      <c r="AT79" s="97"/>
      <c r="AU79" s="97"/>
      <c r="AV79" s="84"/>
      <c r="AW79" s="84"/>
      <c r="AX79" s="84"/>
    </row>
    <row r="80" spans="1:50" x14ac:dyDescent="0.2">
      <c r="A80" s="192">
        <v>41</v>
      </c>
      <c r="B80" s="192" t="s">
        <v>793</v>
      </c>
      <c r="C80" s="97"/>
      <c r="D80" s="97"/>
      <c r="E80" s="97"/>
      <c r="F80" s="97"/>
      <c r="G80" s="97"/>
      <c r="H80" s="97"/>
      <c r="I80" s="97"/>
      <c r="J80" s="97"/>
      <c r="K80" s="97"/>
      <c r="L80" s="97"/>
      <c r="M80" s="97"/>
      <c r="N80" s="97"/>
      <c r="O80" s="97"/>
      <c r="P80" s="97"/>
      <c r="Q80" s="97"/>
      <c r="R80" s="97"/>
      <c r="S80" s="201"/>
      <c r="T80" s="97"/>
      <c r="U80" s="97"/>
      <c r="V80" s="202"/>
      <c r="W80" s="97"/>
      <c r="X80" s="203"/>
      <c r="Y80" s="202"/>
      <c r="Z80" s="97"/>
      <c r="AA80" s="97"/>
      <c r="AB80" s="204"/>
      <c r="AC80" s="192"/>
      <c r="AD80" s="207"/>
      <c r="AE80" s="206">
        <f t="shared" si="1"/>
        <v>0</v>
      </c>
      <c r="AF80" s="204">
        <v>1460</v>
      </c>
      <c r="AG80" s="186">
        <v>43154</v>
      </c>
      <c r="AH80" s="198">
        <v>22540</v>
      </c>
      <c r="AI80" s="97" t="s">
        <v>1573</v>
      </c>
      <c r="AJ80" s="192">
        <v>28</v>
      </c>
      <c r="AK80" s="97"/>
      <c r="AL80" s="198">
        <v>22540</v>
      </c>
      <c r="AM80" s="198">
        <v>0</v>
      </c>
      <c r="AN80" s="97"/>
      <c r="AO80" s="97"/>
      <c r="AP80" s="97"/>
      <c r="AQ80" s="202"/>
      <c r="AR80" s="97"/>
      <c r="AS80" s="202"/>
      <c r="AT80" s="97"/>
      <c r="AU80" s="97"/>
      <c r="AV80" s="84"/>
      <c r="AW80" s="84"/>
      <c r="AX80" s="84"/>
    </row>
    <row r="81" spans="1:50" x14ac:dyDescent="0.2">
      <c r="A81" s="192">
        <v>41</v>
      </c>
      <c r="B81" s="192" t="s">
        <v>793</v>
      </c>
      <c r="C81" s="97"/>
      <c r="D81" s="97"/>
      <c r="E81" s="97"/>
      <c r="F81" s="97"/>
      <c r="G81" s="97"/>
      <c r="H81" s="97"/>
      <c r="I81" s="97"/>
      <c r="J81" s="97"/>
      <c r="K81" s="97"/>
      <c r="L81" s="97"/>
      <c r="M81" s="97"/>
      <c r="N81" s="97"/>
      <c r="O81" s="97"/>
      <c r="P81" s="97"/>
      <c r="Q81" s="97"/>
      <c r="R81" s="97"/>
      <c r="S81" s="201"/>
      <c r="T81" s="97"/>
      <c r="U81" s="97"/>
      <c r="V81" s="202"/>
      <c r="W81" s="97"/>
      <c r="X81" s="203"/>
      <c r="Y81" s="202"/>
      <c r="Z81" s="97"/>
      <c r="AA81" s="97"/>
      <c r="AB81" s="204"/>
      <c r="AC81" s="192"/>
      <c r="AD81" s="207"/>
      <c r="AE81" s="206">
        <f t="shared" si="1"/>
        <v>0</v>
      </c>
      <c r="AF81" s="204">
        <v>1588</v>
      </c>
      <c r="AG81" s="186">
        <v>43174</v>
      </c>
      <c r="AH81" s="198">
        <v>217148</v>
      </c>
      <c r="AI81" s="97" t="s">
        <v>1574</v>
      </c>
      <c r="AJ81" s="192">
        <v>28</v>
      </c>
      <c r="AK81" s="97"/>
      <c r="AL81" s="198">
        <v>217148</v>
      </c>
      <c r="AM81" s="198">
        <v>0</v>
      </c>
      <c r="AN81" s="97"/>
      <c r="AO81" s="97"/>
      <c r="AP81" s="97"/>
      <c r="AQ81" s="202"/>
      <c r="AR81" s="97"/>
      <c r="AS81" s="202"/>
      <c r="AT81" s="97"/>
      <c r="AU81" s="97"/>
      <c r="AV81" s="84"/>
      <c r="AW81" s="84"/>
      <c r="AX81" s="84"/>
    </row>
    <row r="82" spans="1:50" x14ac:dyDescent="0.2">
      <c r="A82" s="192">
        <v>41</v>
      </c>
      <c r="B82" s="192" t="s">
        <v>793</v>
      </c>
      <c r="C82" s="97"/>
      <c r="D82" s="97"/>
      <c r="E82" s="97"/>
      <c r="F82" s="97"/>
      <c r="G82" s="97"/>
      <c r="H82" s="97"/>
      <c r="I82" s="97"/>
      <c r="J82" s="97"/>
      <c r="K82" s="97"/>
      <c r="L82" s="97"/>
      <c r="M82" s="97"/>
      <c r="N82" s="97"/>
      <c r="O82" s="97"/>
      <c r="P82" s="97"/>
      <c r="Q82" s="97"/>
      <c r="R82" s="97"/>
      <c r="S82" s="201"/>
      <c r="T82" s="97"/>
      <c r="U82" s="97"/>
      <c r="V82" s="202"/>
      <c r="W82" s="97"/>
      <c r="X82" s="203"/>
      <c r="Y82" s="202"/>
      <c r="Z82" s="97"/>
      <c r="AA82" s="97"/>
      <c r="AB82" s="204"/>
      <c r="AC82" s="192"/>
      <c r="AD82" s="207"/>
      <c r="AE82" s="206">
        <f t="shared" si="1"/>
        <v>0</v>
      </c>
      <c r="AF82" s="204">
        <v>1590</v>
      </c>
      <c r="AG82" s="186">
        <v>43175</v>
      </c>
      <c r="AH82" s="198">
        <v>317770</v>
      </c>
      <c r="AI82" s="97" t="s">
        <v>1573</v>
      </c>
      <c r="AJ82" s="192">
        <v>28</v>
      </c>
      <c r="AK82" s="97"/>
      <c r="AL82" s="198">
        <v>317770</v>
      </c>
      <c r="AM82" s="198">
        <v>0</v>
      </c>
      <c r="AN82" s="97"/>
      <c r="AO82" s="97"/>
      <c r="AP82" s="97"/>
      <c r="AQ82" s="202"/>
      <c r="AR82" s="97"/>
      <c r="AS82" s="202"/>
      <c r="AT82" s="97"/>
      <c r="AU82" s="97"/>
      <c r="AV82" s="84"/>
      <c r="AW82" s="84"/>
      <c r="AX82" s="84"/>
    </row>
    <row r="83" spans="1:50" x14ac:dyDescent="0.2">
      <c r="A83" s="192">
        <v>41</v>
      </c>
      <c r="B83" s="192" t="s">
        <v>793</v>
      </c>
      <c r="C83" s="97"/>
      <c r="D83" s="97"/>
      <c r="E83" s="97"/>
      <c r="F83" s="97"/>
      <c r="G83" s="97"/>
      <c r="H83" s="97"/>
      <c r="I83" s="97"/>
      <c r="J83" s="97"/>
      <c r="K83" s="97"/>
      <c r="L83" s="97"/>
      <c r="M83" s="97"/>
      <c r="N83" s="97"/>
      <c r="O83" s="97"/>
      <c r="P83" s="97"/>
      <c r="Q83" s="97"/>
      <c r="R83" s="97"/>
      <c r="S83" s="201"/>
      <c r="T83" s="97"/>
      <c r="U83" s="97"/>
      <c r="V83" s="202"/>
      <c r="W83" s="97"/>
      <c r="X83" s="203"/>
      <c r="Y83" s="202"/>
      <c r="Z83" s="97"/>
      <c r="AA83" s="97"/>
      <c r="AB83" s="204"/>
      <c r="AC83" s="192"/>
      <c r="AD83" s="207"/>
      <c r="AE83" s="206">
        <f t="shared" si="1"/>
        <v>0</v>
      </c>
      <c r="AF83" s="204">
        <v>1614</v>
      </c>
      <c r="AG83" s="186">
        <v>43181</v>
      </c>
      <c r="AH83" s="198">
        <v>24570</v>
      </c>
      <c r="AI83" s="97" t="s">
        <v>1573</v>
      </c>
      <c r="AJ83" s="192">
        <v>28</v>
      </c>
      <c r="AK83" s="97"/>
      <c r="AL83" s="198">
        <v>24570</v>
      </c>
      <c r="AM83" s="198">
        <v>0</v>
      </c>
      <c r="AN83" s="97"/>
      <c r="AO83" s="97"/>
      <c r="AP83" s="97"/>
      <c r="AQ83" s="202"/>
      <c r="AR83" s="97"/>
      <c r="AS83" s="202"/>
      <c r="AT83" s="97"/>
      <c r="AU83" s="97"/>
      <c r="AV83" s="84"/>
      <c r="AW83" s="84"/>
      <c r="AX83" s="84"/>
    </row>
    <row r="84" spans="1:50" x14ac:dyDescent="0.2">
      <c r="A84" s="192">
        <v>41</v>
      </c>
      <c r="B84" s="192" t="s">
        <v>793</v>
      </c>
      <c r="C84" s="97"/>
      <c r="D84" s="97"/>
      <c r="E84" s="97"/>
      <c r="F84" s="97"/>
      <c r="G84" s="97"/>
      <c r="H84" s="97"/>
      <c r="I84" s="97"/>
      <c r="J84" s="97"/>
      <c r="K84" s="97"/>
      <c r="L84" s="97"/>
      <c r="M84" s="97"/>
      <c r="N84" s="97"/>
      <c r="O84" s="97"/>
      <c r="P84" s="97"/>
      <c r="Q84" s="97"/>
      <c r="R84" s="97"/>
      <c r="S84" s="201"/>
      <c r="T84" s="97"/>
      <c r="U84" s="97"/>
      <c r="V84" s="202"/>
      <c r="W84" s="97"/>
      <c r="X84" s="203"/>
      <c r="Y84" s="202"/>
      <c r="Z84" s="97"/>
      <c r="AA84" s="97"/>
      <c r="AB84" s="204"/>
      <c r="AC84" s="192"/>
      <c r="AD84" s="207"/>
      <c r="AE84" s="206">
        <f t="shared" si="1"/>
        <v>0</v>
      </c>
      <c r="AF84" s="204">
        <v>1616</v>
      </c>
      <c r="AG84" s="186">
        <v>43181</v>
      </c>
      <c r="AH84" s="198">
        <v>61453</v>
      </c>
      <c r="AI84" s="97" t="s">
        <v>1574</v>
      </c>
      <c r="AJ84" s="192">
        <v>28</v>
      </c>
      <c r="AK84" s="97"/>
      <c r="AL84" s="198">
        <v>61453</v>
      </c>
      <c r="AM84" s="198">
        <v>0</v>
      </c>
      <c r="AN84" s="97"/>
      <c r="AO84" s="97"/>
      <c r="AP84" s="97"/>
      <c r="AQ84" s="202"/>
      <c r="AR84" s="97"/>
      <c r="AS84" s="202"/>
      <c r="AT84" s="97"/>
      <c r="AU84" s="97"/>
      <c r="AV84" s="84"/>
      <c r="AW84" s="84"/>
      <c r="AX84" s="84"/>
    </row>
    <row r="85" spans="1:50" x14ac:dyDescent="0.2">
      <c r="A85" s="192">
        <v>41</v>
      </c>
      <c r="B85" s="192" t="s">
        <v>793</v>
      </c>
      <c r="C85" s="97"/>
      <c r="D85" s="97"/>
      <c r="E85" s="97"/>
      <c r="F85" s="97"/>
      <c r="G85" s="97"/>
      <c r="H85" s="97"/>
      <c r="I85" s="97"/>
      <c r="J85" s="97"/>
      <c r="K85" s="97"/>
      <c r="L85" s="97"/>
      <c r="M85" s="97"/>
      <c r="N85" s="97"/>
      <c r="O85" s="97"/>
      <c r="P85" s="97"/>
      <c r="Q85" s="97"/>
      <c r="R85" s="97"/>
      <c r="S85" s="201"/>
      <c r="T85" s="97"/>
      <c r="U85" s="97"/>
      <c r="V85" s="202"/>
      <c r="W85" s="97"/>
      <c r="X85" s="203"/>
      <c r="Y85" s="202"/>
      <c r="Z85" s="97"/>
      <c r="AA85" s="97"/>
      <c r="AB85" s="204"/>
      <c r="AC85" s="192"/>
      <c r="AD85" s="207"/>
      <c r="AE85" s="206">
        <f t="shared" si="1"/>
        <v>0</v>
      </c>
      <c r="AF85" s="204">
        <v>1617</v>
      </c>
      <c r="AG85" s="186">
        <v>43181</v>
      </c>
      <c r="AH85" s="198">
        <v>140590</v>
      </c>
      <c r="AI85" s="97" t="s">
        <v>1573</v>
      </c>
      <c r="AJ85" s="192">
        <v>28</v>
      </c>
      <c r="AK85" s="97"/>
      <c r="AL85" s="198">
        <v>140590</v>
      </c>
      <c r="AM85" s="198">
        <v>0</v>
      </c>
      <c r="AN85" s="97"/>
      <c r="AO85" s="97"/>
      <c r="AP85" s="97"/>
      <c r="AQ85" s="202"/>
      <c r="AR85" s="97"/>
      <c r="AS85" s="202"/>
      <c r="AT85" s="97"/>
      <c r="AU85" s="97"/>
      <c r="AV85" s="84"/>
      <c r="AW85" s="84"/>
      <c r="AX85" s="84"/>
    </row>
    <row r="86" spans="1:50" x14ac:dyDescent="0.2">
      <c r="A86" s="192">
        <v>41</v>
      </c>
      <c r="B86" s="192" t="s">
        <v>793</v>
      </c>
      <c r="C86" s="97"/>
      <c r="D86" s="97"/>
      <c r="E86" s="97"/>
      <c r="F86" s="97"/>
      <c r="G86" s="97"/>
      <c r="H86" s="97"/>
      <c r="I86" s="97"/>
      <c r="J86" s="97"/>
      <c r="K86" s="97"/>
      <c r="L86" s="97"/>
      <c r="M86" s="97"/>
      <c r="N86" s="97"/>
      <c r="O86" s="97"/>
      <c r="P86" s="97"/>
      <c r="Q86" s="97"/>
      <c r="R86" s="97"/>
      <c r="S86" s="201"/>
      <c r="T86" s="97"/>
      <c r="U86" s="97"/>
      <c r="V86" s="202"/>
      <c r="W86" s="97"/>
      <c r="X86" s="203"/>
      <c r="Y86" s="202"/>
      <c r="Z86" s="97"/>
      <c r="AA86" s="97"/>
      <c r="AB86" s="204"/>
      <c r="AC86" s="192"/>
      <c r="AD86" s="207"/>
      <c r="AE86" s="206">
        <f t="shared" si="1"/>
        <v>0</v>
      </c>
      <c r="AF86" s="204">
        <v>1618</v>
      </c>
      <c r="AG86" s="186">
        <v>43181</v>
      </c>
      <c r="AH86" s="198">
        <v>133258</v>
      </c>
      <c r="AI86" s="97" t="s">
        <v>1574</v>
      </c>
      <c r="AJ86" s="192">
        <v>28</v>
      </c>
      <c r="AK86" s="97"/>
      <c r="AL86" s="198">
        <v>133258</v>
      </c>
      <c r="AM86" s="198">
        <v>0</v>
      </c>
      <c r="AN86" s="97"/>
      <c r="AO86" s="97"/>
      <c r="AP86" s="97"/>
      <c r="AQ86" s="202"/>
      <c r="AR86" s="97"/>
      <c r="AS86" s="202"/>
      <c r="AT86" s="97"/>
      <c r="AU86" s="97"/>
      <c r="AV86" s="84"/>
      <c r="AW86" s="84"/>
      <c r="AX86" s="84"/>
    </row>
    <row r="87" spans="1:50" x14ac:dyDescent="0.2">
      <c r="A87" s="192">
        <v>41</v>
      </c>
      <c r="B87" s="192" t="s">
        <v>793</v>
      </c>
      <c r="C87" s="97"/>
      <c r="D87" s="97"/>
      <c r="E87" s="97"/>
      <c r="F87" s="97"/>
      <c r="G87" s="97"/>
      <c r="H87" s="97"/>
      <c r="I87" s="97"/>
      <c r="J87" s="97"/>
      <c r="K87" s="97"/>
      <c r="L87" s="97"/>
      <c r="M87" s="97"/>
      <c r="N87" s="97"/>
      <c r="O87" s="97"/>
      <c r="P87" s="97"/>
      <c r="Q87" s="97"/>
      <c r="R87" s="97"/>
      <c r="S87" s="201"/>
      <c r="T87" s="97"/>
      <c r="U87" s="97"/>
      <c r="V87" s="202"/>
      <c r="W87" s="97"/>
      <c r="X87" s="203"/>
      <c r="Y87" s="202"/>
      <c r="Z87" s="97"/>
      <c r="AA87" s="97"/>
      <c r="AB87" s="204"/>
      <c r="AC87" s="192"/>
      <c r="AD87" s="207"/>
      <c r="AE87" s="206">
        <f t="shared" si="1"/>
        <v>0</v>
      </c>
      <c r="AF87" s="204">
        <v>1811</v>
      </c>
      <c r="AG87" s="186">
        <v>43209</v>
      </c>
      <c r="AH87" s="198">
        <v>340895</v>
      </c>
      <c r="AI87" s="97" t="s">
        <v>1573</v>
      </c>
      <c r="AJ87" s="192">
        <v>28</v>
      </c>
      <c r="AK87" s="97"/>
      <c r="AL87" s="198">
        <v>340895</v>
      </c>
      <c r="AM87" s="198">
        <v>0</v>
      </c>
      <c r="AN87" s="97"/>
      <c r="AO87" s="97"/>
      <c r="AP87" s="97"/>
      <c r="AQ87" s="202"/>
      <c r="AR87" s="97"/>
      <c r="AS87" s="202"/>
      <c r="AT87" s="97"/>
      <c r="AU87" s="97"/>
      <c r="AV87" s="84"/>
      <c r="AW87" s="84"/>
      <c r="AX87" s="84"/>
    </row>
    <row r="88" spans="1:50" x14ac:dyDescent="0.2">
      <c r="A88" s="192">
        <v>41</v>
      </c>
      <c r="B88" s="192" t="s">
        <v>793</v>
      </c>
      <c r="C88" s="97"/>
      <c r="D88" s="97"/>
      <c r="E88" s="97"/>
      <c r="F88" s="97"/>
      <c r="G88" s="97"/>
      <c r="H88" s="97"/>
      <c r="I88" s="97"/>
      <c r="J88" s="97"/>
      <c r="K88" s="97"/>
      <c r="L88" s="97"/>
      <c r="M88" s="97"/>
      <c r="N88" s="97"/>
      <c r="O88" s="97"/>
      <c r="P88" s="97"/>
      <c r="Q88" s="97"/>
      <c r="R88" s="97"/>
      <c r="S88" s="201"/>
      <c r="T88" s="97"/>
      <c r="U88" s="97"/>
      <c r="V88" s="202"/>
      <c r="W88" s="97"/>
      <c r="X88" s="203"/>
      <c r="Y88" s="202"/>
      <c r="Z88" s="97"/>
      <c r="AA88" s="97"/>
      <c r="AB88" s="204"/>
      <c r="AC88" s="192"/>
      <c r="AD88" s="207"/>
      <c r="AE88" s="206">
        <f t="shared" si="1"/>
        <v>0</v>
      </c>
      <c r="AF88" s="204">
        <v>1839</v>
      </c>
      <c r="AG88" s="186">
        <v>43214</v>
      </c>
      <c r="AH88" s="198">
        <v>27270</v>
      </c>
      <c r="AI88" s="97" t="s">
        <v>1573</v>
      </c>
      <c r="AJ88" s="192">
        <v>28</v>
      </c>
      <c r="AK88" s="97"/>
      <c r="AL88" s="198">
        <v>27270</v>
      </c>
      <c r="AM88" s="198">
        <v>0</v>
      </c>
      <c r="AN88" s="97"/>
      <c r="AO88" s="97"/>
      <c r="AP88" s="97"/>
      <c r="AQ88" s="202"/>
      <c r="AR88" s="97"/>
      <c r="AS88" s="202"/>
      <c r="AT88" s="97"/>
      <c r="AU88" s="97"/>
      <c r="AV88" s="84"/>
      <c r="AW88" s="84"/>
      <c r="AX88" s="84"/>
    </row>
    <row r="89" spans="1:50" x14ac:dyDescent="0.2">
      <c r="A89" s="192">
        <v>41</v>
      </c>
      <c r="B89" s="192" t="s">
        <v>793</v>
      </c>
      <c r="C89" s="97"/>
      <c r="D89" s="97"/>
      <c r="E89" s="97"/>
      <c r="F89" s="97"/>
      <c r="G89" s="97"/>
      <c r="H89" s="97"/>
      <c r="I89" s="97"/>
      <c r="J89" s="97"/>
      <c r="K89" s="97"/>
      <c r="L89" s="97"/>
      <c r="M89" s="97"/>
      <c r="N89" s="97"/>
      <c r="O89" s="97"/>
      <c r="P89" s="97"/>
      <c r="Q89" s="97"/>
      <c r="R89" s="97"/>
      <c r="S89" s="201"/>
      <c r="T89" s="97"/>
      <c r="U89" s="97"/>
      <c r="V89" s="202"/>
      <c r="W89" s="97"/>
      <c r="X89" s="203"/>
      <c r="Y89" s="202"/>
      <c r="Z89" s="97"/>
      <c r="AA89" s="97"/>
      <c r="AB89" s="204"/>
      <c r="AC89" s="192"/>
      <c r="AD89" s="207"/>
      <c r="AE89" s="206">
        <f t="shared" si="1"/>
        <v>0</v>
      </c>
      <c r="AF89" s="204">
        <v>1841</v>
      </c>
      <c r="AG89" s="186">
        <v>43214</v>
      </c>
      <c r="AH89" s="198">
        <v>149870</v>
      </c>
      <c r="AI89" s="97" t="s">
        <v>1573</v>
      </c>
      <c r="AJ89" s="192">
        <v>28</v>
      </c>
      <c r="AK89" s="97"/>
      <c r="AL89" s="198">
        <v>149870</v>
      </c>
      <c r="AM89" s="198">
        <v>0</v>
      </c>
      <c r="AN89" s="97"/>
      <c r="AO89" s="97"/>
      <c r="AP89" s="97"/>
      <c r="AQ89" s="202"/>
      <c r="AR89" s="97"/>
      <c r="AS89" s="202"/>
      <c r="AT89" s="97"/>
      <c r="AU89" s="97"/>
      <c r="AV89" s="84"/>
      <c r="AW89" s="84"/>
      <c r="AX89" s="84"/>
    </row>
    <row r="90" spans="1:50" x14ac:dyDescent="0.2">
      <c r="A90" s="192">
        <v>41</v>
      </c>
      <c r="B90" s="192" t="s">
        <v>793</v>
      </c>
      <c r="C90" s="97"/>
      <c r="D90" s="97"/>
      <c r="E90" s="97"/>
      <c r="F90" s="97"/>
      <c r="G90" s="97"/>
      <c r="H90" s="97"/>
      <c r="I90" s="97"/>
      <c r="J90" s="97"/>
      <c r="K90" s="97"/>
      <c r="L90" s="97"/>
      <c r="M90" s="97"/>
      <c r="N90" s="97"/>
      <c r="O90" s="97"/>
      <c r="P90" s="97"/>
      <c r="Q90" s="97"/>
      <c r="R90" s="97"/>
      <c r="S90" s="201"/>
      <c r="T90" s="97"/>
      <c r="U90" s="97"/>
      <c r="V90" s="202"/>
      <c r="W90" s="97"/>
      <c r="X90" s="203"/>
      <c r="Y90" s="202"/>
      <c r="Z90" s="97"/>
      <c r="AA90" s="97"/>
      <c r="AB90" s="204"/>
      <c r="AC90" s="192"/>
      <c r="AD90" s="207"/>
      <c r="AE90" s="206">
        <f t="shared" si="1"/>
        <v>0</v>
      </c>
      <c r="AF90" s="204">
        <v>1849</v>
      </c>
      <c r="AG90" s="186">
        <v>43220</v>
      </c>
      <c r="AH90" s="198">
        <v>511229</v>
      </c>
      <c r="AI90" s="97" t="s">
        <v>1574</v>
      </c>
      <c r="AJ90" s="192">
        <v>28</v>
      </c>
      <c r="AK90" s="97"/>
      <c r="AL90" s="198">
        <v>511229</v>
      </c>
      <c r="AM90" s="198">
        <v>0</v>
      </c>
      <c r="AN90" s="97"/>
      <c r="AO90" s="97"/>
      <c r="AP90" s="97"/>
      <c r="AQ90" s="202"/>
      <c r="AR90" s="97"/>
      <c r="AS90" s="202"/>
      <c r="AT90" s="97"/>
      <c r="AU90" s="97"/>
      <c r="AV90" s="84"/>
      <c r="AW90" s="84"/>
      <c r="AX90" s="84"/>
    </row>
    <row r="91" spans="1:50" x14ac:dyDescent="0.2">
      <c r="A91" s="192">
        <v>41</v>
      </c>
      <c r="B91" s="192" t="s">
        <v>793</v>
      </c>
      <c r="C91" s="97"/>
      <c r="D91" s="97"/>
      <c r="E91" s="97"/>
      <c r="F91" s="97"/>
      <c r="G91" s="97"/>
      <c r="H91" s="97"/>
      <c r="I91" s="97"/>
      <c r="J91" s="97"/>
      <c r="K91" s="97"/>
      <c r="L91" s="97"/>
      <c r="M91" s="97"/>
      <c r="N91" s="97"/>
      <c r="O91" s="97"/>
      <c r="P91" s="97"/>
      <c r="Q91" s="97"/>
      <c r="R91" s="97"/>
      <c r="S91" s="201"/>
      <c r="T91" s="97"/>
      <c r="U91" s="97"/>
      <c r="V91" s="202"/>
      <c r="W91" s="97"/>
      <c r="X91" s="203"/>
      <c r="Y91" s="202"/>
      <c r="Z91" s="97"/>
      <c r="AA91" s="97"/>
      <c r="AB91" s="204"/>
      <c r="AC91" s="192"/>
      <c r="AD91" s="207"/>
      <c r="AE91" s="206">
        <f t="shared" si="1"/>
        <v>0</v>
      </c>
      <c r="AF91" s="204">
        <v>1919</v>
      </c>
      <c r="AG91" s="186">
        <v>43241</v>
      </c>
      <c r="AH91" s="198">
        <v>302740</v>
      </c>
      <c r="AI91" s="97" t="s">
        <v>1574</v>
      </c>
      <c r="AJ91" s="192">
        <v>28</v>
      </c>
      <c r="AK91" s="97"/>
      <c r="AL91" s="198">
        <v>302740</v>
      </c>
      <c r="AM91" s="198">
        <v>0</v>
      </c>
      <c r="AN91" s="97"/>
      <c r="AO91" s="97"/>
      <c r="AP91" s="97"/>
      <c r="AQ91" s="202"/>
      <c r="AR91" s="97"/>
      <c r="AS91" s="202"/>
      <c r="AT91" s="97"/>
      <c r="AU91" s="97"/>
      <c r="AV91" s="84"/>
      <c r="AW91" s="84"/>
      <c r="AX91" s="84"/>
    </row>
    <row r="92" spans="1:50" x14ac:dyDescent="0.2">
      <c r="A92" s="192">
        <v>41</v>
      </c>
      <c r="B92" s="192" t="s">
        <v>793</v>
      </c>
      <c r="C92" s="97"/>
      <c r="D92" s="97"/>
      <c r="E92" s="97"/>
      <c r="F92" s="97"/>
      <c r="G92" s="97"/>
      <c r="H92" s="97"/>
      <c r="I92" s="97"/>
      <c r="J92" s="97"/>
      <c r="K92" s="97"/>
      <c r="L92" s="97"/>
      <c r="M92" s="97"/>
      <c r="N92" s="97"/>
      <c r="O92" s="97"/>
      <c r="P92" s="97"/>
      <c r="Q92" s="97"/>
      <c r="R92" s="97"/>
      <c r="S92" s="201"/>
      <c r="T92" s="97"/>
      <c r="U92" s="97"/>
      <c r="V92" s="202"/>
      <c r="W92" s="97"/>
      <c r="X92" s="203"/>
      <c r="Y92" s="202"/>
      <c r="Z92" s="97"/>
      <c r="AA92" s="97"/>
      <c r="AB92" s="204"/>
      <c r="AC92" s="192"/>
      <c r="AD92" s="207"/>
      <c r="AE92" s="206">
        <f t="shared" si="1"/>
        <v>0</v>
      </c>
      <c r="AF92" s="204">
        <v>1921</v>
      </c>
      <c r="AG92" s="186">
        <v>43241</v>
      </c>
      <c r="AH92" s="198">
        <v>332760</v>
      </c>
      <c r="AI92" s="97" t="s">
        <v>1573</v>
      </c>
      <c r="AJ92" s="192">
        <v>28</v>
      </c>
      <c r="AK92" s="97"/>
      <c r="AL92" s="198">
        <v>332760</v>
      </c>
      <c r="AM92" s="198">
        <v>0</v>
      </c>
      <c r="AN92" s="97"/>
      <c r="AO92" s="97"/>
      <c r="AP92" s="97"/>
      <c r="AQ92" s="202"/>
      <c r="AR92" s="97"/>
      <c r="AS92" s="202"/>
      <c r="AT92" s="97"/>
      <c r="AU92" s="97"/>
      <c r="AV92" s="84"/>
      <c r="AW92" s="84"/>
      <c r="AX92" s="84"/>
    </row>
    <row r="93" spans="1:50" x14ac:dyDescent="0.2">
      <c r="A93" s="192">
        <v>41</v>
      </c>
      <c r="B93" s="192" t="s">
        <v>793</v>
      </c>
      <c r="C93" s="97"/>
      <c r="D93" s="97"/>
      <c r="E93" s="97"/>
      <c r="F93" s="97"/>
      <c r="G93" s="97"/>
      <c r="H93" s="97"/>
      <c r="I93" s="97"/>
      <c r="J93" s="97"/>
      <c r="K93" s="97"/>
      <c r="L93" s="97"/>
      <c r="M93" s="97"/>
      <c r="N93" s="97"/>
      <c r="O93" s="97"/>
      <c r="P93" s="97"/>
      <c r="Q93" s="97"/>
      <c r="R93" s="97"/>
      <c r="S93" s="201"/>
      <c r="T93" s="97"/>
      <c r="U93" s="97"/>
      <c r="V93" s="202"/>
      <c r="W93" s="97"/>
      <c r="X93" s="203"/>
      <c r="Y93" s="202"/>
      <c r="Z93" s="97"/>
      <c r="AA93" s="97"/>
      <c r="AB93" s="204"/>
      <c r="AC93" s="192"/>
      <c r="AD93" s="207"/>
      <c r="AE93" s="206">
        <f t="shared" si="1"/>
        <v>0</v>
      </c>
      <c r="AF93" s="204">
        <v>1943</v>
      </c>
      <c r="AG93" s="186">
        <v>43243</v>
      </c>
      <c r="AH93" s="198">
        <v>150690</v>
      </c>
      <c r="AI93" s="97" t="s">
        <v>1574</v>
      </c>
      <c r="AJ93" s="192">
        <v>28</v>
      </c>
      <c r="AK93" s="97"/>
      <c r="AL93" s="198">
        <v>150690</v>
      </c>
      <c r="AM93" s="198">
        <v>0</v>
      </c>
      <c r="AN93" s="97"/>
      <c r="AO93" s="97"/>
      <c r="AP93" s="97"/>
      <c r="AQ93" s="202"/>
      <c r="AR93" s="97"/>
      <c r="AS93" s="202"/>
      <c r="AT93" s="97"/>
      <c r="AU93" s="97"/>
      <c r="AV93" s="84"/>
      <c r="AW93" s="84"/>
      <c r="AX93" s="84"/>
    </row>
    <row r="94" spans="1:50" x14ac:dyDescent="0.2">
      <c r="A94" s="192">
        <v>41</v>
      </c>
      <c r="B94" s="192" t="s">
        <v>793</v>
      </c>
      <c r="C94" s="97"/>
      <c r="D94" s="97"/>
      <c r="E94" s="97"/>
      <c r="F94" s="97"/>
      <c r="G94" s="97"/>
      <c r="H94" s="97"/>
      <c r="I94" s="97"/>
      <c r="J94" s="97"/>
      <c r="K94" s="97"/>
      <c r="L94" s="97"/>
      <c r="M94" s="97"/>
      <c r="N94" s="97"/>
      <c r="O94" s="97"/>
      <c r="P94" s="97"/>
      <c r="Q94" s="97"/>
      <c r="R94" s="97"/>
      <c r="S94" s="201"/>
      <c r="T94" s="97"/>
      <c r="U94" s="97"/>
      <c r="V94" s="202"/>
      <c r="W94" s="97"/>
      <c r="X94" s="203"/>
      <c r="Y94" s="202"/>
      <c r="Z94" s="97"/>
      <c r="AA94" s="97"/>
      <c r="AB94" s="204"/>
      <c r="AC94" s="192"/>
      <c r="AD94" s="207"/>
      <c r="AE94" s="206">
        <f t="shared" si="1"/>
        <v>0</v>
      </c>
      <c r="AF94" s="204">
        <v>1944</v>
      </c>
      <c r="AG94" s="186">
        <v>43243</v>
      </c>
      <c r="AH94" s="198">
        <v>65780</v>
      </c>
      <c r="AI94" s="97" t="s">
        <v>1574</v>
      </c>
      <c r="AJ94" s="192">
        <v>115</v>
      </c>
      <c r="AK94" s="97"/>
      <c r="AL94" s="198">
        <v>65780</v>
      </c>
      <c r="AM94" s="198">
        <v>0</v>
      </c>
      <c r="AN94" s="97"/>
      <c r="AO94" s="97"/>
      <c r="AP94" s="97"/>
      <c r="AQ94" s="202"/>
      <c r="AR94" s="97"/>
      <c r="AS94" s="202"/>
      <c r="AT94" s="97"/>
      <c r="AU94" s="97"/>
      <c r="AV94" s="84"/>
      <c r="AW94" s="84"/>
      <c r="AX94" s="84"/>
    </row>
    <row r="95" spans="1:50" x14ac:dyDescent="0.2">
      <c r="A95" s="192">
        <v>41</v>
      </c>
      <c r="B95" s="192" t="s">
        <v>793</v>
      </c>
      <c r="C95" s="97"/>
      <c r="D95" s="97"/>
      <c r="E95" s="97"/>
      <c r="F95" s="97"/>
      <c r="G95" s="97"/>
      <c r="H95" s="97"/>
      <c r="I95" s="97"/>
      <c r="J95" s="97"/>
      <c r="K95" s="97"/>
      <c r="L95" s="97"/>
      <c r="M95" s="97"/>
      <c r="N95" s="97"/>
      <c r="O95" s="97"/>
      <c r="P95" s="97"/>
      <c r="Q95" s="97"/>
      <c r="R95" s="97"/>
      <c r="S95" s="201"/>
      <c r="T95" s="97"/>
      <c r="U95" s="97"/>
      <c r="V95" s="202"/>
      <c r="W95" s="97"/>
      <c r="X95" s="203"/>
      <c r="Y95" s="202"/>
      <c r="Z95" s="97"/>
      <c r="AA95" s="97"/>
      <c r="AB95" s="204"/>
      <c r="AC95" s="192"/>
      <c r="AD95" s="207"/>
      <c r="AE95" s="206">
        <f t="shared" si="1"/>
        <v>0</v>
      </c>
      <c r="AF95" s="204">
        <v>1953</v>
      </c>
      <c r="AG95" s="186">
        <v>43244</v>
      </c>
      <c r="AH95" s="198">
        <v>24300</v>
      </c>
      <c r="AI95" s="97" t="s">
        <v>1573</v>
      </c>
      <c r="AJ95" s="192">
        <v>28</v>
      </c>
      <c r="AK95" s="97"/>
      <c r="AL95" s="198">
        <v>24300</v>
      </c>
      <c r="AM95" s="198">
        <v>0</v>
      </c>
      <c r="AN95" s="97"/>
      <c r="AO95" s="97"/>
      <c r="AP95" s="97"/>
      <c r="AQ95" s="202"/>
      <c r="AR95" s="97"/>
      <c r="AS95" s="202"/>
      <c r="AT95" s="97"/>
      <c r="AU95" s="97"/>
      <c r="AV95" s="84"/>
      <c r="AW95" s="84"/>
      <c r="AX95" s="84"/>
    </row>
    <row r="96" spans="1:50" x14ac:dyDescent="0.2">
      <c r="A96" s="192">
        <v>41</v>
      </c>
      <c r="B96" s="192" t="s">
        <v>793</v>
      </c>
      <c r="C96" s="97"/>
      <c r="D96" s="97"/>
      <c r="E96" s="97"/>
      <c r="F96" s="97"/>
      <c r="G96" s="97"/>
      <c r="H96" s="97"/>
      <c r="I96" s="97"/>
      <c r="J96" s="97"/>
      <c r="K96" s="97"/>
      <c r="L96" s="97"/>
      <c r="M96" s="97"/>
      <c r="N96" s="97"/>
      <c r="O96" s="97"/>
      <c r="P96" s="97"/>
      <c r="Q96" s="97"/>
      <c r="R96" s="97"/>
      <c r="S96" s="201"/>
      <c r="T96" s="97"/>
      <c r="U96" s="97"/>
      <c r="V96" s="202"/>
      <c r="W96" s="97"/>
      <c r="X96" s="203"/>
      <c r="Y96" s="202"/>
      <c r="Z96" s="97"/>
      <c r="AA96" s="97"/>
      <c r="AB96" s="204"/>
      <c r="AC96" s="192"/>
      <c r="AD96" s="207"/>
      <c r="AE96" s="206">
        <f t="shared" si="1"/>
        <v>0</v>
      </c>
      <c r="AF96" s="204">
        <v>1954</v>
      </c>
      <c r="AG96" s="186">
        <v>43244</v>
      </c>
      <c r="AH96" s="198">
        <v>149380</v>
      </c>
      <c r="AI96" s="97" t="s">
        <v>1573</v>
      </c>
      <c r="AJ96" s="192">
        <v>28</v>
      </c>
      <c r="AK96" s="97"/>
      <c r="AL96" s="198">
        <v>149380</v>
      </c>
      <c r="AM96" s="198">
        <v>0</v>
      </c>
      <c r="AN96" s="97"/>
      <c r="AO96" s="97"/>
      <c r="AP96" s="97"/>
      <c r="AQ96" s="202"/>
      <c r="AR96" s="97"/>
      <c r="AS96" s="202"/>
      <c r="AT96" s="97"/>
      <c r="AU96" s="97"/>
      <c r="AV96" s="84"/>
      <c r="AW96" s="84"/>
      <c r="AX96" s="84"/>
    </row>
    <row r="97" spans="1:50" x14ac:dyDescent="0.2">
      <c r="A97" s="192">
        <v>41</v>
      </c>
      <c r="B97" s="192" t="s">
        <v>793</v>
      </c>
      <c r="C97" s="97"/>
      <c r="D97" s="97"/>
      <c r="E97" s="97"/>
      <c r="F97" s="97"/>
      <c r="G97" s="97"/>
      <c r="H97" s="97"/>
      <c r="I97" s="97"/>
      <c r="J97" s="97"/>
      <c r="K97" s="97"/>
      <c r="L97" s="97"/>
      <c r="M97" s="97"/>
      <c r="N97" s="97"/>
      <c r="O97" s="97"/>
      <c r="P97" s="97"/>
      <c r="Q97" s="97"/>
      <c r="R97" s="97"/>
      <c r="S97" s="201"/>
      <c r="T97" s="97"/>
      <c r="U97" s="97"/>
      <c r="V97" s="202"/>
      <c r="W97" s="97"/>
      <c r="X97" s="203"/>
      <c r="Y97" s="202"/>
      <c r="Z97" s="97"/>
      <c r="AA97" s="97"/>
      <c r="AB97" s="204"/>
      <c r="AC97" s="192"/>
      <c r="AD97" s="207"/>
      <c r="AE97" s="206">
        <f t="shared" si="1"/>
        <v>0</v>
      </c>
      <c r="AF97" s="204">
        <v>1955</v>
      </c>
      <c r="AG97" s="186">
        <v>43244</v>
      </c>
      <c r="AH97" s="198">
        <v>310064</v>
      </c>
      <c r="AI97" s="97" t="s">
        <v>1574</v>
      </c>
      <c r="AJ97" s="192">
        <v>28</v>
      </c>
      <c r="AK97" s="97"/>
      <c r="AL97" s="198">
        <v>310064</v>
      </c>
      <c r="AM97" s="198">
        <v>0</v>
      </c>
      <c r="AN97" s="97"/>
      <c r="AO97" s="97"/>
      <c r="AP97" s="97"/>
      <c r="AQ97" s="202"/>
      <c r="AR97" s="97"/>
      <c r="AS97" s="202"/>
      <c r="AT97" s="97"/>
      <c r="AU97" s="97"/>
      <c r="AV97" s="84"/>
      <c r="AW97" s="84"/>
      <c r="AX97" s="84"/>
    </row>
    <row r="98" spans="1:50" x14ac:dyDescent="0.2">
      <c r="A98" s="192">
        <v>41</v>
      </c>
      <c r="B98" s="192" t="s">
        <v>793</v>
      </c>
      <c r="C98" s="97"/>
      <c r="D98" s="97"/>
      <c r="E98" s="97"/>
      <c r="F98" s="97"/>
      <c r="G98" s="97"/>
      <c r="H98" s="97"/>
      <c r="I98" s="97"/>
      <c r="J98" s="97"/>
      <c r="K98" s="97"/>
      <c r="L98" s="97"/>
      <c r="M98" s="97"/>
      <c r="N98" s="97"/>
      <c r="O98" s="97"/>
      <c r="P98" s="97"/>
      <c r="Q98" s="97"/>
      <c r="R98" s="97"/>
      <c r="S98" s="201"/>
      <c r="T98" s="97"/>
      <c r="U98" s="97"/>
      <c r="V98" s="202"/>
      <c r="W98" s="97"/>
      <c r="X98" s="203"/>
      <c r="Y98" s="202"/>
      <c r="Z98" s="97"/>
      <c r="AA98" s="97"/>
      <c r="AB98" s="204"/>
      <c r="AC98" s="192"/>
      <c r="AD98" s="207" t="s">
        <v>1575</v>
      </c>
      <c r="AE98" s="206"/>
      <c r="AF98" s="204">
        <v>2031</v>
      </c>
      <c r="AG98" s="186">
        <v>43269</v>
      </c>
      <c r="AH98" s="198">
        <v>259090</v>
      </c>
      <c r="AI98" s="97" t="s">
        <v>1573</v>
      </c>
      <c r="AJ98" s="192">
        <v>28</v>
      </c>
      <c r="AK98" s="97"/>
      <c r="AL98" s="198">
        <v>259090</v>
      </c>
      <c r="AM98" s="198">
        <v>0</v>
      </c>
      <c r="AN98" s="97"/>
      <c r="AO98" s="97"/>
      <c r="AP98" s="97"/>
      <c r="AQ98" s="202"/>
      <c r="AR98" s="97"/>
      <c r="AS98" s="202"/>
      <c r="AT98" s="97"/>
      <c r="AU98" s="97"/>
      <c r="AV98" s="84"/>
      <c r="AW98" s="84"/>
      <c r="AX98" s="84"/>
    </row>
    <row r="99" spans="1:50" x14ac:dyDescent="0.2">
      <c r="A99" s="192">
        <v>41</v>
      </c>
      <c r="B99" s="192" t="s">
        <v>793</v>
      </c>
      <c r="C99" s="97"/>
      <c r="D99" s="97"/>
      <c r="E99" s="97"/>
      <c r="F99" s="97"/>
      <c r="G99" s="97"/>
      <c r="H99" s="97"/>
      <c r="I99" s="97"/>
      <c r="J99" s="97"/>
      <c r="K99" s="97"/>
      <c r="L99" s="97"/>
      <c r="M99" s="97"/>
      <c r="N99" s="97"/>
      <c r="O99" s="97"/>
      <c r="P99" s="97"/>
      <c r="Q99" s="97"/>
      <c r="R99" s="97"/>
      <c r="S99" s="201"/>
      <c r="T99" s="97"/>
      <c r="U99" s="97"/>
      <c r="V99" s="202"/>
      <c r="W99" s="97"/>
      <c r="X99" s="203"/>
      <c r="Y99" s="202"/>
      <c r="Z99" s="97"/>
      <c r="AA99" s="97"/>
      <c r="AB99" s="204"/>
      <c r="AC99" s="192"/>
      <c r="AD99" s="207"/>
      <c r="AE99" s="206">
        <f t="shared" si="1"/>
        <v>0</v>
      </c>
      <c r="AF99" s="204">
        <v>2145</v>
      </c>
      <c r="AG99" s="186">
        <v>43276</v>
      </c>
      <c r="AH99" s="198">
        <v>146070</v>
      </c>
      <c r="AI99" s="97" t="s">
        <v>1573</v>
      </c>
      <c r="AJ99" s="192">
        <v>28</v>
      </c>
      <c r="AK99" s="97"/>
      <c r="AL99" s="198">
        <v>146070</v>
      </c>
      <c r="AM99" s="198">
        <v>0</v>
      </c>
      <c r="AN99" s="97"/>
      <c r="AO99" s="97"/>
      <c r="AP99" s="97"/>
      <c r="AQ99" s="202"/>
      <c r="AR99" s="97"/>
      <c r="AS99" s="202"/>
      <c r="AT99" s="97"/>
      <c r="AU99" s="97"/>
      <c r="AV99" s="84"/>
      <c r="AW99" s="84"/>
      <c r="AX99" s="84"/>
    </row>
    <row r="100" spans="1:50" x14ac:dyDescent="0.2">
      <c r="A100" s="192">
        <v>41</v>
      </c>
      <c r="B100" s="192" t="s">
        <v>793</v>
      </c>
      <c r="C100" s="97"/>
      <c r="D100" s="97"/>
      <c r="E100" s="97"/>
      <c r="F100" s="97"/>
      <c r="G100" s="97"/>
      <c r="H100" s="97"/>
      <c r="I100" s="97"/>
      <c r="J100" s="97"/>
      <c r="K100" s="97"/>
      <c r="L100" s="97"/>
      <c r="M100" s="97"/>
      <c r="N100" s="97"/>
      <c r="O100" s="97"/>
      <c r="P100" s="97"/>
      <c r="Q100" s="97"/>
      <c r="R100" s="97"/>
      <c r="S100" s="201"/>
      <c r="T100" s="97"/>
      <c r="U100" s="97"/>
      <c r="V100" s="202"/>
      <c r="W100" s="97"/>
      <c r="X100" s="203"/>
      <c r="Y100" s="202"/>
      <c r="Z100" s="97"/>
      <c r="AA100" s="97"/>
      <c r="AB100" s="204"/>
      <c r="AC100" s="192"/>
      <c r="AD100" s="207"/>
      <c r="AE100" s="206">
        <f t="shared" si="1"/>
        <v>0</v>
      </c>
      <c r="AF100" s="204">
        <v>2508</v>
      </c>
      <c r="AG100" s="186">
        <v>43299</v>
      </c>
      <c r="AH100" s="198">
        <v>366980</v>
      </c>
      <c r="AI100" s="97" t="s">
        <v>1574</v>
      </c>
      <c r="AJ100" s="192">
        <v>28</v>
      </c>
      <c r="AK100" s="97"/>
      <c r="AL100" s="198">
        <v>366980</v>
      </c>
      <c r="AM100" s="198">
        <v>0</v>
      </c>
      <c r="AN100" s="97"/>
      <c r="AO100" s="97"/>
      <c r="AP100" s="97"/>
      <c r="AQ100" s="202"/>
      <c r="AR100" s="97"/>
      <c r="AS100" s="202"/>
      <c r="AT100" s="97"/>
      <c r="AU100" s="97"/>
      <c r="AV100" s="84"/>
      <c r="AW100" s="84"/>
      <c r="AX100" s="84"/>
    </row>
    <row r="101" spans="1:50" x14ac:dyDescent="0.2">
      <c r="A101" s="192">
        <v>41</v>
      </c>
      <c r="B101" s="192" t="s">
        <v>793</v>
      </c>
      <c r="C101" s="97"/>
      <c r="D101" s="97"/>
      <c r="E101" s="97"/>
      <c r="F101" s="97"/>
      <c r="G101" s="97"/>
      <c r="H101" s="97"/>
      <c r="I101" s="97"/>
      <c r="J101" s="97"/>
      <c r="K101" s="97"/>
      <c r="L101" s="97"/>
      <c r="M101" s="97"/>
      <c r="N101" s="97"/>
      <c r="O101" s="97"/>
      <c r="P101" s="97"/>
      <c r="Q101" s="97"/>
      <c r="R101" s="97"/>
      <c r="S101" s="201"/>
      <c r="T101" s="97"/>
      <c r="U101" s="97"/>
      <c r="V101" s="202"/>
      <c r="W101" s="97"/>
      <c r="X101" s="203"/>
      <c r="Y101" s="202"/>
      <c r="Z101" s="97"/>
      <c r="AA101" s="97"/>
      <c r="AB101" s="204"/>
      <c r="AC101" s="192"/>
      <c r="AD101" s="207"/>
      <c r="AE101" s="206">
        <f t="shared" si="1"/>
        <v>0</v>
      </c>
      <c r="AF101" s="204">
        <v>2509</v>
      </c>
      <c r="AG101" s="186">
        <v>43299</v>
      </c>
      <c r="AH101" s="198">
        <v>269200</v>
      </c>
      <c r="AI101" s="97" t="s">
        <v>1573</v>
      </c>
      <c r="AJ101" s="192">
        <v>28</v>
      </c>
      <c r="AK101" s="97"/>
      <c r="AL101" s="198">
        <v>269200</v>
      </c>
      <c r="AM101" s="198">
        <v>0</v>
      </c>
      <c r="AN101" s="97"/>
      <c r="AO101" s="97"/>
      <c r="AP101" s="97"/>
      <c r="AQ101" s="202"/>
      <c r="AR101" s="97"/>
      <c r="AS101" s="202"/>
      <c r="AT101" s="97"/>
      <c r="AU101" s="97"/>
      <c r="AV101" s="84"/>
      <c r="AW101" s="84"/>
      <c r="AX101" s="84"/>
    </row>
    <row r="102" spans="1:50" x14ac:dyDescent="0.2">
      <c r="A102" s="192">
        <v>41</v>
      </c>
      <c r="B102" s="192" t="s">
        <v>793</v>
      </c>
      <c r="C102" s="97"/>
      <c r="D102" s="97"/>
      <c r="E102" s="97"/>
      <c r="F102" s="97"/>
      <c r="G102" s="97"/>
      <c r="H102" s="97"/>
      <c r="I102" s="97"/>
      <c r="J102" s="97"/>
      <c r="K102" s="97"/>
      <c r="L102" s="97"/>
      <c r="M102" s="97"/>
      <c r="N102" s="97"/>
      <c r="O102" s="97"/>
      <c r="P102" s="97"/>
      <c r="Q102" s="97"/>
      <c r="R102" s="97"/>
      <c r="S102" s="201"/>
      <c r="T102" s="97"/>
      <c r="U102" s="97"/>
      <c r="V102" s="202"/>
      <c r="W102" s="97"/>
      <c r="X102" s="203"/>
      <c r="Y102" s="202"/>
      <c r="Z102" s="97"/>
      <c r="AA102" s="97"/>
      <c r="AB102" s="204"/>
      <c r="AC102" s="192"/>
      <c r="AD102" s="207"/>
      <c r="AE102" s="206">
        <f t="shared" si="1"/>
        <v>0</v>
      </c>
      <c r="AF102" s="204">
        <v>2510</v>
      </c>
      <c r="AG102" s="186">
        <v>43299</v>
      </c>
      <c r="AH102" s="198">
        <v>139090</v>
      </c>
      <c r="AI102" s="97" t="s">
        <v>1574</v>
      </c>
      <c r="AJ102" s="192">
        <v>28</v>
      </c>
      <c r="AK102" s="97"/>
      <c r="AL102" s="198">
        <v>139090</v>
      </c>
      <c r="AM102" s="198">
        <v>0</v>
      </c>
      <c r="AN102" s="97"/>
      <c r="AO102" s="97"/>
      <c r="AP102" s="97"/>
      <c r="AQ102" s="202"/>
      <c r="AR102" s="97"/>
      <c r="AS102" s="202"/>
      <c r="AT102" s="97"/>
      <c r="AU102" s="97"/>
      <c r="AV102" s="84"/>
      <c r="AW102" s="84"/>
      <c r="AX102" s="84"/>
    </row>
    <row r="103" spans="1:50" x14ac:dyDescent="0.2">
      <c r="A103" s="192">
        <v>41</v>
      </c>
      <c r="B103" s="192" t="s">
        <v>793</v>
      </c>
      <c r="C103" s="97"/>
      <c r="D103" s="97"/>
      <c r="E103" s="97"/>
      <c r="F103" s="97"/>
      <c r="G103" s="97"/>
      <c r="H103" s="97"/>
      <c r="I103" s="97"/>
      <c r="J103" s="97"/>
      <c r="K103" s="97"/>
      <c r="L103" s="97"/>
      <c r="M103" s="97"/>
      <c r="N103" s="97"/>
      <c r="O103" s="97"/>
      <c r="P103" s="97"/>
      <c r="Q103" s="97"/>
      <c r="R103" s="97"/>
      <c r="S103" s="201"/>
      <c r="T103" s="97"/>
      <c r="U103" s="97"/>
      <c r="V103" s="202"/>
      <c r="W103" s="97"/>
      <c r="X103" s="203"/>
      <c r="Y103" s="202"/>
      <c r="Z103" s="97"/>
      <c r="AA103" s="97"/>
      <c r="AB103" s="204"/>
      <c r="AC103" s="192"/>
      <c r="AD103" s="207"/>
      <c r="AE103" s="206">
        <f t="shared" si="1"/>
        <v>0</v>
      </c>
      <c r="AF103" s="204">
        <v>2543</v>
      </c>
      <c r="AG103" s="186">
        <v>43306</v>
      </c>
      <c r="AH103" s="198">
        <v>153000</v>
      </c>
      <c r="AI103" s="97" t="s">
        <v>1573</v>
      </c>
      <c r="AJ103" s="192">
        <v>28</v>
      </c>
      <c r="AK103" s="97"/>
      <c r="AL103" s="198">
        <v>153000</v>
      </c>
      <c r="AM103" s="198">
        <v>0</v>
      </c>
      <c r="AN103" s="97"/>
      <c r="AO103" s="97"/>
      <c r="AP103" s="97"/>
      <c r="AQ103" s="202"/>
      <c r="AR103" s="97"/>
      <c r="AS103" s="202"/>
      <c r="AT103" s="97"/>
      <c r="AU103" s="97"/>
      <c r="AV103" s="84"/>
      <c r="AW103" s="84"/>
      <c r="AX103" s="84"/>
    </row>
    <row r="104" spans="1:50" x14ac:dyDescent="0.2">
      <c r="A104" s="192">
        <v>42</v>
      </c>
      <c r="B104" s="192" t="s">
        <v>796</v>
      </c>
      <c r="C104" s="97" t="s">
        <v>644</v>
      </c>
      <c r="D104" s="97" t="s">
        <v>645</v>
      </c>
      <c r="E104" s="97" t="s">
        <v>677</v>
      </c>
      <c r="F104" s="97" t="s">
        <v>501</v>
      </c>
      <c r="G104" s="97" t="s">
        <v>780</v>
      </c>
      <c r="H104" s="97" t="s">
        <v>781</v>
      </c>
      <c r="I104" s="97" t="s">
        <v>54</v>
      </c>
      <c r="J104" s="97" t="s">
        <v>55</v>
      </c>
      <c r="K104" s="97">
        <v>82121700</v>
      </c>
      <c r="L104" s="97" t="s">
        <v>492</v>
      </c>
      <c r="M104" s="97" t="s">
        <v>493</v>
      </c>
      <c r="N104" s="97" t="s">
        <v>494</v>
      </c>
      <c r="O104" s="97" t="s">
        <v>508</v>
      </c>
      <c r="P104" s="97" t="s">
        <v>797</v>
      </c>
      <c r="Q104" s="97">
        <v>85000000</v>
      </c>
      <c r="R104" s="97">
        <v>1</v>
      </c>
      <c r="S104" s="201">
        <v>146900000</v>
      </c>
      <c r="T104" s="97" t="s">
        <v>778</v>
      </c>
      <c r="U104" s="97" t="s">
        <v>344</v>
      </c>
      <c r="V104" s="202">
        <v>43174</v>
      </c>
      <c r="W104" s="97">
        <v>10</v>
      </c>
      <c r="X104" s="203" t="s">
        <v>798</v>
      </c>
      <c r="Y104" s="202">
        <v>43201</v>
      </c>
      <c r="Z104" s="97">
        <v>146900000</v>
      </c>
      <c r="AA104" s="97" t="s">
        <v>799</v>
      </c>
      <c r="AB104" s="204">
        <v>776</v>
      </c>
      <c r="AC104" s="97" t="s">
        <v>1576</v>
      </c>
      <c r="AD104" s="205">
        <v>146900000</v>
      </c>
      <c r="AE104" s="206">
        <f t="shared" si="1"/>
        <v>0</v>
      </c>
      <c r="AF104" s="204"/>
      <c r="AG104" s="186"/>
      <c r="AH104" s="198"/>
      <c r="AI104" s="97"/>
      <c r="AJ104" s="192"/>
      <c r="AK104" s="97"/>
      <c r="AL104" s="198"/>
      <c r="AM104" s="198"/>
      <c r="AN104" s="97" t="s">
        <v>650</v>
      </c>
      <c r="AO104" s="97"/>
      <c r="AP104" s="97" t="s">
        <v>800</v>
      </c>
      <c r="AQ104" s="202">
        <v>43201</v>
      </c>
      <c r="AR104" s="97" t="s">
        <v>146</v>
      </c>
      <c r="AS104" s="202">
        <v>43201</v>
      </c>
      <c r="AT104" s="97" t="s">
        <v>801</v>
      </c>
      <c r="AU104" s="97"/>
      <c r="AV104" s="84"/>
      <c r="AW104" s="84"/>
      <c r="AX104" s="84"/>
    </row>
    <row r="105" spans="1:50" x14ac:dyDescent="0.2">
      <c r="A105" s="192">
        <v>43</v>
      </c>
      <c r="B105" s="192" t="s">
        <v>802</v>
      </c>
      <c r="C105" s="97" t="s">
        <v>644</v>
      </c>
      <c r="D105" s="97" t="s">
        <v>645</v>
      </c>
      <c r="E105" s="97" t="s">
        <v>677</v>
      </c>
      <c r="F105" s="97" t="s">
        <v>501</v>
      </c>
      <c r="G105" s="97" t="s">
        <v>780</v>
      </c>
      <c r="H105" s="97" t="s">
        <v>781</v>
      </c>
      <c r="I105" s="97" t="s">
        <v>54</v>
      </c>
      <c r="J105" s="97" t="s">
        <v>55</v>
      </c>
      <c r="K105" s="97">
        <v>44122000</v>
      </c>
      <c r="L105" s="97" t="s">
        <v>492</v>
      </c>
      <c r="M105" s="97" t="s">
        <v>493</v>
      </c>
      <c r="N105" s="97" t="s">
        <v>494</v>
      </c>
      <c r="O105" s="97" t="s">
        <v>508</v>
      </c>
      <c r="P105" s="97" t="s">
        <v>299</v>
      </c>
      <c r="Q105" s="97">
        <v>1700000</v>
      </c>
      <c r="R105" s="97">
        <v>1</v>
      </c>
      <c r="S105" s="201">
        <v>17000000</v>
      </c>
      <c r="T105" s="97" t="s">
        <v>803</v>
      </c>
      <c r="U105" s="97" t="s">
        <v>249</v>
      </c>
      <c r="V105" s="202">
        <v>43244</v>
      </c>
      <c r="W105" s="97">
        <v>10</v>
      </c>
      <c r="X105" s="203"/>
      <c r="Y105" s="202"/>
      <c r="Z105" s="97"/>
      <c r="AA105" s="97"/>
      <c r="AB105" s="209"/>
      <c r="AC105" s="202"/>
      <c r="AD105" s="97"/>
      <c r="AE105" s="206">
        <f t="shared" si="1"/>
        <v>17000000</v>
      </c>
      <c r="AF105" s="201"/>
      <c r="AG105" s="202"/>
      <c r="AH105" s="97"/>
      <c r="AI105" s="97"/>
      <c r="AJ105" s="97"/>
      <c r="AK105" s="97"/>
      <c r="AL105" s="97"/>
      <c r="AM105" s="97"/>
      <c r="AN105" s="97" t="s">
        <v>650</v>
      </c>
      <c r="AO105" s="97"/>
      <c r="AP105" s="97" t="s">
        <v>300</v>
      </c>
      <c r="AQ105" s="202">
        <v>43215</v>
      </c>
      <c r="AR105" s="97" t="s">
        <v>264</v>
      </c>
      <c r="AS105" s="202">
        <v>43215</v>
      </c>
      <c r="AT105" s="97"/>
      <c r="AU105" s="97"/>
      <c r="AV105" s="84"/>
      <c r="AW105" s="84"/>
      <c r="AX105" s="84"/>
    </row>
    <row r="106" spans="1:50" x14ac:dyDescent="0.2">
      <c r="A106" s="192">
        <v>44</v>
      </c>
      <c r="B106" s="192" t="s">
        <v>804</v>
      </c>
      <c r="C106" s="97" t="s">
        <v>644</v>
      </c>
      <c r="D106" s="97" t="s">
        <v>645</v>
      </c>
      <c r="E106" s="97" t="s">
        <v>677</v>
      </c>
      <c r="F106" s="97" t="s">
        <v>501</v>
      </c>
      <c r="G106" s="97" t="s">
        <v>780</v>
      </c>
      <c r="H106" s="97" t="s">
        <v>781</v>
      </c>
      <c r="I106" s="97" t="s">
        <v>54</v>
      </c>
      <c r="J106" s="97" t="s">
        <v>55</v>
      </c>
      <c r="K106" s="97">
        <v>83100000</v>
      </c>
      <c r="L106" s="97" t="s">
        <v>492</v>
      </c>
      <c r="M106" s="97" t="s">
        <v>493</v>
      </c>
      <c r="N106" s="97" t="s">
        <v>494</v>
      </c>
      <c r="O106" s="97" t="s">
        <v>508</v>
      </c>
      <c r="P106" s="97" t="s">
        <v>805</v>
      </c>
      <c r="Q106" s="97">
        <v>772333.33333333337</v>
      </c>
      <c r="R106" s="97">
        <v>1</v>
      </c>
      <c r="S106" s="201">
        <v>9268000</v>
      </c>
      <c r="T106" s="97" t="s">
        <v>50</v>
      </c>
      <c r="U106" s="97" t="s">
        <v>50</v>
      </c>
      <c r="V106" s="202">
        <v>43102</v>
      </c>
      <c r="W106" s="97">
        <v>12</v>
      </c>
      <c r="X106" s="203" t="s">
        <v>806</v>
      </c>
      <c r="Y106" s="202">
        <v>43117</v>
      </c>
      <c r="Z106" s="97">
        <v>9268000</v>
      </c>
      <c r="AA106" s="97"/>
      <c r="AB106" s="204">
        <v>520</v>
      </c>
      <c r="AC106" s="192" t="s">
        <v>1507</v>
      </c>
      <c r="AD106" s="205">
        <v>9268000</v>
      </c>
      <c r="AE106" s="206">
        <f t="shared" si="1"/>
        <v>0</v>
      </c>
      <c r="AF106" s="204">
        <v>487</v>
      </c>
      <c r="AG106" s="186">
        <v>43126</v>
      </c>
      <c r="AH106" s="198">
        <v>534012</v>
      </c>
      <c r="AI106" s="97" t="s">
        <v>1577</v>
      </c>
      <c r="AJ106" s="192">
        <v>28</v>
      </c>
      <c r="AK106" s="97"/>
      <c r="AL106" s="198">
        <v>534012</v>
      </c>
      <c r="AM106" s="198">
        <v>0</v>
      </c>
      <c r="AN106" s="97" t="s">
        <v>650</v>
      </c>
      <c r="AO106" s="97"/>
      <c r="AP106" s="97"/>
      <c r="AQ106" s="202"/>
      <c r="AR106" s="97"/>
      <c r="AS106" s="202"/>
      <c r="AT106" s="97"/>
      <c r="AU106" s="97"/>
      <c r="AV106" s="84"/>
      <c r="AW106" s="84"/>
      <c r="AX106" s="84"/>
    </row>
    <row r="107" spans="1:50" x14ac:dyDescent="0.2">
      <c r="A107" s="192">
        <v>44</v>
      </c>
      <c r="B107" s="192" t="s">
        <v>804</v>
      </c>
      <c r="C107" s="97"/>
      <c r="D107" s="97"/>
      <c r="E107" s="97"/>
      <c r="F107" s="97"/>
      <c r="G107" s="97"/>
      <c r="H107" s="97"/>
      <c r="I107" s="97"/>
      <c r="J107" s="97"/>
      <c r="K107" s="97"/>
      <c r="L107" s="97"/>
      <c r="M107" s="97"/>
      <c r="N107" s="97"/>
      <c r="O107" s="97"/>
      <c r="P107" s="97"/>
      <c r="Q107" s="97"/>
      <c r="R107" s="97"/>
      <c r="S107" s="201"/>
      <c r="T107" s="97"/>
      <c r="U107" s="97"/>
      <c r="V107" s="202"/>
      <c r="W107" s="97"/>
      <c r="X107" s="203"/>
      <c r="Y107" s="202"/>
      <c r="Z107" s="97"/>
      <c r="AA107" s="97"/>
      <c r="AB107" s="204"/>
      <c r="AC107" s="192"/>
      <c r="AD107" s="207"/>
      <c r="AE107" s="206">
        <f t="shared" si="1"/>
        <v>0</v>
      </c>
      <c r="AF107" s="204">
        <v>1466</v>
      </c>
      <c r="AG107" s="186">
        <v>43154</v>
      </c>
      <c r="AH107" s="198">
        <v>533942</v>
      </c>
      <c r="AI107" s="97" t="s">
        <v>1577</v>
      </c>
      <c r="AJ107" s="192">
        <v>28</v>
      </c>
      <c r="AK107" s="97"/>
      <c r="AL107" s="198">
        <v>533942</v>
      </c>
      <c r="AM107" s="198">
        <v>0</v>
      </c>
      <c r="AN107" s="97"/>
      <c r="AO107" s="97"/>
      <c r="AP107" s="97"/>
      <c r="AQ107" s="202"/>
      <c r="AR107" s="97"/>
      <c r="AS107" s="202"/>
      <c r="AT107" s="97"/>
      <c r="AU107" s="97"/>
      <c r="AV107" s="84"/>
      <c r="AW107" s="84"/>
      <c r="AX107" s="84"/>
    </row>
    <row r="108" spans="1:50" x14ac:dyDescent="0.2">
      <c r="A108" s="192">
        <v>44</v>
      </c>
      <c r="B108" s="192" t="s">
        <v>804</v>
      </c>
      <c r="C108" s="97"/>
      <c r="D108" s="97"/>
      <c r="E108" s="97"/>
      <c r="F108" s="97"/>
      <c r="G108" s="97"/>
      <c r="H108" s="97"/>
      <c r="I108" s="97"/>
      <c r="J108" s="97"/>
      <c r="K108" s="97"/>
      <c r="L108" s="97"/>
      <c r="M108" s="97"/>
      <c r="N108" s="97"/>
      <c r="O108" s="97"/>
      <c r="P108" s="97"/>
      <c r="Q108" s="97"/>
      <c r="R108" s="97"/>
      <c r="S108" s="201"/>
      <c r="T108" s="97"/>
      <c r="U108" s="97"/>
      <c r="V108" s="202"/>
      <c r="W108" s="97"/>
      <c r="X108" s="203"/>
      <c r="Y108" s="202"/>
      <c r="Z108" s="97"/>
      <c r="AA108" s="97"/>
      <c r="AB108" s="204"/>
      <c r="AC108" s="192"/>
      <c r="AD108" s="207"/>
      <c r="AE108" s="206">
        <f t="shared" si="1"/>
        <v>0</v>
      </c>
      <c r="AF108" s="204">
        <v>1660</v>
      </c>
      <c r="AG108" s="186">
        <v>43185</v>
      </c>
      <c r="AH108" s="198">
        <v>534012</v>
      </c>
      <c r="AI108" s="97" t="s">
        <v>1577</v>
      </c>
      <c r="AJ108" s="192">
        <v>28</v>
      </c>
      <c r="AK108" s="97"/>
      <c r="AL108" s="198">
        <v>534012</v>
      </c>
      <c r="AM108" s="198">
        <v>0</v>
      </c>
      <c r="AN108" s="97"/>
      <c r="AO108" s="97"/>
      <c r="AP108" s="97"/>
      <c r="AQ108" s="202"/>
      <c r="AR108" s="97"/>
      <c r="AS108" s="202"/>
      <c r="AT108" s="97"/>
      <c r="AU108" s="97"/>
      <c r="AV108" s="84"/>
      <c r="AW108" s="84"/>
      <c r="AX108" s="84"/>
    </row>
    <row r="109" spans="1:50" x14ac:dyDescent="0.2">
      <c r="A109" s="192">
        <v>44</v>
      </c>
      <c r="B109" s="192" t="s">
        <v>804</v>
      </c>
      <c r="C109" s="97"/>
      <c r="D109" s="97"/>
      <c r="E109" s="97"/>
      <c r="F109" s="97"/>
      <c r="G109" s="97"/>
      <c r="H109" s="97"/>
      <c r="I109" s="97"/>
      <c r="J109" s="97"/>
      <c r="K109" s="97"/>
      <c r="L109" s="97"/>
      <c r="M109" s="97"/>
      <c r="N109" s="97"/>
      <c r="O109" s="97"/>
      <c r="P109" s="97"/>
      <c r="Q109" s="97"/>
      <c r="R109" s="97"/>
      <c r="S109" s="201"/>
      <c r="T109" s="97"/>
      <c r="U109" s="97"/>
      <c r="V109" s="202"/>
      <c r="W109" s="97"/>
      <c r="X109" s="203"/>
      <c r="Y109" s="202"/>
      <c r="Z109" s="97"/>
      <c r="AA109" s="97"/>
      <c r="AB109" s="204"/>
      <c r="AC109" s="192"/>
      <c r="AD109" s="207"/>
      <c r="AE109" s="206">
        <f t="shared" si="1"/>
        <v>0</v>
      </c>
      <c r="AF109" s="204">
        <v>1848</v>
      </c>
      <c r="AG109" s="186">
        <v>43217</v>
      </c>
      <c r="AH109" s="198">
        <v>534012</v>
      </c>
      <c r="AI109" s="97" t="s">
        <v>1577</v>
      </c>
      <c r="AJ109" s="192">
        <v>28</v>
      </c>
      <c r="AK109" s="97"/>
      <c r="AL109" s="198">
        <v>534012</v>
      </c>
      <c r="AM109" s="198">
        <v>0</v>
      </c>
      <c r="AN109" s="97"/>
      <c r="AO109" s="97"/>
      <c r="AP109" s="97"/>
      <c r="AQ109" s="202"/>
      <c r="AR109" s="97"/>
      <c r="AS109" s="202"/>
      <c r="AT109" s="97"/>
      <c r="AU109" s="97"/>
      <c r="AV109" s="84"/>
      <c r="AW109" s="84"/>
      <c r="AX109" s="84"/>
    </row>
    <row r="110" spans="1:50" x14ac:dyDescent="0.2">
      <c r="A110" s="192">
        <v>44</v>
      </c>
      <c r="B110" s="192" t="s">
        <v>804</v>
      </c>
      <c r="C110" s="97"/>
      <c r="D110" s="97"/>
      <c r="E110" s="97"/>
      <c r="F110" s="97"/>
      <c r="G110" s="97"/>
      <c r="H110" s="97"/>
      <c r="I110" s="97"/>
      <c r="J110" s="97"/>
      <c r="K110" s="97"/>
      <c r="L110" s="97"/>
      <c r="M110" s="97"/>
      <c r="N110" s="97"/>
      <c r="O110" s="97"/>
      <c r="P110" s="97"/>
      <c r="Q110" s="97"/>
      <c r="R110" s="97"/>
      <c r="S110" s="201"/>
      <c r="T110" s="97"/>
      <c r="U110" s="97"/>
      <c r="V110" s="202"/>
      <c r="W110" s="97"/>
      <c r="X110" s="203"/>
      <c r="Y110" s="202"/>
      <c r="Z110" s="97"/>
      <c r="AA110" s="97"/>
      <c r="AB110" s="204"/>
      <c r="AC110" s="192"/>
      <c r="AD110" s="207"/>
      <c r="AE110" s="206">
        <f t="shared" si="1"/>
        <v>0</v>
      </c>
      <c r="AF110" s="204">
        <v>1959</v>
      </c>
      <c r="AG110" s="186">
        <v>43249</v>
      </c>
      <c r="AH110" s="198">
        <v>534012</v>
      </c>
      <c r="AI110" s="97" t="s">
        <v>1577</v>
      </c>
      <c r="AJ110" s="192">
        <v>28</v>
      </c>
      <c r="AK110" s="97"/>
      <c r="AL110" s="198">
        <v>534012</v>
      </c>
      <c r="AM110" s="198">
        <v>0</v>
      </c>
      <c r="AN110" s="97"/>
      <c r="AO110" s="97"/>
      <c r="AP110" s="97"/>
      <c r="AQ110" s="202"/>
      <c r="AR110" s="97"/>
      <c r="AS110" s="202"/>
      <c r="AT110" s="97"/>
      <c r="AU110" s="97"/>
      <c r="AV110" s="84"/>
      <c r="AW110" s="84"/>
      <c r="AX110" s="84"/>
    </row>
    <row r="111" spans="1:50" x14ac:dyDescent="0.2">
      <c r="A111" s="192">
        <v>44</v>
      </c>
      <c r="B111" s="192" t="s">
        <v>804</v>
      </c>
      <c r="C111" s="97"/>
      <c r="D111" s="97"/>
      <c r="E111" s="97"/>
      <c r="F111" s="97"/>
      <c r="G111" s="97"/>
      <c r="H111" s="97"/>
      <c r="I111" s="97"/>
      <c r="J111" s="97"/>
      <c r="K111" s="97"/>
      <c r="L111" s="97"/>
      <c r="M111" s="97"/>
      <c r="N111" s="97"/>
      <c r="O111" s="97"/>
      <c r="P111" s="97"/>
      <c r="Q111" s="97"/>
      <c r="R111" s="97"/>
      <c r="S111" s="201"/>
      <c r="T111" s="97"/>
      <c r="U111" s="97"/>
      <c r="V111" s="202"/>
      <c r="W111" s="97"/>
      <c r="X111" s="203"/>
      <c r="Y111" s="202"/>
      <c r="Z111" s="97"/>
      <c r="AA111" s="97"/>
      <c r="AB111" s="204"/>
      <c r="AC111" s="192"/>
      <c r="AD111" s="207"/>
      <c r="AE111" s="206">
        <f t="shared" si="1"/>
        <v>0</v>
      </c>
      <c r="AF111" s="204">
        <v>2147</v>
      </c>
      <c r="AG111" s="186">
        <v>43277</v>
      </c>
      <c r="AH111" s="198">
        <v>534012</v>
      </c>
      <c r="AI111" s="97" t="s">
        <v>1577</v>
      </c>
      <c r="AJ111" s="192">
        <v>28</v>
      </c>
      <c r="AK111" s="97"/>
      <c r="AL111" s="198">
        <v>534012</v>
      </c>
      <c r="AM111" s="198">
        <v>0</v>
      </c>
      <c r="AN111" s="97"/>
      <c r="AO111" s="97"/>
      <c r="AP111" s="97"/>
      <c r="AQ111" s="202"/>
      <c r="AR111" s="97"/>
      <c r="AS111" s="202"/>
      <c r="AT111" s="97"/>
      <c r="AU111" s="97"/>
      <c r="AV111" s="84"/>
      <c r="AW111" s="84"/>
      <c r="AX111" s="84"/>
    </row>
    <row r="112" spans="1:50" x14ac:dyDescent="0.2">
      <c r="A112" s="192">
        <v>44</v>
      </c>
      <c r="B112" s="192" t="s">
        <v>804</v>
      </c>
      <c r="C112" s="97"/>
      <c r="D112" s="97"/>
      <c r="E112" s="97"/>
      <c r="F112" s="97"/>
      <c r="G112" s="97"/>
      <c r="H112" s="97"/>
      <c r="I112" s="97"/>
      <c r="J112" s="97"/>
      <c r="K112" s="97"/>
      <c r="L112" s="97"/>
      <c r="M112" s="97"/>
      <c r="N112" s="97"/>
      <c r="O112" s="97"/>
      <c r="P112" s="97"/>
      <c r="Q112" s="97"/>
      <c r="R112" s="97"/>
      <c r="S112" s="201"/>
      <c r="T112" s="97"/>
      <c r="U112" s="97"/>
      <c r="V112" s="202"/>
      <c r="W112" s="97"/>
      <c r="X112" s="203"/>
      <c r="Y112" s="202"/>
      <c r="Z112" s="97"/>
      <c r="AA112" s="97"/>
      <c r="AB112" s="204"/>
      <c r="AC112" s="192"/>
      <c r="AD112" s="207"/>
      <c r="AE112" s="206">
        <f t="shared" si="1"/>
        <v>0</v>
      </c>
      <c r="AF112" s="204">
        <v>2531</v>
      </c>
      <c r="AG112" s="186">
        <v>43305</v>
      </c>
      <c r="AH112" s="198">
        <v>565357</v>
      </c>
      <c r="AI112" s="97" t="s">
        <v>1577</v>
      </c>
      <c r="AJ112" s="192">
        <v>28</v>
      </c>
      <c r="AK112" s="97"/>
      <c r="AL112" s="198">
        <v>565357</v>
      </c>
      <c r="AM112" s="198">
        <v>0</v>
      </c>
      <c r="AN112" s="97"/>
      <c r="AO112" s="97"/>
      <c r="AP112" s="97"/>
      <c r="AQ112" s="202"/>
      <c r="AR112" s="97"/>
      <c r="AS112" s="202"/>
      <c r="AT112" s="97"/>
      <c r="AU112" s="97"/>
      <c r="AV112" s="84"/>
      <c r="AW112" s="84"/>
      <c r="AX112" s="84"/>
    </row>
    <row r="113" spans="1:50" x14ac:dyDescent="0.2">
      <c r="A113" s="192">
        <v>45</v>
      </c>
      <c r="B113" s="192" t="s">
        <v>807</v>
      </c>
      <c r="C113" s="97" t="s">
        <v>644</v>
      </c>
      <c r="D113" s="97" t="s">
        <v>645</v>
      </c>
      <c r="E113" s="97" t="s">
        <v>677</v>
      </c>
      <c r="F113" s="97" t="s">
        <v>501</v>
      </c>
      <c r="G113" s="97" t="s">
        <v>780</v>
      </c>
      <c r="H113" s="97" t="s">
        <v>808</v>
      </c>
      <c r="I113" s="97" t="s">
        <v>54</v>
      </c>
      <c r="J113" s="97" t="s">
        <v>55</v>
      </c>
      <c r="K113" s="97">
        <v>78111800</v>
      </c>
      <c r="L113" s="97" t="s">
        <v>492</v>
      </c>
      <c r="M113" s="97" t="s">
        <v>493</v>
      </c>
      <c r="N113" s="97" t="s">
        <v>494</v>
      </c>
      <c r="O113" s="97" t="s">
        <v>508</v>
      </c>
      <c r="P113" s="97" t="s">
        <v>809</v>
      </c>
      <c r="Q113" s="97">
        <v>60000000</v>
      </c>
      <c r="R113" s="97">
        <v>1</v>
      </c>
      <c r="S113" s="201">
        <v>60000000</v>
      </c>
      <c r="T113" s="97" t="s">
        <v>778</v>
      </c>
      <c r="U113" s="97" t="s">
        <v>249</v>
      </c>
      <c r="V113" s="202" t="s">
        <v>810</v>
      </c>
      <c r="W113" s="97">
        <v>8</v>
      </c>
      <c r="X113" s="203" t="s">
        <v>811</v>
      </c>
      <c r="Y113" s="202">
        <v>43203</v>
      </c>
      <c r="Z113" s="97">
        <v>60000000</v>
      </c>
      <c r="AA113" s="97" t="s">
        <v>812</v>
      </c>
      <c r="AB113" s="204">
        <v>795</v>
      </c>
      <c r="AC113" s="97" t="s">
        <v>1578</v>
      </c>
      <c r="AD113" s="205">
        <v>60000000</v>
      </c>
      <c r="AE113" s="206">
        <f t="shared" si="1"/>
        <v>0</v>
      </c>
      <c r="AF113" s="204"/>
      <c r="AG113" s="186"/>
      <c r="AH113" s="198"/>
      <c r="AI113" s="97"/>
      <c r="AJ113" s="192"/>
      <c r="AK113" s="97"/>
      <c r="AL113" s="198"/>
      <c r="AM113" s="198"/>
      <c r="AN113" s="97" t="s">
        <v>650</v>
      </c>
      <c r="AO113" s="97"/>
      <c r="AP113" s="97" t="s">
        <v>316</v>
      </c>
      <c r="AQ113" s="202">
        <v>43203</v>
      </c>
      <c r="AR113" s="97" t="s">
        <v>146</v>
      </c>
      <c r="AS113" s="202">
        <v>43203</v>
      </c>
      <c r="AT113" s="97" t="s">
        <v>801</v>
      </c>
      <c r="AU113" s="97"/>
      <c r="AV113" s="84"/>
      <c r="AW113" s="84"/>
      <c r="AX113" s="84"/>
    </row>
    <row r="114" spans="1:50" x14ac:dyDescent="0.2">
      <c r="A114" s="192">
        <v>46</v>
      </c>
      <c r="B114" s="192" t="s">
        <v>813</v>
      </c>
      <c r="C114" s="97" t="s">
        <v>644</v>
      </c>
      <c r="D114" s="97" t="s">
        <v>645</v>
      </c>
      <c r="E114" s="97" t="s">
        <v>677</v>
      </c>
      <c r="F114" s="97" t="s">
        <v>501</v>
      </c>
      <c r="G114" s="97" t="s">
        <v>780</v>
      </c>
      <c r="H114" s="97" t="s">
        <v>808</v>
      </c>
      <c r="I114" s="97" t="s">
        <v>54</v>
      </c>
      <c r="J114" s="97" t="s">
        <v>55</v>
      </c>
      <c r="K114" s="97">
        <v>78111800</v>
      </c>
      <c r="L114" s="97" t="s">
        <v>492</v>
      </c>
      <c r="M114" s="97" t="s">
        <v>493</v>
      </c>
      <c r="N114" s="97" t="s">
        <v>494</v>
      </c>
      <c r="O114" s="97" t="s">
        <v>508</v>
      </c>
      <c r="P114" s="97" t="s">
        <v>814</v>
      </c>
      <c r="Q114" s="97">
        <v>110000000</v>
      </c>
      <c r="R114" s="97">
        <v>1</v>
      </c>
      <c r="S114" s="201">
        <v>315000000</v>
      </c>
      <c r="T114" s="97" t="s">
        <v>778</v>
      </c>
      <c r="U114" s="97" t="s">
        <v>497</v>
      </c>
      <c r="V114" s="202">
        <v>43266</v>
      </c>
      <c r="W114" s="97">
        <v>5</v>
      </c>
      <c r="X114" s="203"/>
      <c r="Y114" s="202"/>
      <c r="Z114" s="97"/>
      <c r="AA114" s="97" t="s">
        <v>815</v>
      </c>
      <c r="AB114" s="204"/>
      <c r="AC114" s="97"/>
      <c r="AD114" s="205"/>
      <c r="AE114" s="206">
        <f t="shared" si="1"/>
        <v>315000000</v>
      </c>
      <c r="AF114" s="204"/>
      <c r="AG114" s="186"/>
      <c r="AH114" s="198"/>
      <c r="AI114" s="97"/>
      <c r="AJ114" s="192"/>
      <c r="AK114" s="97"/>
      <c r="AL114" s="198"/>
      <c r="AM114" s="198"/>
      <c r="AN114" s="97" t="s">
        <v>650</v>
      </c>
      <c r="AO114" s="97"/>
      <c r="AP114" s="97" t="s">
        <v>1579</v>
      </c>
      <c r="AQ114" s="202" t="s">
        <v>816</v>
      </c>
      <c r="AR114" s="97" t="s">
        <v>817</v>
      </c>
      <c r="AS114" s="202" t="s">
        <v>816</v>
      </c>
      <c r="AT114" s="97" t="s">
        <v>662</v>
      </c>
      <c r="AU114" s="97"/>
      <c r="AV114" s="84"/>
      <c r="AW114" s="84"/>
      <c r="AX114" s="84"/>
    </row>
    <row r="115" spans="1:50" x14ac:dyDescent="0.2">
      <c r="A115" s="192">
        <v>47</v>
      </c>
      <c r="B115" s="192" t="s">
        <v>818</v>
      </c>
      <c r="C115" s="97" t="s">
        <v>644</v>
      </c>
      <c r="D115" s="97" t="s">
        <v>645</v>
      </c>
      <c r="E115" s="97" t="s">
        <v>677</v>
      </c>
      <c r="F115" s="97" t="s">
        <v>501</v>
      </c>
      <c r="G115" s="97" t="s">
        <v>780</v>
      </c>
      <c r="H115" s="97" t="s">
        <v>819</v>
      </c>
      <c r="I115" s="97" t="s">
        <v>54</v>
      </c>
      <c r="J115" s="97" t="s">
        <v>55</v>
      </c>
      <c r="K115" s="97">
        <v>92101501</v>
      </c>
      <c r="L115" s="97" t="s">
        <v>492</v>
      </c>
      <c r="M115" s="97" t="s">
        <v>493</v>
      </c>
      <c r="N115" s="97" t="s">
        <v>494</v>
      </c>
      <c r="O115" s="97" t="s">
        <v>508</v>
      </c>
      <c r="P115" s="97" t="s">
        <v>365</v>
      </c>
      <c r="Q115" s="97">
        <v>62764300</v>
      </c>
      <c r="R115" s="97">
        <v>1</v>
      </c>
      <c r="S115" s="201">
        <v>627643000</v>
      </c>
      <c r="T115" s="97" t="s">
        <v>778</v>
      </c>
      <c r="U115" s="97" t="s">
        <v>497</v>
      </c>
      <c r="V115" s="202">
        <v>43156</v>
      </c>
      <c r="W115" s="97">
        <v>8</v>
      </c>
      <c r="X115" s="203" t="s">
        <v>820</v>
      </c>
      <c r="Y115" s="202">
        <v>43207</v>
      </c>
      <c r="Z115" s="97">
        <v>566203751</v>
      </c>
      <c r="AA115" s="97"/>
      <c r="AB115" s="204">
        <v>796</v>
      </c>
      <c r="AC115" s="97" t="s">
        <v>1578</v>
      </c>
      <c r="AD115" s="205">
        <v>566203751</v>
      </c>
      <c r="AE115" s="206">
        <f t="shared" si="1"/>
        <v>61439249</v>
      </c>
      <c r="AF115" s="204"/>
      <c r="AG115" s="186"/>
      <c r="AH115" s="198"/>
      <c r="AI115" s="97"/>
      <c r="AJ115" s="192"/>
      <c r="AK115" s="97"/>
      <c r="AL115" s="198"/>
      <c r="AM115" s="198"/>
      <c r="AN115" s="97" t="s">
        <v>712</v>
      </c>
      <c r="AO115" s="97"/>
      <c r="AP115" s="97" t="s">
        <v>821</v>
      </c>
      <c r="AQ115" s="202">
        <v>43203</v>
      </c>
      <c r="AR115" s="97" t="s">
        <v>17</v>
      </c>
      <c r="AS115" s="202">
        <v>43203</v>
      </c>
      <c r="AT115" s="97" t="s">
        <v>822</v>
      </c>
      <c r="AU115" s="97"/>
      <c r="AV115" s="84"/>
      <c r="AW115" s="84"/>
      <c r="AX115" s="84"/>
    </row>
    <row r="116" spans="1:50" x14ac:dyDescent="0.2">
      <c r="A116" s="192">
        <v>48</v>
      </c>
      <c r="B116" s="192" t="s">
        <v>823</v>
      </c>
      <c r="C116" s="97" t="s">
        <v>644</v>
      </c>
      <c r="D116" s="97" t="s">
        <v>645</v>
      </c>
      <c r="E116" s="97" t="s">
        <v>677</v>
      </c>
      <c r="F116" s="97" t="s">
        <v>501</v>
      </c>
      <c r="G116" s="97" t="s">
        <v>824</v>
      </c>
      <c r="H116" s="97" t="s">
        <v>825</v>
      </c>
      <c r="I116" s="97" t="s">
        <v>54</v>
      </c>
      <c r="J116" s="97" t="s">
        <v>55</v>
      </c>
      <c r="K116" s="97">
        <v>84000000</v>
      </c>
      <c r="L116" s="97" t="s">
        <v>492</v>
      </c>
      <c r="M116" s="97" t="s">
        <v>493</v>
      </c>
      <c r="N116" s="97" t="s">
        <v>494</v>
      </c>
      <c r="O116" s="97" t="s">
        <v>508</v>
      </c>
      <c r="P116" s="97" t="s">
        <v>826</v>
      </c>
      <c r="Q116" s="97">
        <v>29899000</v>
      </c>
      <c r="R116" s="97">
        <v>1</v>
      </c>
      <c r="S116" s="201">
        <v>1782000</v>
      </c>
      <c r="T116" s="97" t="s">
        <v>827</v>
      </c>
      <c r="U116" s="97" t="s">
        <v>497</v>
      </c>
      <c r="V116" s="202">
        <v>43300</v>
      </c>
      <c r="W116" s="97">
        <v>10</v>
      </c>
      <c r="X116" s="203"/>
      <c r="Y116" s="202"/>
      <c r="Z116" s="97"/>
      <c r="AA116" s="97" t="s">
        <v>1580</v>
      </c>
      <c r="AB116" s="209"/>
      <c r="AC116" s="202"/>
      <c r="AD116" s="97"/>
      <c r="AE116" s="206">
        <f t="shared" si="1"/>
        <v>1782000</v>
      </c>
      <c r="AF116" s="201"/>
      <c r="AG116" s="202"/>
      <c r="AH116" s="97"/>
      <c r="AI116" s="97"/>
      <c r="AJ116" s="97"/>
      <c r="AK116" s="97"/>
      <c r="AL116" s="97"/>
      <c r="AM116" s="97"/>
      <c r="AN116" s="97" t="s">
        <v>650</v>
      </c>
      <c r="AO116" s="97"/>
      <c r="AP116" s="97" t="s">
        <v>920</v>
      </c>
      <c r="AQ116" s="202" t="s">
        <v>921</v>
      </c>
      <c r="AR116" s="97" t="s">
        <v>185</v>
      </c>
      <c r="AS116" s="202" t="s">
        <v>922</v>
      </c>
      <c r="AT116" s="97" t="s">
        <v>801</v>
      </c>
      <c r="AU116" s="97"/>
      <c r="AV116" s="84"/>
      <c r="AW116" s="84"/>
      <c r="AX116" s="84"/>
    </row>
    <row r="117" spans="1:50" x14ac:dyDescent="0.2">
      <c r="A117" s="192">
        <v>49</v>
      </c>
      <c r="B117" s="192" t="s">
        <v>828</v>
      </c>
      <c r="C117" s="97" t="s">
        <v>644</v>
      </c>
      <c r="D117" s="97" t="s">
        <v>645</v>
      </c>
      <c r="E117" s="97" t="s">
        <v>677</v>
      </c>
      <c r="F117" s="97" t="s">
        <v>501</v>
      </c>
      <c r="G117" s="97" t="s">
        <v>824</v>
      </c>
      <c r="H117" s="97" t="s">
        <v>829</v>
      </c>
      <c r="I117" s="97" t="s">
        <v>54</v>
      </c>
      <c r="J117" s="97" t="s">
        <v>55</v>
      </c>
      <c r="K117" s="97">
        <v>80131500</v>
      </c>
      <c r="L117" s="97" t="s">
        <v>492</v>
      </c>
      <c r="M117" s="97" t="s">
        <v>493</v>
      </c>
      <c r="N117" s="97" t="s">
        <v>494</v>
      </c>
      <c r="O117" s="97" t="s">
        <v>508</v>
      </c>
      <c r="P117" s="97" t="s">
        <v>830</v>
      </c>
      <c r="Q117" s="97">
        <v>13870000</v>
      </c>
      <c r="R117" s="97">
        <v>1</v>
      </c>
      <c r="S117" s="201">
        <v>166440000</v>
      </c>
      <c r="T117" s="97" t="s">
        <v>831</v>
      </c>
      <c r="U117" s="97" t="s">
        <v>58</v>
      </c>
      <c r="V117" s="202">
        <v>43363</v>
      </c>
      <c r="W117" s="97">
        <v>12</v>
      </c>
      <c r="X117" s="203"/>
      <c r="Y117" s="202"/>
      <c r="Z117" s="97"/>
      <c r="AA117" s="97"/>
      <c r="AB117" s="209"/>
      <c r="AC117" s="202"/>
      <c r="AD117" s="97"/>
      <c r="AE117" s="206">
        <f t="shared" si="1"/>
        <v>166440000</v>
      </c>
      <c r="AF117" s="201"/>
      <c r="AG117" s="202"/>
      <c r="AH117" s="97"/>
      <c r="AI117" s="97"/>
      <c r="AJ117" s="97"/>
      <c r="AK117" s="97"/>
      <c r="AL117" s="97"/>
      <c r="AM117" s="97"/>
      <c r="AN117" s="97" t="s">
        <v>650</v>
      </c>
      <c r="AO117" s="97"/>
      <c r="AP117" s="97"/>
      <c r="AQ117" s="202"/>
      <c r="AR117" s="97"/>
      <c r="AS117" s="202"/>
      <c r="AT117" s="97"/>
      <c r="AU117" s="97"/>
      <c r="AV117" s="84"/>
      <c r="AW117" s="84"/>
      <c r="AX117" s="84"/>
    </row>
    <row r="118" spans="1:50" x14ac:dyDescent="0.2">
      <c r="A118" s="192">
        <v>50</v>
      </c>
      <c r="B118" s="192" t="s">
        <v>832</v>
      </c>
      <c r="C118" s="97" t="s">
        <v>644</v>
      </c>
      <c r="D118" s="97" t="s">
        <v>645</v>
      </c>
      <c r="E118" s="97" t="s">
        <v>677</v>
      </c>
      <c r="F118" s="97" t="s">
        <v>501</v>
      </c>
      <c r="G118" s="97" t="s">
        <v>824</v>
      </c>
      <c r="H118" s="97" t="s">
        <v>829</v>
      </c>
      <c r="I118" s="97" t="s">
        <v>54</v>
      </c>
      <c r="J118" s="97" t="s">
        <v>55</v>
      </c>
      <c r="K118" s="97">
        <v>80131500</v>
      </c>
      <c r="L118" s="97" t="s">
        <v>492</v>
      </c>
      <c r="M118" s="97" t="s">
        <v>493</v>
      </c>
      <c r="N118" s="97" t="s">
        <v>494</v>
      </c>
      <c r="O118" s="97" t="s">
        <v>508</v>
      </c>
      <c r="P118" s="97" t="s">
        <v>1581</v>
      </c>
      <c r="Q118" s="97">
        <v>5738333.333333333</v>
      </c>
      <c r="R118" s="97">
        <v>1</v>
      </c>
      <c r="S118" s="201">
        <v>68860000</v>
      </c>
      <c r="T118" s="97" t="s">
        <v>831</v>
      </c>
      <c r="U118" s="97" t="s">
        <v>58</v>
      </c>
      <c r="V118" s="202">
        <v>43117</v>
      </c>
      <c r="W118" s="97">
        <v>11.5</v>
      </c>
      <c r="X118" s="203" t="s">
        <v>833</v>
      </c>
      <c r="Y118" s="202">
        <v>43117</v>
      </c>
      <c r="Z118" s="97">
        <v>65884824</v>
      </c>
      <c r="AA118" s="97"/>
      <c r="AB118" s="204">
        <v>517</v>
      </c>
      <c r="AC118" s="192" t="s">
        <v>1507</v>
      </c>
      <c r="AD118" s="205">
        <v>65884824</v>
      </c>
      <c r="AE118" s="206">
        <f t="shared" si="1"/>
        <v>2975176</v>
      </c>
      <c r="AF118" s="204">
        <v>358</v>
      </c>
      <c r="AG118" s="186">
        <v>43123</v>
      </c>
      <c r="AH118" s="198">
        <v>65884824</v>
      </c>
      <c r="AI118" s="97" t="s">
        <v>1582</v>
      </c>
      <c r="AJ118" s="192">
        <v>17</v>
      </c>
      <c r="AK118" s="97"/>
      <c r="AL118" s="198">
        <v>28916117</v>
      </c>
      <c r="AM118" s="198">
        <v>36968707</v>
      </c>
      <c r="AN118" s="97" t="s">
        <v>650</v>
      </c>
      <c r="AO118" s="97"/>
      <c r="AP118" s="97" t="s">
        <v>834</v>
      </c>
      <c r="AQ118" s="202"/>
      <c r="AR118" s="97"/>
      <c r="AS118" s="202"/>
      <c r="AT118" s="97"/>
      <c r="AU118" s="97"/>
      <c r="AV118" s="84"/>
      <c r="AW118" s="84"/>
      <c r="AX118" s="84"/>
    </row>
    <row r="119" spans="1:50" x14ac:dyDescent="0.2">
      <c r="A119" s="192">
        <v>51</v>
      </c>
      <c r="B119" s="192" t="s">
        <v>835</v>
      </c>
      <c r="C119" s="97" t="s">
        <v>644</v>
      </c>
      <c r="D119" s="97" t="s">
        <v>645</v>
      </c>
      <c r="E119" s="97" t="s">
        <v>677</v>
      </c>
      <c r="F119" s="97" t="s">
        <v>501</v>
      </c>
      <c r="G119" s="97" t="s">
        <v>824</v>
      </c>
      <c r="H119" s="97" t="s">
        <v>829</v>
      </c>
      <c r="I119" s="97" t="s">
        <v>54</v>
      </c>
      <c r="J119" s="97" t="s">
        <v>55</v>
      </c>
      <c r="K119" s="97">
        <v>24112409</v>
      </c>
      <c r="L119" s="97" t="s">
        <v>492</v>
      </c>
      <c r="M119" s="97" t="s">
        <v>493</v>
      </c>
      <c r="N119" s="97" t="s">
        <v>494</v>
      </c>
      <c r="O119" s="97" t="s">
        <v>508</v>
      </c>
      <c r="P119" s="97" t="s">
        <v>836</v>
      </c>
      <c r="Q119" s="97">
        <v>43140000</v>
      </c>
      <c r="R119" s="97">
        <v>1</v>
      </c>
      <c r="S119" s="201">
        <v>43140000</v>
      </c>
      <c r="T119" s="97" t="s">
        <v>837</v>
      </c>
      <c r="U119" s="97" t="s">
        <v>249</v>
      </c>
      <c r="V119" s="202">
        <v>43294</v>
      </c>
      <c r="W119" s="97">
        <v>3</v>
      </c>
      <c r="X119" s="203" t="s">
        <v>838</v>
      </c>
      <c r="Y119" s="202">
        <v>43294</v>
      </c>
      <c r="Z119" s="97">
        <v>43140000</v>
      </c>
      <c r="AA119" s="97"/>
      <c r="AB119" s="192">
        <v>988</v>
      </c>
      <c r="AC119" s="210">
        <v>43299</v>
      </c>
      <c r="AD119" s="198">
        <v>43140000</v>
      </c>
      <c r="AE119" s="206">
        <f t="shared" si="1"/>
        <v>0</v>
      </c>
      <c r="AF119" s="204"/>
      <c r="AG119" s="204"/>
      <c r="AH119" s="198"/>
      <c r="AI119" s="97"/>
      <c r="AJ119" s="192"/>
      <c r="AK119" s="97"/>
      <c r="AL119" s="198"/>
      <c r="AM119" s="198"/>
      <c r="AN119" s="97" t="s">
        <v>650</v>
      </c>
      <c r="AO119" s="97"/>
      <c r="AP119" s="97" t="s">
        <v>839</v>
      </c>
      <c r="AQ119" s="202">
        <v>43294</v>
      </c>
      <c r="AR119" s="97" t="s">
        <v>840</v>
      </c>
      <c r="AS119" s="202">
        <v>43294</v>
      </c>
      <c r="AT119" s="97"/>
      <c r="AU119" s="97"/>
      <c r="AV119" s="84"/>
      <c r="AW119" s="84"/>
      <c r="AX119" s="84"/>
    </row>
    <row r="120" spans="1:50" x14ac:dyDescent="0.2">
      <c r="A120" s="192">
        <v>52</v>
      </c>
      <c r="B120" s="192" t="s">
        <v>841</v>
      </c>
      <c r="C120" s="97" t="s">
        <v>644</v>
      </c>
      <c r="D120" s="97" t="s">
        <v>645</v>
      </c>
      <c r="E120" s="97" t="s">
        <v>677</v>
      </c>
      <c r="F120" s="97" t="s">
        <v>501</v>
      </c>
      <c r="G120" s="97" t="s">
        <v>824</v>
      </c>
      <c r="H120" s="97" t="s">
        <v>829</v>
      </c>
      <c r="I120" s="97" t="s">
        <v>54</v>
      </c>
      <c r="J120" s="97" t="s">
        <v>55</v>
      </c>
      <c r="K120" s="97">
        <v>42172000</v>
      </c>
      <c r="L120" s="97" t="s">
        <v>492</v>
      </c>
      <c r="M120" s="97" t="s">
        <v>493</v>
      </c>
      <c r="N120" s="97" t="s">
        <v>494</v>
      </c>
      <c r="O120" s="97" t="s">
        <v>508</v>
      </c>
      <c r="P120" s="97" t="s">
        <v>842</v>
      </c>
      <c r="Q120" s="97">
        <v>6963000</v>
      </c>
      <c r="R120" s="97">
        <v>1</v>
      </c>
      <c r="S120" s="201">
        <v>6963000</v>
      </c>
      <c r="T120" s="97" t="s">
        <v>843</v>
      </c>
      <c r="U120" s="97" t="s">
        <v>339</v>
      </c>
      <c r="V120" s="202">
        <v>43290</v>
      </c>
      <c r="W120" s="97">
        <v>1</v>
      </c>
      <c r="X120" s="203"/>
      <c r="Y120" s="202"/>
      <c r="Z120" s="97"/>
      <c r="AA120" s="97"/>
      <c r="AB120" s="209"/>
      <c r="AC120" s="202"/>
      <c r="AD120" s="97"/>
      <c r="AE120" s="206">
        <f t="shared" si="1"/>
        <v>6963000</v>
      </c>
      <c r="AF120" s="201"/>
      <c r="AG120" s="202"/>
      <c r="AH120" s="97"/>
      <c r="AI120" s="97"/>
      <c r="AJ120" s="97"/>
      <c r="AK120" s="97"/>
      <c r="AL120" s="97"/>
      <c r="AM120" s="97"/>
      <c r="AN120" s="97" t="s">
        <v>650</v>
      </c>
      <c r="AO120" s="97"/>
      <c r="AP120" s="97" t="s">
        <v>300</v>
      </c>
      <c r="AQ120" s="202">
        <v>43215</v>
      </c>
      <c r="AR120" s="97" t="s">
        <v>264</v>
      </c>
      <c r="AS120" s="202">
        <v>43215</v>
      </c>
      <c r="AT120" s="97"/>
      <c r="AU120" s="97"/>
      <c r="AV120" s="84"/>
      <c r="AW120" s="84"/>
      <c r="AX120" s="84"/>
    </row>
    <row r="121" spans="1:50" x14ac:dyDescent="0.2">
      <c r="A121" s="192">
        <v>53</v>
      </c>
      <c r="B121" s="192" t="s">
        <v>844</v>
      </c>
      <c r="C121" s="97" t="s">
        <v>644</v>
      </c>
      <c r="D121" s="97" t="s">
        <v>645</v>
      </c>
      <c r="E121" s="97" t="s">
        <v>677</v>
      </c>
      <c r="F121" s="97" t="s">
        <v>501</v>
      </c>
      <c r="G121" s="97" t="s">
        <v>824</v>
      </c>
      <c r="H121" s="97" t="s">
        <v>829</v>
      </c>
      <c r="I121" s="97" t="s">
        <v>54</v>
      </c>
      <c r="J121" s="97" t="s">
        <v>55</v>
      </c>
      <c r="K121" s="97">
        <v>80131500</v>
      </c>
      <c r="L121" s="97" t="s">
        <v>492</v>
      </c>
      <c r="M121" s="97" t="s">
        <v>493</v>
      </c>
      <c r="N121" s="97" t="s">
        <v>494</v>
      </c>
      <c r="O121" s="97" t="s">
        <v>508</v>
      </c>
      <c r="P121" s="97" t="s">
        <v>845</v>
      </c>
      <c r="Q121" s="97">
        <v>8387000</v>
      </c>
      <c r="R121" s="97">
        <v>1</v>
      </c>
      <c r="S121" s="201">
        <v>8387000</v>
      </c>
      <c r="T121" s="97" t="s">
        <v>843</v>
      </c>
      <c r="U121" s="97" t="s">
        <v>339</v>
      </c>
      <c r="V121" s="202">
        <v>43216</v>
      </c>
      <c r="W121" s="97">
        <v>1</v>
      </c>
      <c r="X121" s="203"/>
      <c r="Y121" s="202"/>
      <c r="Z121" s="97"/>
      <c r="AA121" s="97"/>
      <c r="AB121" s="209"/>
      <c r="AC121" s="202"/>
      <c r="AD121" s="97"/>
      <c r="AE121" s="206">
        <f t="shared" si="1"/>
        <v>8387000</v>
      </c>
      <c r="AF121" s="201"/>
      <c r="AG121" s="202"/>
      <c r="AH121" s="97"/>
      <c r="AI121" s="97"/>
      <c r="AJ121" s="97"/>
      <c r="AK121" s="97"/>
      <c r="AL121" s="97"/>
      <c r="AM121" s="97"/>
      <c r="AN121" s="97" t="s">
        <v>650</v>
      </c>
      <c r="AO121" s="97"/>
      <c r="AP121" s="97"/>
      <c r="AQ121" s="202"/>
      <c r="AR121" s="97"/>
      <c r="AS121" s="202"/>
      <c r="AT121" s="97"/>
      <c r="AU121" s="97"/>
      <c r="AV121" s="84"/>
      <c r="AW121" s="84"/>
      <c r="AX121" s="84"/>
    </row>
    <row r="122" spans="1:50" x14ac:dyDescent="0.2">
      <c r="A122" s="192">
        <v>54</v>
      </c>
      <c r="B122" s="192" t="s">
        <v>846</v>
      </c>
      <c r="C122" s="97" t="s">
        <v>644</v>
      </c>
      <c r="D122" s="97" t="s">
        <v>645</v>
      </c>
      <c r="E122" s="97" t="s">
        <v>677</v>
      </c>
      <c r="F122" s="97" t="s">
        <v>501</v>
      </c>
      <c r="G122" s="97" t="s">
        <v>824</v>
      </c>
      <c r="H122" s="97" t="s">
        <v>829</v>
      </c>
      <c r="I122" s="97" t="s">
        <v>54</v>
      </c>
      <c r="J122" s="97" t="s">
        <v>55</v>
      </c>
      <c r="K122" s="97">
        <v>80131500</v>
      </c>
      <c r="L122" s="97" t="s">
        <v>492</v>
      </c>
      <c r="M122" s="97" t="s">
        <v>493</v>
      </c>
      <c r="N122" s="97" t="s">
        <v>494</v>
      </c>
      <c r="O122" s="97" t="s">
        <v>508</v>
      </c>
      <c r="P122" s="97" t="s">
        <v>847</v>
      </c>
      <c r="Q122" s="97">
        <v>1341500</v>
      </c>
      <c r="R122" s="97">
        <v>1</v>
      </c>
      <c r="S122" s="201">
        <v>11212851</v>
      </c>
      <c r="T122" s="97" t="s">
        <v>831</v>
      </c>
      <c r="U122" s="97" t="s">
        <v>58</v>
      </c>
      <c r="V122" s="202">
        <v>43282</v>
      </c>
      <c r="W122" s="97">
        <v>12</v>
      </c>
      <c r="X122" s="203"/>
      <c r="Y122" s="202"/>
      <c r="Z122" s="97"/>
      <c r="AA122" s="97" t="s">
        <v>848</v>
      </c>
      <c r="AB122" s="209"/>
      <c r="AC122" s="202"/>
      <c r="AD122" s="97"/>
      <c r="AE122" s="206">
        <f t="shared" si="1"/>
        <v>11212851</v>
      </c>
      <c r="AF122" s="201"/>
      <c r="AG122" s="202"/>
      <c r="AH122" s="97"/>
      <c r="AI122" s="97"/>
      <c r="AJ122" s="97"/>
      <c r="AK122" s="97"/>
      <c r="AL122" s="97"/>
      <c r="AM122" s="97"/>
      <c r="AN122" s="97" t="s">
        <v>650</v>
      </c>
      <c r="AO122" s="97"/>
      <c r="AP122" s="97" t="s">
        <v>849</v>
      </c>
      <c r="AQ122" s="202" t="s">
        <v>850</v>
      </c>
      <c r="AR122" s="97" t="s">
        <v>851</v>
      </c>
      <c r="AS122" s="202" t="s">
        <v>850</v>
      </c>
      <c r="AT122" s="97"/>
      <c r="AU122" s="97"/>
      <c r="AV122" s="84"/>
      <c r="AW122" s="84"/>
      <c r="AX122" s="84"/>
    </row>
    <row r="123" spans="1:50" x14ac:dyDescent="0.2">
      <c r="A123" s="192">
        <v>55</v>
      </c>
      <c r="B123" s="192" t="s">
        <v>852</v>
      </c>
      <c r="C123" s="97" t="s">
        <v>644</v>
      </c>
      <c r="D123" s="97" t="s">
        <v>645</v>
      </c>
      <c r="E123" s="97" t="s">
        <v>646</v>
      </c>
      <c r="F123" s="97" t="s">
        <v>501</v>
      </c>
      <c r="G123" s="97" t="s">
        <v>824</v>
      </c>
      <c r="H123" s="97" t="s">
        <v>829</v>
      </c>
      <c r="I123" s="97" t="s">
        <v>54</v>
      </c>
      <c r="J123" s="97" t="s">
        <v>55</v>
      </c>
      <c r="K123" s="97">
        <v>73152100</v>
      </c>
      <c r="L123" s="97" t="s">
        <v>492</v>
      </c>
      <c r="M123" s="97" t="s">
        <v>493</v>
      </c>
      <c r="N123" s="97" t="s">
        <v>494</v>
      </c>
      <c r="O123" s="97" t="s">
        <v>508</v>
      </c>
      <c r="P123" s="97" t="s">
        <v>853</v>
      </c>
      <c r="Q123" s="97">
        <v>500000</v>
      </c>
      <c r="R123" s="97">
        <v>1</v>
      </c>
      <c r="S123" s="201">
        <v>6000000</v>
      </c>
      <c r="T123" s="97" t="s">
        <v>778</v>
      </c>
      <c r="U123" s="97" t="s">
        <v>339</v>
      </c>
      <c r="V123" s="202">
        <v>43223</v>
      </c>
      <c r="W123" s="97">
        <v>12</v>
      </c>
      <c r="X123" s="203" t="s">
        <v>854</v>
      </c>
      <c r="Y123" s="202">
        <v>43257</v>
      </c>
      <c r="Z123" s="97">
        <v>5969284</v>
      </c>
      <c r="AA123" s="97"/>
      <c r="AB123" s="192">
        <v>883</v>
      </c>
      <c r="AC123" s="208">
        <v>43259</v>
      </c>
      <c r="AD123" s="198">
        <v>5969284</v>
      </c>
      <c r="AE123" s="206">
        <f t="shared" si="1"/>
        <v>30716</v>
      </c>
      <c r="AF123" s="204"/>
      <c r="AG123" s="186"/>
      <c r="AH123" s="198"/>
      <c r="AI123" s="97"/>
      <c r="AJ123" s="192"/>
      <c r="AK123" s="97"/>
      <c r="AL123" s="198"/>
      <c r="AM123" s="198"/>
      <c r="AN123" s="97" t="s">
        <v>650</v>
      </c>
      <c r="AO123" s="97"/>
      <c r="AP123" s="97"/>
      <c r="AQ123" s="202"/>
      <c r="AR123" s="97"/>
      <c r="AS123" s="202"/>
      <c r="AT123" s="97"/>
      <c r="AU123" s="97"/>
      <c r="AV123" s="84"/>
      <c r="AW123" s="84"/>
      <c r="AX123" s="84"/>
    </row>
    <row r="124" spans="1:50" x14ac:dyDescent="0.2">
      <c r="A124" s="192">
        <v>56</v>
      </c>
      <c r="B124" s="192" t="s">
        <v>855</v>
      </c>
      <c r="C124" s="97" t="s">
        <v>644</v>
      </c>
      <c r="D124" s="97" t="s">
        <v>645</v>
      </c>
      <c r="E124" s="97" t="s">
        <v>677</v>
      </c>
      <c r="F124" s="97" t="s">
        <v>487</v>
      </c>
      <c r="G124" s="97" t="s">
        <v>856</v>
      </c>
      <c r="H124" s="97" t="s">
        <v>857</v>
      </c>
      <c r="I124" s="97" t="s">
        <v>54</v>
      </c>
      <c r="J124" s="97" t="s">
        <v>55</v>
      </c>
      <c r="K124" s="97">
        <v>70111700</v>
      </c>
      <c r="L124" s="97" t="s">
        <v>492</v>
      </c>
      <c r="M124" s="97" t="s">
        <v>493</v>
      </c>
      <c r="N124" s="97" t="s">
        <v>494</v>
      </c>
      <c r="O124" s="97" t="s">
        <v>508</v>
      </c>
      <c r="P124" s="97" t="s">
        <v>858</v>
      </c>
      <c r="Q124" s="97">
        <v>340166.66666666669</v>
      </c>
      <c r="R124" s="97">
        <v>1</v>
      </c>
      <c r="S124" s="201">
        <v>4082000</v>
      </c>
      <c r="T124" s="97" t="s">
        <v>778</v>
      </c>
      <c r="U124" s="97" t="s">
        <v>339</v>
      </c>
      <c r="V124" s="202">
        <v>43258</v>
      </c>
      <c r="W124" s="97">
        <v>12</v>
      </c>
      <c r="X124" s="203"/>
      <c r="Y124" s="202"/>
      <c r="Z124" s="97"/>
      <c r="AA124" s="97"/>
      <c r="AB124" s="209"/>
      <c r="AC124" s="202"/>
      <c r="AD124" s="97"/>
      <c r="AE124" s="206">
        <f t="shared" si="1"/>
        <v>4082000</v>
      </c>
      <c r="AF124" s="201"/>
      <c r="AG124" s="202"/>
      <c r="AH124" s="97"/>
      <c r="AI124" s="97"/>
      <c r="AJ124" s="97"/>
      <c r="AK124" s="97"/>
      <c r="AL124" s="97"/>
      <c r="AM124" s="97"/>
      <c r="AN124" s="97" t="s">
        <v>650</v>
      </c>
      <c r="AO124" s="97"/>
      <c r="AP124" s="97"/>
      <c r="AQ124" s="202"/>
      <c r="AR124" s="97"/>
      <c r="AS124" s="202"/>
      <c r="AT124" s="97"/>
      <c r="AU124" s="97"/>
      <c r="AV124" s="84"/>
      <c r="AW124" s="84"/>
      <c r="AX124" s="84"/>
    </row>
    <row r="125" spans="1:50" x14ac:dyDescent="0.2">
      <c r="A125" s="192">
        <v>57</v>
      </c>
      <c r="B125" s="192" t="s">
        <v>859</v>
      </c>
      <c r="C125" s="97" t="s">
        <v>644</v>
      </c>
      <c r="D125" s="97" t="s">
        <v>645</v>
      </c>
      <c r="E125" s="97" t="s">
        <v>677</v>
      </c>
      <c r="F125" s="97" t="s">
        <v>501</v>
      </c>
      <c r="G125" s="97" t="s">
        <v>780</v>
      </c>
      <c r="H125" s="97" t="s">
        <v>808</v>
      </c>
      <c r="I125" s="97" t="s">
        <v>54</v>
      </c>
      <c r="J125" s="97" t="s">
        <v>55</v>
      </c>
      <c r="K125" s="97">
        <v>78111800</v>
      </c>
      <c r="L125" s="97" t="s">
        <v>492</v>
      </c>
      <c r="M125" s="97" t="s">
        <v>493</v>
      </c>
      <c r="N125" s="97" t="s">
        <v>494</v>
      </c>
      <c r="O125" s="97" t="s">
        <v>508</v>
      </c>
      <c r="P125" s="97" t="s">
        <v>860</v>
      </c>
      <c r="Q125" s="97">
        <v>25000000</v>
      </c>
      <c r="R125" s="97">
        <v>1</v>
      </c>
      <c r="S125" s="201">
        <v>25000000</v>
      </c>
      <c r="T125" s="97" t="s">
        <v>778</v>
      </c>
      <c r="U125" s="97" t="s">
        <v>861</v>
      </c>
      <c r="V125" s="202">
        <v>42744</v>
      </c>
      <c r="W125" s="97">
        <v>1</v>
      </c>
      <c r="X125" s="203" t="s">
        <v>862</v>
      </c>
      <c r="Y125" s="202">
        <v>43112</v>
      </c>
      <c r="Z125" s="97">
        <v>25000000</v>
      </c>
      <c r="AA125" s="97" t="s">
        <v>863</v>
      </c>
      <c r="AB125" s="204">
        <v>495</v>
      </c>
      <c r="AC125" s="192" t="s">
        <v>1583</v>
      </c>
      <c r="AD125" s="205">
        <v>25000000</v>
      </c>
      <c r="AE125" s="206">
        <f t="shared" si="1"/>
        <v>0</v>
      </c>
      <c r="AF125" s="204">
        <v>527</v>
      </c>
      <c r="AG125" s="186">
        <v>43132</v>
      </c>
      <c r="AH125" s="198">
        <v>25000000</v>
      </c>
      <c r="AI125" s="97" t="s">
        <v>1584</v>
      </c>
      <c r="AJ125" s="192">
        <v>12</v>
      </c>
      <c r="AK125" s="97"/>
      <c r="AL125" s="198">
        <v>24912380</v>
      </c>
      <c r="AM125" s="198">
        <v>87620</v>
      </c>
      <c r="AN125" s="97" t="s">
        <v>650</v>
      </c>
      <c r="AO125" s="97"/>
      <c r="AP125" s="97" t="s">
        <v>864</v>
      </c>
      <c r="AQ125" s="202">
        <v>43291</v>
      </c>
      <c r="AR125" s="97"/>
      <c r="AS125" s="202">
        <v>43291</v>
      </c>
      <c r="AT125" s="97"/>
      <c r="AU125" s="97"/>
      <c r="AV125" s="84"/>
      <c r="AW125" s="84"/>
      <c r="AX125" s="84"/>
    </row>
    <row r="126" spans="1:50" x14ac:dyDescent="0.2">
      <c r="A126" s="192">
        <v>58</v>
      </c>
      <c r="B126" s="192" t="s">
        <v>865</v>
      </c>
      <c r="C126" s="97" t="s">
        <v>644</v>
      </c>
      <c r="D126" s="97" t="s">
        <v>645</v>
      </c>
      <c r="E126" s="97" t="s">
        <v>677</v>
      </c>
      <c r="F126" s="97" t="s">
        <v>511</v>
      </c>
      <c r="G126" s="97" t="s">
        <v>512</v>
      </c>
      <c r="H126" s="97" t="s">
        <v>647</v>
      </c>
      <c r="I126" s="97" t="s">
        <v>54</v>
      </c>
      <c r="J126" s="97" t="s">
        <v>55</v>
      </c>
      <c r="K126" s="97">
        <v>80111600</v>
      </c>
      <c r="L126" s="97" t="s">
        <v>492</v>
      </c>
      <c r="M126" s="97" t="s">
        <v>493</v>
      </c>
      <c r="N126" s="97" t="s">
        <v>494</v>
      </c>
      <c r="O126" s="97" t="s">
        <v>508</v>
      </c>
      <c r="P126" s="97" t="s">
        <v>541</v>
      </c>
      <c r="Q126" s="97">
        <v>57500000</v>
      </c>
      <c r="R126" s="97">
        <v>1</v>
      </c>
      <c r="S126" s="201">
        <v>57500000</v>
      </c>
      <c r="T126" s="97" t="s">
        <v>652</v>
      </c>
      <c r="U126" s="97" t="s">
        <v>58</v>
      </c>
      <c r="V126" s="202">
        <v>42752</v>
      </c>
      <c r="W126" s="97">
        <v>11.5</v>
      </c>
      <c r="X126" s="203" t="s">
        <v>866</v>
      </c>
      <c r="Y126" s="202">
        <v>43117</v>
      </c>
      <c r="Z126" s="97">
        <v>57500000</v>
      </c>
      <c r="AA126" s="97" t="s">
        <v>867</v>
      </c>
      <c r="AB126" s="204">
        <v>519</v>
      </c>
      <c r="AC126" s="192" t="s">
        <v>1507</v>
      </c>
      <c r="AD126" s="205">
        <v>57500000</v>
      </c>
      <c r="AE126" s="206">
        <f t="shared" si="1"/>
        <v>0</v>
      </c>
      <c r="AF126" s="204">
        <v>331</v>
      </c>
      <c r="AG126" s="186">
        <v>43123</v>
      </c>
      <c r="AH126" s="198">
        <v>57500000</v>
      </c>
      <c r="AI126" s="97" t="s">
        <v>543</v>
      </c>
      <c r="AJ126" s="192">
        <v>145</v>
      </c>
      <c r="AK126" s="97"/>
      <c r="AL126" s="198">
        <v>25166666</v>
      </c>
      <c r="AM126" s="198">
        <v>32333334</v>
      </c>
      <c r="AN126" s="97" t="s">
        <v>116</v>
      </c>
      <c r="AO126" s="97"/>
      <c r="AP126" s="97" t="s">
        <v>655</v>
      </c>
      <c r="AQ126" s="202"/>
      <c r="AR126" s="97"/>
      <c r="AS126" s="202"/>
      <c r="AT126" s="97"/>
      <c r="AU126" s="97" t="s">
        <v>1554</v>
      </c>
      <c r="AV126" s="84"/>
      <c r="AW126" s="84"/>
      <c r="AX126" s="84"/>
    </row>
    <row r="127" spans="1:50" x14ac:dyDescent="0.2">
      <c r="A127" s="192">
        <v>59</v>
      </c>
      <c r="B127" s="192" t="s">
        <v>868</v>
      </c>
      <c r="C127" s="97" t="s">
        <v>644</v>
      </c>
      <c r="D127" s="97" t="s">
        <v>645</v>
      </c>
      <c r="E127" s="97" t="s">
        <v>677</v>
      </c>
      <c r="F127" s="97" t="s">
        <v>511</v>
      </c>
      <c r="G127" s="97" t="s">
        <v>512</v>
      </c>
      <c r="H127" s="97" t="s">
        <v>647</v>
      </c>
      <c r="I127" s="97" t="s">
        <v>54</v>
      </c>
      <c r="J127" s="97" t="s">
        <v>55</v>
      </c>
      <c r="K127" s="97">
        <v>80111600</v>
      </c>
      <c r="L127" s="97" t="s">
        <v>492</v>
      </c>
      <c r="M127" s="97" t="s">
        <v>493</v>
      </c>
      <c r="N127" s="97" t="s">
        <v>494</v>
      </c>
      <c r="O127" s="97" t="s">
        <v>508</v>
      </c>
      <c r="P127" s="97" t="s">
        <v>1585</v>
      </c>
      <c r="Q127" s="97">
        <v>20136500</v>
      </c>
      <c r="R127" s="97">
        <v>1</v>
      </c>
      <c r="S127" s="201">
        <v>17252500</v>
      </c>
      <c r="T127" s="97" t="s">
        <v>869</v>
      </c>
      <c r="U127" s="97" t="s">
        <v>58</v>
      </c>
      <c r="V127" s="202">
        <v>43112</v>
      </c>
      <c r="W127" s="97">
        <v>11.5</v>
      </c>
      <c r="X127" s="203" t="s">
        <v>1586</v>
      </c>
      <c r="Y127" s="202">
        <v>42752</v>
      </c>
      <c r="Z127" s="97">
        <v>20136500</v>
      </c>
      <c r="AA127" s="97" t="s">
        <v>1587</v>
      </c>
      <c r="AB127" s="204">
        <v>526</v>
      </c>
      <c r="AC127" s="192" t="s">
        <v>1507</v>
      </c>
      <c r="AD127" s="205">
        <v>17252500</v>
      </c>
      <c r="AE127" s="206">
        <f t="shared" si="1"/>
        <v>0</v>
      </c>
      <c r="AF127" s="204">
        <v>406</v>
      </c>
      <c r="AG127" s="186">
        <v>43124</v>
      </c>
      <c r="AH127" s="198">
        <v>17252500</v>
      </c>
      <c r="AI127" s="97" t="s">
        <v>1588</v>
      </c>
      <c r="AJ127" s="192">
        <v>148</v>
      </c>
      <c r="AK127" s="97"/>
      <c r="AL127" s="198">
        <v>8085500</v>
      </c>
      <c r="AM127" s="198">
        <v>9167000</v>
      </c>
      <c r="AN127" s="97" t="s">
        <v>116</v>
      </c>
      <c r="AO127" s="97"/>
      <c r="AP127" s="97" t="s">
        <v>870</v>
      </c>
      <c r="AQ127" s="202">
        <v>43277</v>
      </c>
      <c r="AR127" s="97" t="s">
        <v>675</v>
      </c>
      <c r="AS127" s="202">
        <v>43278</v>
      </c>
      <c r="AT127" s="97" t="s">
        <v>662</v>
      </c>
      <c r="AU127" s="97" t="s">
        <v>1554</v>
      </c>
      <c r="AV127" s="84"/>
      <c r="AW127" s="84"/>
      <c r="AX127" s="84"/>
    </row>
    <row r="128" spans="1:50" x14ac:dyDescent="0.2">
      <c r="A128" s="192">
        <v>60</v>
      </c>
      <c r="B128" s="192" t="s">
        <v>871</v>
      </c>
      <c r="C128" s="97" t="s">
        <v>644</v>
      </c>
      <c r="D128" s="97" t="s">
        <v>645</v>
      </c>
      <c r="E128" s="97" t="s">
        <v>677</v>
      </c>
      <c r="F128" s="97" t="s">
        <v>501</v>
      </c>
      <c r="G128" s="97" t="s">
        <v>824</v>
      </c>
      <c r="H128" s="97" t="s">
        <v>829</v>
      </c>
      <c r="I128" s="97" t="s">
        <v>54</v>
      </c>
      <c r="J128" s="97" t="s">
        <v>55</v>
      </c>
      <c r="K128" s="97">
        <v>84000000</v>
      </c>
      <c r="L128" s="97" t="s">
        <v>492</v>
      </c>
      <c r="M128" s="97" t="s">
        <v>493</v>
      </c>
      <c r="N128" s="97" t="s">
        <v>494</v>
      </c>
      <c r="O128" s="97" t="s">
        <v>508</v>
      </c>
      <c r="P128" s="97" t="s">
        <v>872</v>
      </c>
      <c r="Q128" s="97">
        <v>31143000</v>
      </c>
      <c r="R128" s="97">
        <v>1</v>
      </c>
      <c r="S128" s="201">
        <v>31143000</v>
      </c>
      <c r="T128" s="97" t="s">
        <v>831</v>
      </c>
      <c r="U128" s="97" t="s">
        <v>497</v>
      </c>
      <c r="V128" s="202">
        <v>43174</v>
      </c>
      <c r="W128" s="97">
        <v>10</v>
      </c>
      <c r="X128" s="203" t="s">
        <v>873</v>
      </c>
      <c r="Y128" s="202">
        <v>43175</v>
      </c>
      <c r="Z128" s="97">
        <v>31143000</v>
      </c>
      <c r="AA128" s="97" t="s">
        <v>874</v>
      </c>
      <c r="AB128" s="204">
        <v>749</v>
      </c>
      <c r="AC128" s="210">
        <v>43179</v>
      </c>
      <c r="AD128" s="205">
        <v>31143000</v>
      </c>
      <c r="AE128" s="206">
        <f t="shared" si="1"/>
        <v>0</v>
      </c>
      <c r="AF128" s="204">
        <v>1656</v>
      </c>
      <c r="AG128" s="186">
        <v>43185</v>
      </c>
      <c r="AH128" s="198">
        <v>31143000</v>
      </c>
      <c r="AI128" s="97" t="s">
        <v>1589</v>
      </c>
      <c r="AJ128" s="192">
        <v>17</v>
      </c>
      <c r="AK128" s="97"/>
      <c r="AL128" s="198">
        <v>31143000</v>
      </c>
      <c r="AM128" s="198">
        <v>0</v>
      </c>
      <c r="AN128" s="97" t="s">
        <v>650</v>
      </c>
      <c r="AO128" s="97"/>
      <c r="AP128" s="97" t="s">
        <v>875</v>
      </c>
      <c r="AQ128" s="202"/>
      <c r="AR128" s="97"/>
      <c r="AS128" s="202"/>
      <c r="AT128" s="97"/>
      <c r="AU128" s="97"/>
      <c r="AV128" s="84"/>
      <c r="AW128" s="84"/>
      <c r="AX128" s="84"/>
    </row>
    <row r="129" spans="1:50" x14ac:dyDescent="0.2">
      <c r="A129" s="192">
        <v>61</v>
      </c>
      <c r="B129" s="192" t="s">
        <v>876</v>
      </c>
      <c r="C129" s="97" t="s">
        <v>644</v>
      </c>
      <c r="D129" s="97" t="s">
        <v>645</v>
      </c>
      <c r="E129" s="97" t="s">
        <v>677</v>
      </c>
      <c r="F129" s="97" t="s">
        <v>501</v>
      </c>
      <c r="G129" s="97" t="s">
        <v>824</v>
      </c>
      <c r="H129" s="97" t="s">
        <v>829</v>
      </c>
      <c r="I129" s="97" t="s">
        <v>54</v>
      </c>
      <c r="J129" s="97" t="s">
        <v>55</v>
      </c>
      <c r="K129" s="97">
        <v>84000000</v>
      </c>
      <c r="L129" s="97" t="s">
        <v>492</v>
      </c>
      <c r="M129" s="97" t="s">
        <v>493</v>
      </c>
      <c r="N129" s="97" t="s">
        <v>494</v>
      </c>
      <c r="O129" s="97" t="s">
        <v>508</v>
      </c>
      <c r="P129" s="97" t="s">
        <v>877</v>
      </c>
      <c r="Q129" s="97">
        <v>5165000</v>
      </c>
      <c r="R129" s="97">
        <v>1</v>
      </c>
      <c r="S129" s="201">
        <v>5165000</v>
      </c>
      <c r="T129" s="97" t="s">
        <v>831</v>
      </c>
      <c r="U129" s="97" t="s">
        <v>497</v>
      </c>
      <c r="V129" s="202">
        <v>43174</v>
      </c>
      <c r="W129" s="97">
        <v>10</v>
      </c>
      <c r="X129" s="203" t="s">
        <v>878</v>
      </c>
      <c r="Y129" s="202">
        <v>43175</v>
      </c>
      <c r="Z129" s="97">
        <v>5165000</v>
      </c>
      <c r="AA129" s="97" t="s">
        <v>874</v>
      </c>
      <c r="AB129" s="204">
        <v>748</v>
      </c>
      <c r="AC129" s="210">
        <v>43179</v>
      </c>
      <c r="AD129" s="205">
        <v>5165000</v>
      </c>
      <c r="AE129" s="206">
        <f t="shared" si="1"/>
        <v>0</v>
      </c>
      <c r="AF129" s="204">
        <v>1755</v>
      </c>
      <c r="AG129" s="186">
        <v>43200</v>
      </c>
      <c r="AH129" s="198">
        <v>5165000</v>
      </c>
      <c r="AI129" s="97" t="s">
        <v>1590</v>
      </c>
      <c r="AJ129" s="192">
        <v>122</v>
      </c>
      <c r="AK129" s="97"/>
      <c r="AL129" s="198">
        <v>5165000</v>
      </c>
      <c r="AM129" s="198">
        <v>0</v>
      </c>
      <c r="AN129" s="97" t="s">
        <v>650</v>
      </c>
      <c r="AO129" s="97"/>
      <c r="AP129" s="97" t="s">
        <v>879</v>
      </c>
      <c r="AQ129" s="202"/>
      <c r="AR129" s="97"/>
      <c r="AS129" s="202"/>
      <c r="AT129" s="97"/>
      <c r="AU129" s="97"/>
      <c r="AV129" s="84"/>
      <c r="AW129" s="84"/>
      <c r="AX129" s="84"/>
    </row>
    <row r="130" spans="1:50" x14ac:dyDescent="0.2">
      <c r="A130" s="192">
        <v>62</v>
      </c>
      <c r="B130" s="192" t="s">
        <v>880</v>
      </c>
      <c r="C130" s="97" t="s">
        <v>644</v>
      </c>
      <c r="D130" s="97" t="s">
        <v>645</v>
      </c>
      <c r="E130" s="97" t="s">
        <v>677</v>
      </c>
      <c r="F130" s="97" t="s">
        <v>501</v>
      </c>
      <c r="G130" s="97" t="s">
        <v>780</v>
      </c>
      <c r="H130" s="97" t="s">
        <v>781</v>
      </c>
      <c r="I130" s="97" t="s">
        <v>54</v>
      </c>
      <c r="J130" s="97" t="s">
        <v>55</v>
      </c>
      <c r="K130" s="97">
        <v>82121700</v>
      </c>
      <c r="L130" s="97" t="s">
        <v>492</v>
      </c>
      <c r="M130" s="97" t="s">
        <v>493</v>
      </c>
      <c r="N130" s="97" t="s">
        <v>494</v>
      </c>
      <c r="O130" s="97" t="s">
        <v>508</v>
      </c>
      <c r="P130" s="97" t="s">
        <v>881</v>
      </c>
      <c r="Q130" s="97">
        <v>35000000</v>
      </c>
      <c r="R130" s="97">
        <v>1</v>
      </c>
      <c r="S130" s="201">
        <v>35000000</v>
      </c>
      <c r="T130" s="97" t="s">
        <v>778</v>
      </c>
      <c r="U130" s="97" t="s">
        <v>50</v>
      </c>
      <c r="V130" s="202">
        <v>43179</v>
      </c>
      <c r="W130" s="97">
        <v>2</v>
      </c>
      <c r="X130" s="203" t="s">
        <v>882</v>
      </c>
      <c r="Y130" s="202">
        <v>43179</v>
      </c>
      <c r="Z130" s="97">
        <v>35000000</v>
      </c>
      <c r="AA130" s="97"/>
      <c r="AB130" s="204">
        <v>754</v>
      </c>
      <c r="AC130" s="210">
        <v>43180</v>
      </c>
      <c r="AD130" s="205">
        <v>35000000</v>
      </c>
      <c r="AE130" s="206">
        <f t="shared" si="1"/>
        <v>0</v>
      </c>
      <c r="AF130" s="204">
        <v>1667</v>
      </c>
      <c r="AG130" s="186">
        <v>43194</v>
      </c>
      <c r="AH130" s="198">
        <v>35000000</v>
      </c>
      <c r="AI130" s="97" t="s">
        <v>1591</v>
      </c>
      <c r="AJ130" s="192">
        <v>12</v>
      </c>
      <c r="AK130" s="97"/>
      <c r="AL130" s="198">
        <v>27807771</v>
      </c>
      <c r="AM130" s="198">
        <v>7192229</v>
      </c>
      <c r="AN130" s="97" t="s">
        <v>650</v>
      </c>
      <c r="AO130" s="97"/>
      <c r="AP130" s="97" t="s">
        <v>883</v>
      </c>
      <c r="AQ130" s="202"/>
      <c r="AR130" s="97"/>
      <c r="AS130" s="202"/>
      <c r="AT130" s="97"/>
      <c r="AU130" s="97"/>
      <c r="AV130" s="84"/>
      <c r="AW130" s="84"/>
      <c r="AX130" s="84"/>
    </row>
    <row r="131" spans="1:50" x14ac:dyDescent="0.2">
      <c r="A131" s="192">
        <v>63</v>
      </c>
      <c r="B131" s="192" t="s">
        <v>884</v>
      </c>
      <c r="C131" s="97" t="s">
        <v>644</v>
      </c>
      <c r="D131" s="97" t="s">
        <v>645</v>
      </c>
      <c r="E131" s="97" t="s">
        <v>677</v>
      </c>
      <c r="F131" s="97" t="s">
        <v>501</v>
      </c>
      <c r="G131" s="97" t="s">
        <v>780</v>
      </c>
      <c r="H131" s="97" t="s">
        <v>781</v>
      </c>
      <c r="I131" s="97" t="s">
        <v>54</v>
      </c>
      <c r="J131" s="97" t="s">
        <v>55</v>
      </c>
      <c r="K131" s="97">
        <v>84000000</v>
      </c>
      <c r="L131" s="97" t="s">
        <v>492</v>
      </c>
      <c r="M131" s="97" t="s">
        <v>493</v>
      </c>
      <c r="N131" s="97" t="s">
        <v>494</v>
      </c>
      <c r="O131" s="97" t="s">
        <v>508</v>
      </c>
      <c r="P131" s="97" t="s">
        <v>314</v>
      </c>
      <c r="Q131" s="97">
        <v>29500000</v>
      </c>
      <c r="R131" s="97">
        <v>1</v>
      </c>
      <c r="S131" s="201">
        <v>29500000</v>
      </c>
      <c r="T131" s="97" t="s">
        <v>778</v>
      </c>
      <c r="U131" s="97" t="s">
        <v>344</v>
      </c>
      <c r="V131" s="202">
        <v>43202</v>
      </c>
      <c r="W131" s="97">
        <v>9</v>
      </c>
      <c r="X131" s="203" t="s">
        <v>885</v>
      </c>
      <c r="Y131" s="202">
        <v>43202</v>
      </c>
      <c r="Z131" s="97">
        <v>29500000</v>
      </c>
      <c r="AA131" s="97" t="s">
        <v>886</v>
      </c>
      <c r="AB131" s="204">
        <v>792</v>
      </c>
      <c r="AC131" s="97" t="s">
        <v>1578</v>
      </c>
      <c r="AD131" s="205">
        <v>29500000</v>
      </c>
      <c r="AE131" s="206">
        <f t="shared" si="1"/>
        <v>0</v>
      </c>
      <c r="AF131" s="204">
        <v>2447</v>
      </c>
      <c r="AG131" s="186">
        <v>43286</v>
      </c>
      <c r="AH131" s="198">
        <v>22992271</v>
      </c>
      <c r="AI131" s="97" t="s">
        <v>1592</v>
      </c>
      <c r="AJ131" s="192">
        <v>12</v>
      </c>
      <c r="AK131" s="97"/>
      <c r="AL131" s="198">
        <v>0</v>
      </c>
      <c r="AM131" s="198">
        <v>22992271</v>
      </c>
      <c r="AN131" s="97" t="s">
        <v>650</v>
      </c>
      <c r="AO131" s="97"/>
      <c r="AP131" s="97" t="s">
        <v>887</v>
      </c>
      <c r="AQ131" s="202">
        <v>43203</v>
      </c>
      <c r="AR131" s="97"/>
      <c r="AS131" s="202">
        <v>43203</v>
      </c>
      <c r="AT131" s="97" t="s">
        <v>801</v>
      </c>
      <c r="AU131" s="97"/>
      <c r="AV131" s="84"/>
      <c r="AW131" s="84"/>
      <c r="AX131" s="84"/>
    </row>
    <row r="132" spans="1:50" x14ac:dyDescent="0.2">
      <c r="A132" s="192">
        <v>64</v>
      </c>
      <c r="B132" s="192" t="s">
        <v>888</v>
      </c>
      <c r="C132" s="97" t="s">
        <v>644</v>
      </c>
      <c r="D132" s="97" t="s">
        <v>645</v>
      </c>
      <c r="E132" s="97" t="s">
        <v>677</v>
      </c>
      <c r="F132" s="97" t="s">
        <v>501</v>
      </c>
      <c r="G132" s="97" t="s">
        <v>780</v>
      </c>
      <c r="H132" s="97" t="s">
        <v>781</v>
      </c>
      <c r="I132" s="97" t="s">
        <v>54</v>
      </c>
      <c r="J132" s="97" t="s">
        <v>55</v>
      </c>
      <c r="K132" s="97">
        <v>90101600</v>
      </c>
      <c r="L132" s="97" t="s">
        <v>492</v>
      </c>
      <c r="M132" s="97" t="s">
        <v>493</v>
      </c>
      <c r="N132" s="97" t="s">
        <v>494</v>
      </c>
      <c r="O132" s="97" t="s">
        <v>508</v>
      </c>
      <c r="P132" s="97" t="s">
        <v>889</v>
      </c>
      <c r="Q132" s="97">
        <v>3000000</v>
      </c>
      <c r="R132" s="97">
        <v>1</v>
      </c>
      <c r="S132" s="201">
        <v>3000000</v>
      </c>
      <c r="T132" s="97" t="s">
        <v>778</v>
      </c>
      <c r="U132" s="97" t="s">
        <v>50</v>
      </c>
      <c r="V132" s="202">
        <v>43245</v>
      </c>
      <c r="W132" s="97">
        <v>1</v>
      </c>
      <c r="X132" s="203" t="s">
        <v>890</v>
      </c>
      <c r="Y132" s="202">
        <v>43245</v>
      </c>
      <c r="Z132" s="97">
        <v>3000000</v>
      </c>
      <c r="AA132" s="97" t="s">
        <v>886</v>
      </c>
      <c r="AB132" s="204">
        <v>852</v>
      </c>
      <c r="AC132" s="208">
        <v>43248</v>
      </c>
      <c r="AD132" s="198">
        <v>3000000</v>
      </c>
      <c r="AE132" s="206">
        <f t="shared" si="1"/>
        <v>0</v>
      </c>
      <c r="AF132" s="204">
        <v>1961</v>
      </c>
      <c r="AG132" s="186">
        <v>43251</v>
      </c>
      <c r="AH132" s="198">
        <v>3000000</v>
      </c>
      <c r="AI132" s="97" t="s">
        <v>1593</v>
      </c>
      <c r="AJ132" s="192">
        <v>12</v>
      </c>
      <c r="AK132" s="97"/>
      <c r="AL132" s="198">
        <v>2080000</v>
      </c>
      <c r="AM132" s="198">
        <v>920000</v>
      </c>
      <c r="AN132" s="97" t="s">
        <v>650</v>
      </c>
      <c r="AO132" s="97"/>
      <c r="AP132" s="97" t="s">
        <v>891</v>
      </c>
      <c r="AQ132" s="202">
        <v>43245</v>
      </c>
      <c r="AR132" s="97"/>
      <c r="AS132" s="202">
        <v>43245</v>
      </c>
      <c r="AT132" s="97" t="s">
        <v>892</v>
      </c>
      <c r="AU132" s="97"/>
      <c r="AV132" s="84"/>
      <c r="AW132" s="84"/>
      <c r="AX132" s="84"/>
    </row>
    <row r="133" spans="1:50" x14ac:dyDescent="0.2">
      <c r="A133" s="192">
        <v>65</v>
      </c>
      <c r="B133" s="192" t="s">
        <v>893</v>
      </c>
      <c r="C133" s="97" t="s">
        <v>644</v>
      </c>
      <c r="D133" s="97" t="s">
        <v>645</v>
      </c>
      <c r="E133" s="97" t="s">
        <v>677</v>
      </c>
      <c r="F133" s="97" t="s">
        <v>501</v>
      </c>
      <c r="G133" s="97" t="s">
        <v>780</v>
      </c>
      <c r="H133" s="97" t="s">
        <v>781</v>
      </c>
      <c r="I133" s="97" t="s">
        <v>54</v>
      </c>
      <c r="J133" s="97" t="s">
        <v>55</v>
      </c>
      <c r="K133" s="97">
        <v>90101600</v>
      </c>
      <c r="L133" s="97" t="s">
        <v>492</v>
      </c>
      <c r="M133" s="97" t="s">
        <v>493</v>
      </c>
      <c r="N133" s="97" t="s">
        <v>494</v>
      </c>
      <c r="O133" s="97" t="s">
        <v>508</v>
      </c>
      <c r="P133" s="97" t="s">
        <v>894</v>
      </c>
      <c r="Q133" s="97">
        <v>13250000</v>
      </c>
      <c r="R133" s="97">
        <v>2</v>
      </c>
      <c r="S133" s="201">
        <v>26500000</v>
      </c>
      <c r="T133" s="97" t="s">
        <v>778</v>
      </c>
      <c r="U133" s="97" t="s">
        <v>50</v>
      </c>
      <c r="V133" s="202">
        <v>43245</v>
      </c>
      <c r="W133" s="97">
        <v>2</v>
      </c>
      <c r="X133" s="203" t="s">
        <v>895</v>
      </c>
      <c r="Y133" s="202">
        <v>43245</v>
      </c>
      <c r="Z133" s="97">
        <v>26500000</v>
      </c>
      <c r="AA133" s="97" t="s">
        <v>886</v>
      </c>
      <c r="AB133" s="204">
        <v>850</v>
      </c>
      <c r="AC133" s="208">
        <v>43248</v>
      </c>
      <c r="AD133" s="198">
        <v>26500000</v>
      </c>
      <c r="AE133" s="206">
        <f t="shared" ref="AE133:AE143" si="2">S133-AD133</f>
        <v>0</v>
      </c>
      <c r="AF133" s="204">
        <v>1962</v>
      </c>
      <c r="AG133" s="186">
        <v>43252</v>
      </c>
      <c r="AH133" s="198">
        <v>26500000</v>
      </c>
      <c r="AI133" s="97" t="s">
        <v>1591</v>
      </c>
      <c r="AJ133" s="192">
        <v>12</v>
      </c>
      <c r="AK133" s="97"/>
      <c r="AL133" s="198">
        <v>17431879</v>
      </c>
      <c r="AM133" s="198">
        <v>9068121</v>
      </c>
      <c r="AN133" s="97" t="s">
        <v>650</v>
      </c>
      <c r="AO133" s="97"/>
      <c r="AP133" s="97" t="s">
        <v>891</v>
      </c>
      <c r="AQ133" s="202">
        <v>43245</v>
      </c>
      <c r="AR133" s="97"/>
      <c r="AS133" s="202">
        <v>43245</v>
      </c>
      <c r="AT133" s="97" t="s">
        <v>892</v>
      </c>
      <c r="AU133" s="97"/>
      <c r="AV133" s="84"/>
      <c r="AW133" s="84"/>
      <c r="AX133" s="84"/>
    </row>
    <row r="134" spans="1:50" x14ac:dyDescent="0.2">
      <c r="A134" s="192">
        <v>66</v>
      </c>
      <c r="B134" s="192" t="s">
        <v>896</v>
      </c>
      <c r="C134" s="97" t="s">
        <v>644</v>
      </c>
      <c r="D134" s="97" t="s">
        <v>645</v>
      </c>
      <c r="E134" s="97" t="s">
        <v>677</v>
      </c>
      <c r="F134" s="97" t="s">
        <v>501</v>
      </c>
      <c r="G134" s="97" t="s">
        <v>824</v>
      </c>
      <c r="H134" s="97" t="s">
        <v>829</v>
      </c>
      <c r="I134" s="97" t="s">
        <v>54</v>
      </c>
      <c r="J134" s="97" t="s">
        <v>55</v>
      </c>
      <c r="K134" s="97">
        <v>80131500</v>
      </c>
      <c r="L134" s="97" t="s">
        <v>492</v>
      </c>
      <c r="M134" s="97" t="s">
        <v>493</v>
      </c>
      <c r="N134" s="97" t="s">
        <v>494</v>
      </c>
      <c r="O134" s="97" t="s">
        <v>508</v>
      </c>
      <c r="P134" s="97" t="s">
        <v>897</v>
      </c>
      <c r="Q134" s="97">
        <v>810386</v>
      </c>
      <c r="R134" s="97">
        <v>1</v>
      </c>
      <c r="S134" s="201">
        <v>810386</v>
      </c>
      <c r="T134" s="97" t="s">
        <v>898</v>
      </c>
      <c r="U134" s="97" t="s">
        <v>339</v>
      </c>
      <c r="V134" s="202">
        <v>43263</v>
      </c>
      <c r="W134" s="97">
        <v>1</v>
      </c>
      <c r="X134" s="203" t="s">
        <v>899</v>
      </c>
      <c r="Y134" s="202">
        <v>43264</v>
      </c>
      <c r="Z134" s="97">
        <v>810386</v>
      </c>
      <c r="AA134" s="97" t="s">
        <v>900</v>
      </c>
      <c r="AB134" s="192">
        <v>891</v>
      </c>
      <c r="AC134" s="208">
        <v>43266</v>
      </c>
      <c r="AD134" s="198">
        <v>810386</v>
      </c>
      <c r="AE134" s="206">
        <f t="shared" si="2"/>
        <v>0</v>
      </c>
      <c r="AF134" s="204"/>
      <c r="AG134" s="186"/>
      <c r="AH134" s="198"/>
      <c r="AI134" s="97"/>
      <c r="AJ134" s="192"/>
      <c r="AK134" s="97"/>
      <c r="AL134" s="198"/>
      <c r="AM134" s="198"/>
      <c r="AN134" s="97" t="s">
        <v>650</v>
      </c>
      <c r="AO134" s="97"/>
      <c r="AP134" s="97" t="s">
        <v>901</v>
      </c>
      <c r="AQ134" s="202" t="s">
        <v>902</v>
      </c>
      <c r="AR134" s="97" t="s">
        <v>903</v>
      </c>
      <c r="AS134" s="202" t="s">
        <v>904</v>
      </c>
      <c r="AT134" s="97"/>
      <c r="AU134" s="97"/>
      <c r="AV134" s="84"/>
      <c r="AW134" s="84"/>
      <c r="AX134" s="84"/>
    </row>
    <row r="135" spans="1:50" x14ac:dyDescent="0.2">
      <c r="A135" s="192">
        <v>67</v>
      </c>
      <c r="B135" s="192" t="s">
        <v>905</v>
      </c>
      <c r="C135" s="97" t="s">
        <v>644</v>
      </c>
      <c r="D135" s="97" t="s">
        <v>645</v>
      </c>
      <c r="E135" s="97" t="s">
        <v>677</v>
      </c>
      <c r="F135" s="97" t="s">
        <v>511</v>
      </c>
      <c r="G135" s="97" t="s">
        <v>512</v>
      </c>
      <c r="H135" s="97" t="s">
        <v>647</v>
      </c>
      <c r="I135" s="97" t="s">
        <v>54</v>
      </c>
      <c r="J135" s="97" t="s">
        <v>55</v>
      </c>
      <c r="K135" s="97">
        <v>80111600</v>
      </c>
      <c r="L135" s="97" t="s">
        <v>492</v>
      </c>
      <c r="M135" s="97" t="s">
        <v>493</v>
      </c>
      <c r="N135" s="97" t="s">
        <v>494</v>
      </c>
      <c r="O135" s="97" t="s">
        <v>508</v>
      </c>
      <c r="P135" s="97" t="s">
        <v>906</v>
      </c>
      <c r="Q135" s="97">
        <v>49500000</v>
      </c>
      <c r="R135" s="97">
        <v>1</v>
      </c>
      <c r="S135" s="201">
        <v>54000000</v>
      </c>
      <c r="T135" s="97" t="s">
        <v>778</v>
      </c>
      <c r="U135" s="97" t="s">
        <v>58</v>
      </c>
      <c r="V135" s="202">
        <v>43278</v>
      </c>
      <c r="W135" s="97">
        <v>6</v>
      </c>
      <c r="X135" s="203" t="s">
        <v>907</v>
      </c>
      <c r="Y135" s="202">
        <v>43278</v>
      </c>
      <c r="Z135" s="97">
        <v>54000000</v>
      </c>
      <c r="AA135" s="97" t="s">
        <v>711</v>
      </c>
      <c r="AB135" s="192">
        <v>928</v>
      </c>
      <c r="AC135" s="208">
        <v>43279</v>
      </c>
      <c r="AD135" s="198">
        <v>54000000</v>
      </c>
      <c r="AE135" s="206">
        <f t="shared" si="2"/>
        <v>0</v>
      </c>
      <c r="AF135" s="204">
        <v>2405</v>
      </c>
      <c r="AG135" s="186">
        <v>43280</v>
      </c>
      <c r="AH135" s="198">
        <v>54000000</v>
      </c>
      <c r="AI135" s="97" t="s">
        <v>1594</v>
      </c>
      <c r="AJ135" s="192">
        <v>145</v>
      </c>
      <c r="AK135" s="97"/>
      <c r="AL135" s="198">
        <v>0</v>
      </c>
      <c r="AM135" s="198">
        <v>54000000</v>
      </c>
      <c r="AN135" s="97" t="s">
        <v>712</v>
      </c>
      <c r="AO135" s="97"/>
      <c r="AP135" s="97" t="s">
        <v>713</v>
      </c>
      <c r="AQ135" s="202" t="s">
        <v>714</v>
      </c>
      <c r="AR135" s="97" t="s">
        <v>453</v>
      </c>
      <c r="AS135" s="202">
        <v>43278</v>
      </c>
      <c r="AT135" s="97" t="s">
        <v>662</v>
      </c>
      <c r="AU135" s="97"/>
      <c r="AV135" s="84"/>
      <c r="AW135" s="84"/>
      <c r="AX135" s="84"/>
    </row>
    <row r="136" spans="1:50" x14ac:dyDescent="0.2">
      <c r="A136" s="192">
        <v>68</v>
      </c>
      <c r="B136" s="192" t="s">
        <v>908</v>
      </c>
      <c r="C136" s="97" t="s">
        <v>644</v>
      </c>
      <c r="D136" s="97" t="s">
        <v>645</v>
      </c>
      <c r="E136" s="97" t="s">
        <v>677</v>
      </c>
      <c r="F136" s="97" t="s">
        <v>511</v>
      </c>
      <c r="G136" s="97" t="s">
        <v>512</v>
      </c>
      <c r="H136" s="97" t="s">
        <v>647</v>
      </c>
      <c r="I136" s="97" t="s">
        <v>54</v>
      </c>
      <c r="J136" s="97" t="s">
        <v>55</v>
      </c>
      <c r="K136" s="97">
        <v>80111600</v>
      </c>
      <c r="L136" s="97" t="s">
        <v>492</v>
      </c>
      <c r="M136" s="97" t="s">
        <v>493</v>
      </c>
      <c r="N136" s="97" t="s">
        <v>494</v>
      </c>
      <c r="O136" s="97" t="s">
        <v>508</v>
      </c>
      <c r="P136" s="97" t="s">
        <v>909</v>
      </c>
      <c r="Q136" s="97">
        <v>31167800</v>
      </c>
      <c r="R136" s="97">
        <v>1</v>
      </c>
      <c r="S136" s="201">
        <v>31167800</v>
      </c>
      <c r="T136" s="97" t="s">
        <v>652</v>
      </c>
      <c r="U136" s="97" t="s">
        <v>58</v>
      </c>
      <c r="V136" s="202">
        <v>43284</v>
      </c>
      <c r="W136" s="97">
        <v>5.93</v>
      </c>
      <c r="X136" s="203" t="s">
        <v>910</v>
      </c>
      <c r="Y136" s="202">
        <v>43284</v>
      </c>
      <c r="Z136" s="97">
        <v>31167800</v>
      </c>
      <c r="AA136" s="97"/>
      <c r="AB136" s="192">
        <v>937</v>
      </c>
      <c r="AC136" s="210">
        <v>43285</v>
      </c>
      <c r="AD136" s="198">
        <v>31167800</v>
      </c>
      <c r="AE136" s="206">
        <f t="shared" si="2"/>
        <v>0</v>
      </c>
      <c r="AF136" s="204">
        <v>2456</v>
      </c>
      <c r="AG136" s="186">
        <v>43290</v>
      </c>
      <c r="AH136" s="198">
        <v>31167800</v>
      </c>
      <c r="AI136" s="97" t="s">
        <v>1595</v>
      </c>
      <c r="AJ136" s="192">
        <v>145</v>
      </c>
      <c r="AK136" s="97"/>
      <c r="AL136" s="198">
        <v>0</v>
      </c>
      <c r="AM136" s="198">
        <v>31167800</v>
      </c>
      <c r="AN136" s="97" t="s">
        <v>116</v>
      </c>
      <c r="AO136" s="97"/>
      <c r="AP136" s="97"/>
      <c r="AQ136" s="202"/>
      <c r="AR136" s="97"/>
      <c r="AS136" s="202"/>
      <c r="AT136" s="97"/>
      <c r="AU136" s="97"/>
      <c r="AV136" s="84"/>
      <c r="AW136" s="84"/>
      <c r="AX136" s="84"/>
    </row>
    <row r="137" spans="1:50" x14ac:dyDescent="0.2">
      <c r="A137" s="192">
        <v>69</v>
      </c>
      <c r="B137" s="192" t="s">
        <v>911</v>
      </c>
      <c r="C137" s="97" t="s">
        <v>644</v>
      </c>
      <c r="D137" s="97" t="s">
        <v>645</v>
      </c>
      <c r="E137" s="97" t="s">
        <v>677</v>
      </c>
      <c r="F137" s="97" t="s">
        <v>511</v>
      </c>
      <c r="G137" s="97" t="s">
        <v>512</v>
      </c>
      <c r="H137" s="97" t="s">
        <v>647</v>
      </c>
      <c r="I137" s="97" t="s">
        <v>54</v>
      </c>
      <c r="J137" s="97" t="s">
        <v>55</v>
      </c>
      <c r="K137" s="97">
        <v>78111800</v>
      </c>
      <c r="L137" s="97" t="s">
        <v>492</v>
      </c>
      <c r="M137" s="97" t="s">
        <v>493</v>
      </c>
      <c r="N137" s="97" t="s">
        <v>494</v>
      </c>
      <c r="O137" s="97" t="s">
        <v>508</v>
      </c>
      <c r="P137" s="97" t="s">
        <v>219</v>
      </c>
      <c r="Q137" s="97">
        <v>10039067</v>
      </c>
      <c r="R137" s="97">
        <v>1</v>
      </c>
      <c r="S137" s="201">
        <v>10039067</v>
      </c>
      <c r="T137" s="97" t="s">
        <v>869</v>
      </c>
      <c r="U137" s="97" t="s">
        <v>58</v>
      </c>
      <c r="V137" s="202">
        <v>43286</v>
      </c>
      <c r="W137" s="97">
        <v>5.73</v>
      </c>
      <c r="X137" s="203" t="s">
        <v>912</v>
      </c>
      <c r="Y137" s="202">
        <v>43286</v>
      </c>
      <c r="Z137" s="97">
        <v>10039067</v>
      </c>
      <c r="AA137" s="97"/>
      <c r="AB137" s="192">
        <v>944</v>
      </c>
      <c r="AC137" s="210">
        <v>43290</v>
      </c>
      <c r="AD137" s="198">
        <v>10039067</v>
      </c>
      <c r="AE137" s="206">
        <f t="shared" si="2"/>
        <v>0</v>
      </c>
      <c r="AF137" s="204">
        <v>2486</v>
      </c>
      <c r="AG137" s="186">
        <v>43292</v>
      </c>
      <c r="AH137" s="198">
        <v>10039067</v>
      </c>
      <c r="AI137" s="97" t="s">
        <v>1596</v>
      </c>
      <c r="AJ137" s="192">
        <v>148</v>
      </c>
      <c r="AK137" s="97"/>
      <c r="AL137" s="198">
        <v>0</v>
      </c>
      <c r="AM137" s="198">
        <v>10039067</v>
      </c>
      <c r="AN137" s="97" t="s">
        <v>650</v>
      </c>
      <c r="AO137" s="97"/>
      <c r="AP137" s="97" t="s">
        <v>1579</v>
      </c>
      <c r="AQ137" s="202" t="s">
        <v>816</v>
      </c>
      <c r="AR137" s="97" t="s">
        <v>913</v>
      </c>
      <c r="AS137" s="202" t="s">
        <v>816</v>
      </c>
      <c r="AT137" s="97" t="s">
        <v>662</v>
      </c>
      <c r="AU137" s="97"/>
      <c r="AV137" s="84"/>
      <c r="AW137" s="84"/>
      <c r="AX137" s="84"/>
    </row>
    <row r="138" spans="1:50" x14ac:dyDescent="0.2">
      <c r="A138" s="192">
        <v>70</v>
      </c>
      <c r="B138" s="192" t="s">
        <v>914</v>
      </c>
      <c r="C138" s="97" t="s">
        <v>644</v>
      </c>
      <c r="D138" s="97" t="s">
        <v>645</v>
      </c>
      <c r="E138" s="97" t="s">
        <v>646</v>
      </c>
      <c r="F138" s="97" t="s">
        <v>511</v>
      </c>
      <c r="G138" s="97" t="s">
        <v>512</v>
      </c>
      <c r="H138" s="97" t="s">
        <v>647</v>
      </c>
      <c r="I138" s="97" t="s">
        <v>54</v>
      </c>
      <c r="J138" s="97" t="s">
        <v>55</v>
      </c>
      <c r="K138" s="97">
        <v>78111800</v>
      </c>
      <c r="L138" s="97" t="s">
        <v>492</v>
      </c>
      <c r="M138" s="97" t="s">
        <v>493</v>
      </c>
      <c r="N138" s="97" t="s">
        <v>494</v>
      </c>
      <c r="O138" s="97" t="s">
        <v>508</v>
      </c>
      <c r="P138" s="97" t="s">
        <v>915</v>
      </c>
      <c r="Q138" s="97">
        <v>28877080</v>
      </c>
      <c r="R138" s="97">
        <v>1</v>
      </c>
      <c r="S138" s="201">
        <v>28877080</v>
      </c>
      <c r="T138" s="97" t="s">
        <v>652</v>
      </c>
      <c r="U138" s="97" t="s">
        <v>58</v>
      </c>
      <c r="V138" s="202">
        <v>43286</v>
      </c>
      <c r="W138" s="97">
        <v>5.73</v>
      </c>
      <c r="X138" s="203" t="s">
        <v>916</v>
      </c>
      <c r="Y138" s="202">
        <v>43286</v>
      </c>
      <c r="Z138" s="97">
        <v>28877080</v>
      </c>
      <c r="AA138" s="97"/>
      <c r="AB138" s="192">
        <v>943</v>
      </c>
      <c r="AC138" s="210">
        <v>43290</v>
      </c>
      <c r="AD138" s="198">
        <v>28877080</v>
      </c>
      <c r="AE138" s="206">
        <f t="shared" si="2"/>
        <v>0</v>
      </c>
      <c r="AF138" s="204">
        <v>2500</v>
      </c>
      <c r="AG138" s="186">
        <v>43298</v>
      </c>
      <c r="AH138" s="198">
        <v>28877080</v>
      </c>
      <c r="AI138" s="97" t="s">
        <v>1597</v>
      </c>
      <c r="AJ138" s="192">
        <v>145</v>
      </c>
      <c r="AK138" s="97"/>
      <c r="AL138" s="198">
        <v>0</v>
      </c>
      <c r="AM138" s="198">
        <v>28877080</v>
      </c>
      <c r="AN138" s="97" t="s">
        <v>650</v>
      </c>
      <c r="AO138" s="97"/>
      <c r="AP138" s="97" t="s">
        <v>1579</v>
      </c>
      <c r="AQ138" s="202" t="s">
        <v>816</v>
      </c>
      <c r="AR138" s="97" t="s">
        <v>913</v>
      </c>
      <c r="AS138" s="202" t="s">
        <v>816</v>
      </c>
      <c r="AT138" s="97" t="s">
        <v>662</v>
      </c>
      <c r="AU138" s="97"/>
      <c r="AV138" s="84"/>
      <c r="AW138" s="84"/>
      <c r="AX138" s="84"/>
    </row>
    <row r="139" spans="1:50" x14ac:dyDescent="0.2">
      <c r="A139" s="192">
        <v>71</v>
      </c>
      <c r="B139" s="192" t="s">
        <v>917</v>
      </c>
      <c r="C139" s="97" t="s">
        <v>644</v>
      </c>
      <c r="D139" s="97" t="s">
        <v>645</v>
      </c>
      <c r="E139" s="97" t="s">
        <v>677</v>
      </c>
      <c r="F139" s="97" t="s">
        <v>501</v>
      </c>
      <c r="G139" s="97" t="s">
        <v>780</v>
      </c>
      <c r="H139" s="97" t="s">
        <v>819</v>
      </c>
      <c r="I139" s="97" t="s">
        <v>54</v>
      </c>
      <c r="J139" s="97" t="s">
        <v>55</v>
      </c>
      <c r="K139" s="97">
        <v>92101501</v>
      </c>
      <c r="L139" s="97" t="s">
        <v>492</v>
      </c>
      <c r="M139" s="97" t="s">
        <v>493</v>
      </c>
      <c r="N139" s="97" t="s">
        <v>494</v>
      </c>
      <c r="O139" s="97" t="s">
        <v>508</v>
      </c>
      <c r="P139" s="97" t="s">
        <v>918</v>
      </c>
      <c r="Q139" s="97">
        <v>140000000</v>
      </c>
      <c r="R139" s="97">
        <v>1</v>
      </c>
      <c r="S139" s="201">
        <v>140000000</v>
      </c>
      <c r="T139" s="97" t="s">
        <v>778</v>
      </c>
      <c r="U139" s="97" t="s">
        <v>497</v>
      </c>
      <c r="V139" s="202">
        <v>43286</v>
      </c>
      <c r="W139" s="97">
        <v>2</v>
      </c>
      <c r="X139" s="203" t="s">
        <v>919</v>
      </c>
      <c r="Y139" s="202">
        <v>43286</v>
      </c>
      <c r="Z139" s="97">
        <v>140000000</v>
      </c>
      <c r="AA139" s="97"/>
      <c r="AB139" s="192">
        <v>942</v>
      </c>
      <c r="AC139" s="210">
        <v>43287</v>
      </c>
      <c r="AD139" s="198">
        <v>140000000</v>
      </c>
      <c r="AE139" s="206">
        <f t="shared" si="2"/>
        <v>0</v>
      </c>
      <c r="AF139" s="204">
        <v>2501</v>
      </c>
      <c r="AG139" s="186">
        <v>43298</v>
      </c>
      <c r="AH139" s="198">
        <v>140000000</v>
      </c>
      <c r="AI139" s="97" t="s">
        <v>1598</v>
      </c>
      <c r="AJ139" s="192">
        <v>12</v>
      </c>
      <c r="AK139" s="97"/>
      <c r="AL139" s="198">
        <v>0</v>
      </c>
      <c r="AM139" s="198">
        <v>140000000</v>
      </c>
      <c r="AN139" s="97" t="s">
        <v>650</v>
      </c>
      <c r="AO139" s="97"/>
      <c r="AP139" s="97" t="s">
        <v>920</v>
      </c>
      <c r="AQ139" s="202" t="s">
        <v>921</v>
      </c>
      <c r="AR139" s="97" t="s">
        <v>453</v>
      </c>
      <c r="AS139" s="202" t="s">
        <v>922</v>
      </c>
      <c r="AT139" s="97" t="s">
        <v>801</v>
      </c>
      <c r="AU139" s="97"/>
      <c r="AV139" s="84"/>
      <c r="AW139" s="84"/>
      <c r="AX139" s="84"/>
    </row>
    <row r="140" spans="1:50" x14ac:dyDescent="0.2">
      <c r="A140" s="192">
        <v>72</v>
      </c>
      <c r="B140" s="192" t="s">
        <v>923</v>
      </c>
      <c r="C140" s="97" t="s">
        <v>644</v>
      </c>
      <c r="D140" s="97" t="s">
        <v>645</v>
      </c>
      <c r="E140" s="97" t="s">
        <v>677</v>
      </c>
      <c r="F140" s="97" t="s">
        <v>501</v>
      </c>
      <c r="G140" s="97" t="s">
        <v>824</v>
      </c>
      <c r="H140" s="97" t="s">
        <v>829</v>
      </c>
      <c r="I140" s="97" t="s">
        <v>54</v>
      </c>
      <c r="J140" s="97" t="s">
        <v>55</v>
      </c>
      <c r="K140" s="97">
        <v>80131500</v>
      </c>
      <c r="L140" s="97" t="s">
        <v>492</v>
      </c>
      <c r="M140" s="97" t="s">
        <v>493</v>
      </c>
      <c r="N140" s="97" t="s">
        <v>494</v>
      </c>
      <c r="O140" s="97" t="s">
        <v>508</v>
      </c>
      <c r="P140" s="97" t="s">
        <v>924</v>
      </c>
      <c r="Q140" s="97">
        <v>4074763</v>
      </c>
      <c r="R140" s="97">
        <v>1</v>
      </c>
      <c r="S140" s="201">
        <v>4074763</v>
      </c>
      <c r="T140" s="97" t="s">
        <v>898</v>
      </c>
      <c r="U140" s="97" t="s">
        <v>58</v>
      </c>
      <c r="V140" s="202">
        <v>43291</v>
      </c>
      <c r="W140" s="97">
        <v>1</v>
      </c>
      <c r="X140" s="203" t="s">
        <v>925</v>
      </c>
      <c r="Y140" s="202">
        <v>43291</v>
      </c>
      <c r="Z140" s="97">
        <v>4074763</v>
      </c>
      <c r="AA140" s="97"/>
      <c r="AB140" s="192">
        <v>968</v>
      </c>
      <c r="AC140" s="210">
        <v>43293</v>
      </c>
      <c r="AD140" s="198">
        <v>4074763</v>
      </c>
      <c r="AE140" s="206">
        <f t="shared" si="2"/>
        <v>0</v>
      </c>
      <c r="AF140" s="204"/>
      <c r="AG140" s="186"/>
      <c r="AH140" s="198"/>
      <c r="AI140" s="97"/>
      <c r="AJ140" s="192"/>
      <c r="AK140" s="97"/>
      <c r="AL140" s="198"/>
      <c r="AM140" s="198"/>
      <c r="AN140" s="97" t="s">
        <v>650</v>
      </c>
      <c r="AO140" s="97"/>
      <c r="AP140" s="97" t="s">
        <v>926</v>
      </c>
      <c r="AQ140" s="202">
        <v>43291</v>
      </c>
      <c r="AR140" s="97" t="s">
        <v>453</v>
      </c>
      <c r="AS140" s="202">
        <v>43291</v>
      </c>
      <c r="AT140" s="97"/>
      <c r="AU140" s="97"/>
      <c r="AV140" s="84"/>
      <c r="AW140" s="84"/>
      <c r="AX140" s="84"/>
    </row>
    <row r="141" spans="1:50" x14ac:dyDescent="0.2">
      <c r="A141" s="192">
        <v>73</v>
      </c>
      <c r="B141" s="192" t="s">
        <v>927</v>
      </c>
      <c r="C141" s="97" t="s">
        <v>644</v>
      </c>
      <c r="D141" s="97" t="s">
        <v>645</v>
      </c>
      <c r="E141" s="97" t="s">
        <v>677</v>
      </c>
      <c r="F141" s="97" t="s">
        <v>511</v>
      </c>
      <c r="G141" s="97" t="s">
        <v>512</v>
      </c>
      <c r="H141" s="97" t="s">
        <v>647</v>
      </c>
      <c r="I141" s="97" t="s">
        <v>54</v>
      </c>
      <c r="J141" s="97" t="s">
        <v>55</v>
      </c>
      <c r="K141" s="97">
        <v>78111800</v>
      </c>
      <c r="L141" s="97" t="s">
        <v>492</v>
      </c>
      <c r="M141" s="97" t="s">
        <v>493</v>
      </c>
      <c r="N141" s="97" t="s">
        <v>494</v>
      </c>
      <c r="O141" s="97" t="s">
        <v>508</v>
      </c>
      <c r="P141" s="97" t="s">
        <v>928</v>
      </c>
      <c r="Q141" s="97">
        <v>8240000</v>
      </c>
      <c r="R141" s="97">
        <v>1</v>
      </c>
      <c r="S141" s="201">
        <v>42573333</v>
      </c>
      <c r="T141" s="97" t="s">
        <v>652</v>
      </c>
      <c r="U141" s="97" t="s">
        <v>58</v>
      </c>
      <c r="V141" s="202">
        <v>43304</v>
      </c>
      <c r="W141" s="97">
        <v>5.17</v>
      </c>
      <c r="X141" s="203" t="s">
        <v>929</v>
      </c>
      <c r="Y141" s="202">
        <v>43306</v>
      </c>
      <c r="Z141" s="97">
        <v>42573333</v>
      </c>
      <c r="AA141" s="97"/>
      <c r="AB141" s="192">
        <v>1005</v>
      </c>
      <c r="AC141" s="210">
        <v>43308</v>
      </c>
      <c r="AD141" s="198">
        <v>42573333</v>
      </c>
      <c r="AE141" s="206">
        <f t="shared" si="2"/>
        <v>0</v>
      </c>
      <c r="AF141" s="204"/>
      <c r="AG141" s="204"/>
      <c r="AH141" s="198"/>
      <c r="AI141" s="97"/>
      <c r="AJ141" s="192"/>
      <c r="AK141" s="97"/>
      <c r="AL141" s="198"/>
      <c r="AM141" s="198"/>
      <c r="AN141" s="97"/>
      <c r="AO141" s="97"/>
      <c r="AP141" s="97" t="s">
        <v>930</v>
      </c>
      <c r="AQ141" s="202">
        <v>43292</v>
      </c>
      <c r="AR141" s="97" t="s">
        <v>453</v>
      </c>
      <c r="AS141" s="202">
        <v>43292</v>
      </c>
      <c r="AT141" s="97"/>
      <c r="AU141" s="97"/>
      <c r="AV141" s="84"/>
      <c r="AW141" s="84"/>
      <c r="AX141" s="84"/>
    </row>
    <row r="142" spans="1:50" x14ac:dyDescent="0.2">
      <c r="A142" s="192">
        <v>74</v>
      </c>
      <c r="B142" s="192" t="s">
        <v>931</v>
      </c>
      <c r="C142" s="97" t="s">
        <v>644</v>
      </c>
      <c r="D142" s="97" t="s">
        <v>645</v>
      </c>
      <c r="E142" s="97" t="s">
        <v>677</v>
      </c>
      <c r="F142" s="97" t="s">
        <v>511</v>
      </c>
      <c r="G142" s="97" t="s">
        <v>512</v>
      </c>
      <c r="H142" s="97" t="s">
        <v>647</v>
      </c>
      <c r="I142" s="97" t="s">
        <v>54</v>
      </c>
      <c r="J142" s="97" t="s">
        <v>55</v>
      </c>
      <c r="K142" s="97">
        <v>78111800</v>
      </c>
      <c r="L142" s="97" t="s">
        <v>492</v>
      </c>
      <c r="M142" s="97" t="s">
        <v>493</v>
      </c>
      <c r="N142" s="97" t="s">
        <v>494</v>
      </c>
      <c r="O142" s="97" t="s">
        <v>508</v>
      </c>
      <c r="P142" s="97" t="s">
        <v>219</v>
      </c>
      <c r="Q142" s="97">
        <v>9805600</v>
      </c>
      <c r="R142" s="97">
        <v>1</v>
      </c>
      <c r="S142" s="201">
        <v>9805600</v>
      </c>
      <c r="T142" s="97" t="s">
        <v>869</v>
      </c>
      <c r="U142" s="97" t="s">
        <v>58</v>
      </c>
      <c r="V142" s="202">
        <v>43292</v>
      </c>
      <c r="W142" s="97">
        <v>5.6</v>
      </c>
      <c r="X142" s="203" t="s">
        <v>932</v>
      </c>
      <c r="Y142" s="202">
        <v>43292</v>
      </c>
      <c r="Z142" s="97">
        <v>9805600</v>
      </c>
      <c r="AA142" s="97" t="s">
        <v>933</v>
      </c>
      <c r="AB142" s="192">
        <v>971</v>
      </c>
      <c r="AC142" s="210">
        <v>43293</v>
      </c>
      <c r="AD142" s="198">
        <v>9805600</v>
      </c>
      <c r="AE142" s="206">
        <f t="shared" si="2"/>
        <v>0</v>
      </c>
      <c r="AF142" s="204"/>
      <c r="AG142" s="186"/>
      <c r="AH142" s="198"/>
      <c r="AI142" s="97"/>
      <c r="AJ142" s="192"/>
      <c r="AK142" s="97"/>
      <c r="AL142" s="198"/>
      <c r="AM142" s="198"/>
      <c r="AN142" s="97"/>
      <c r="AO142" s="97"/>
      <c r="AP142" s="97" t="s">
        <v>934</v>
      </c>
      <c r="AQ142" s="202">
        <v>43292</v>
      </c>
      <c r="AR142" s="97" t="s">
        <v>453</v>
      </c>
      <c r="AS142" s="202">
        <v>43292</v>
      </c>
      <c r="AT142" s="97"/>
      <c r="AU142" s="97"/>
      <c r="AV142" s="84"/>
      <c r="AW142" s="84"/>
      <c r="AX142" s="84"/>
    </row>
    <row r="143" spans="1:50" x14ac:dyDescent="0.2">
      <c r="A143" s="192">
        <v>75</v>
      </c>
      <c r="B143" s="192" t="s">
        <v>935</v>
      </c>
      <c r="C143" s="97" t="s">
        <v>644</v>
      </c>
      <c r="D143" s="97" t="s">
        <v>645</v>
      </c>
      <c r="E143" s="97" t="s">
        <v>677</v>
      </c>
      <c r="F143" s="97" t="s">
        <v>511</v>
      </c>
      <c r="G143" s="97" t="s">
        <v>512</v>
      </c>
      <c r="H143" s="97" t="s">
        <v>647</v>
      </c>
      <c r="I143" s="97" t="s">
        <v>54</v>
      </c>
      <c r="J143" s="97" t="s">
        <v>55</v>
      </c>
      <c r="K143" s="97">
        <v>78111800</v>
      </c>
      <c r="L143" s="97" t="s">
        <v>492</v>
      </c>
      <c r="M143" s="97" t="s">
        <v>493</v>
      </c>
      <c r="N143" s="97" t="s">
        <v>494</v>
      </c>
      <c r="O143" s="97" t="s">
        <v>508</v>
      </c>
      <c r="P143" s="97" t="s">
        <v>936</v>
      </c>
      <c r="Q143" s="97">
        <v>49500000</v>
      </c>
      <c r="R143" s="97">
        <v>1</v>
      </c>
      <c r="S143" s="201">
        <v>49500000</v>
      </c>
      <c r="T143" s="97" t="s">
        <v>652</v>
      </c>
      <c r="U143" s="97" t="s">
        <v>58</v>
      </c>
      <c r="V143" s="202">
        <v>43294</v>
      </c>
      <c r="W143" s="97">
        <v>5.5</v>
      </c>
      <c r="X143" s="203" t="s">
        <v>937</v>
      </c>
      <c r="Y143" s="202">
        <v>43294</v>
      </c>
      <c r="Z143" s="97">
        <v>49500000</v>
      </c>
      <c r="AA143" s="97" t="s">
        <v>938</v>
      </c>
      <c r="AB143" s="192">
        <v>981</v>
      </c>
      <c r="AC143" s="210">
        <v>43297</v>
      </c>
      <c r="AD143" s="198">
        <v>49266000</v>
      </c>
      <c r="AE143" s="206">
        <f t="shared" si="2"/>
        <v>234000</v>
      </c>
      <c r="AF143" s="204">
        <v>2540</v>
      </c>
      <c r="AG143" s="186">
        <v>43305</v>
      </c>
      <c r="AH143" s="198">
        <v>49266000</v>
      </c>
      <c r="AI143" s="97" t="s">
        <v>1599</v>
      </c>
      <c r="AJ143" s="192">
        <v>145</v>
      </c>
      <c r="AK143" s="97"/>
      <c r="AL143" s="198">
        <v>0</v>
      </c>
      <c r="AM143" s="198">
        <v>49266000</v>
      </c>
      <c r="AN143" s="97"/>
      <c r="AO143" s="97"/>
      <c r="AP143" s="97" t="s">
        <v>939</v>
      </c>
      <c r="AQ143" s="202">
        <v>43294</v>
      </c>
      <c r="AR143" s="97" t="s">
        <v>453</v>
      </c>
      <c r="AS143" s="202">
        <v>43294</v>
      </c>
      <c r="AT143" s="97"/>
      <c r="AU143" s="97"/>
      <c r="AV143" s="84"/>
      <c r="AW143" s="84"/>
      <c r="AX143" s="84"/>
    </row>
    <row r="144" spans="1:50" ht="344.25" x14ac:dyDescent="0.2">
      <c r="A144" s="1">
        <v>1</v>
      </c>
      <c r="B144" s="2" t="str">
        <f>+CONCATENATE("208-",A144)</f>
        <v>208-1</v>
      </c>
      <c r="C144" s="3" t="s">
        <v>484</v>
      </c>
      <c r="D144" s="4" t="s">
        <v>485</v>
      </c>
      <c r="E144" s="5" t="s">
        <v>486</v>
      </c>
      <c r="F144" s="6" t="s">
        <v>487</v>
      </c>
      <c r="G144" s="5" t="s">
        <v>488</v>
      </c>
      <c r="H144" s="6" t="s">
        <v>489</v>
      </c>
      <c r="I144" s="14" t="s">
        <v>490</v>
      </c>
      <c r="J144" s="7" t="s">
        <v>491</v>
      </c>
      <c r="K144" s="8"/>
      <c r="L144" s="7" t="s">
        <v>492</v>
      </c>
      <c r="M144" s="7" t="s">
        <v>493</v>
      </c>
      <c r="N144" s="7" t="s">
        <v>494</v>
      </c>
      <c r="O144" s="7" t="s">
        <v>495</v>
      </c>
      <c r="P144" s="9" t="s">
        <v>496</v>
      </c>
      <c r="Q144" s="62">
        <f>(S144/W144)/R144</f>
        <v>0</v>
      </c>
      <c r="R144" s="10">
        <v>25</v>
      </c>
      <c r="S144" s="63">
        <f>1718514000-535027112-646972888-536514000</f>
        <v>0</v>
      </c>
      <c r="T144" s="11"/>
      <c r="U144" s="2" t="s">
        <v>497</v>
      </c>
      <c r="V144" s="12" t="s">
        <v>498</v>
      </c>
      <c r="W144" s="13">
        <v>5</v>
      </c>
      <c r="X144" s="14"/>
      <c r="Y144" s="15"/>
      <c r="Z144" s="16"/>
      <c r="AA144" s="17"/>
      <c r="AB144" s="17"/>
      <c r="AC144" s="18"/>
      <c r="AD144" s="19"/>
      <c r="AE144" s="19">
        <f t="shared" ref="AE144:AE207" si="3">S144-AD144</f>
        <v>0</v>
      </c>
      <c r="AF144" s="14"/>
      <c r="AG144" s="20"/>
      <c r="AH144" s="19"/>
      <c r="AI144" s="1"/>
      <c r="AJ144" s="1"/>
      <c r="AK144" s="19">
        <f t="shared" ref="AK144:AK207" si="4">AD144-AH144</f>
        <v>0</v>
      </c>
      <c r="AL144" s="19"/>
      <c r="AM144" s="19">
        <f t="shared" ref="AM144:AM207" si="5">AH144-AL144</f>
        <v>0</v>
      </c>
      <c r="AN144" s="14"/>
      <c r="AO144" s="21">
        <f t="shared" ref="AO144:AO207" si="6">S144-AH144</f>
        <v>0</v>
      </c>
      <c r="AP144" s="14"/>
      <c r="AQ144" s="14"/>
      <c r="AR144" s="14"/>
      <c r="AS144" s="14"/>
      <c r="AT144" s="14"/>
      <c r="AU144" s="211"/>
    </row>
    <row r="145" spans="1:47" ht="331.5" x14ac:dyDescent="0.2">
      <c r="A145" s="1">
        <f>A144+1</f>
        <v>2</v>
      </c>
      <c r="B145" s="2" t="str">
        <f t="shared" ref="B145:B208" si="7">+CONCATENATE("208-",A145)</f>
        <v>208-2</v>
      </c>
      <c r="C145" s="3" t="s">
        <v>484</v>
      </c>
      <c r="D145" s="4" t="s">
        <v>485</v>
      </c>
      <c r="E145" s="22" t="s">
        <v>499</v>
      </c>
      <c r="F145" s="6" t="s">
        <v>487</v>
      </c>
      <c r="G145" s="5" t="s">
        <v>488</v>
      </c>
      <c r="H145" s="6" t="s">
        <v>489</v>
      </c>
      <c r="I145" s="14" t="s">
        <v>490</v>
      </c>
      <c r="J145" s="7" t="s">
        <v>491</v>
      </c>
      <c r="K145" s="8"/>
      <c r="L145" s="7" t="s">
        <v>492</v>
      </c>
      <c r="M145" s="7" t="s">
        <v>493</v>
      </c>
      <c r="N145" s="7" t="s">
        <v>494</v>
      </c>
      <c r="O145" s="7" t="s">
        <v>495</v>
      </c>
      <c r="P145" s="23" t="s">
        <v>500</v>
      </c>
      <c r="Q145" s="62">
        <f t="shared" ref="Q145:Q208" si="8">(S145/W145)/R145</f>
        <v>0</v>
      </c>
      <c r="R145" s="24">
        <v>18</v>
      </c>
      <c r="S145" s="63">
        <f>5209867000-19967239-1248396593-1509603406-331596631-90752820-1+536514000-1349744175-1006623485-189696650</f>
        <v>0</v>
      </c>
      <c r="T145" s="11"/>
      <c r="U145" s="2" t="s">
        <v>497</v>
      </c>
      <c r="V145" s="12" t="s">
        <v>498</v>
      </c>
      <c r="W145" s="25">
        <v>7</v>
      </c>
      <c r="X145" s="14"/>
      <c r="Y145" s="15"/>
      <c r="Z145" s="16"/>
      <c r="AA145" s="17"/>
      <c r="AB145" s="17"/>
      <c r="AC145" s="18"/>
      <c r="AD145" s="19"/>
      <c r="AE145" s="19">
        <f t="shared" si="3"/>
        <v>0</v>
      </c>
      <c r="AF145" s="14"/>
      <c r="AG145" s="20"/>
      <c r="AH145" s="19"/>
      <c r="AI145" s="1"/>
      <c r="AJ145" s="1"/>
      <c r="AK145" s="19">
        <f t="shared" si="4"/>
        <v>0</v>
      </c>
      <c r="AL145" s="19"/>
      <c r="AM145" s="19">
        <f t="shared" si="5"/>
        <v>0</v>
      </c>
      <c r="AN145" s="14"/>
      <c r="AO145" s="21">
        <f t="shared" si="6"/>
        <v>0</v>
      </c>
      <c r="AP145" s="14"/>
      <c r="AQ145" s="14"/>
      <c r="AR145" s="14"/>
      <c r="AS145" s="14"/>
      <c r="AT145" s="14"/>
      <c r="AU145" s="211"/>
    </row>
    <row r="146" spans="1:47" ht="357" x14ac:dyDescent="0.2">
      <c r="A146" s="1">
        <f t="shared" ref="A146:A209" si="9">A145+1</f>
        <v>3</v>
      </c>
      <c r="B146" s="2" t="str">
        <f t="shared" si="7"/>
        <v>208-3</v>
      </c>
      <c r="C146" s="3" t="s">
        <v>484</v>
      </c>
      <c r="D146" s="4" t="s">
        <v>485</v>
      </c>
      <c r="E146" s="5" t="s">
        <v>486</v>
      </c>
      <c r="F146" s="7" t="s">
        <v>501</v>
      </c>
      <c r="G146" s="22" t="s">
        <v>502</v>
      </c>
      <c r="H146" s="7" t="s">
        <v>503</v>
      </c>
      <c r="I146" s="7" t="s">
        <v>54</v>
      </c>
      <c r="J146" s="7" t="s">
        <v>55</v>
      </c>
      <c r="K146" s="1">
        <v>801116</v>
      </c>
      <c r="L146" s="7" t="s">
        <v>492</v>
      </c>
      <c r="M146" s="7" t="s">
        <v>493</v>
      </c>
      <c r="N146" s="7" t="s">
        <v>494</v>
      </c>
      <c r="O146" s="7" t="s">
        <v>504</v>
      </c>
      <c r="P146" s="23" t="s">
        <v>505</v>
      </c>
      <c r="Q146" s="62">
        <f t="shared" si="8"/>
        <v>3046875</v>
      </c>
      <c r="R146" s="24">
        <v>1</v>
      </c>
      <c r="S146" s="63">
        <v>24375000</v>
      </c>
      <c r="T146" s="11"/>
      <c r="U146" s="26" t="s">
        <v>506</v>
      </c>
      <c r="V146" s="26" t="s">
        <v>507</v>
      </c>
      <c r="W146" s="25">
        <v>8</v>
      </c>
      <c r="X146" s="14"/>
      <c r="Y146" s="27"/>
      <c r="Z146" s="28"/>
      <c r="AA146" s="17"/>
      <c r="AB146" s="17"/>
      <c r="AC146" s="18"/>
      <c r="AD146" s="19"/>
      <c r="AE146" s="19">
        <f t="shared" si="3"/>
        <v>24375000</v>
      </c>
      <c r="AF146" s="14"/>
      <c r="AG146" s="20"/>
      <c r="AH146" s="19"/>
      <c r="AI146" s="1"/>
      <c r="AJ146" s="1"/>
      <c r="AK146" s="19">
        <f t="shared" si="4"/>
        <v>0</v>
      </c>
      <c r="AL146" s="19"/>
      <c r="AM146" s="19">
        <f t="shared" si="5"/>
        <v>0</v>
      </c>
      <c r="AN146" s="14"/>
      <c r="AO146" s="21">
        <f t="shared" si="6"/>
        <v>24375000</v>
      </c>
      <c r="AP146" s="14"/>
      <c r="AQ146" s="14"/>
      <c r="AR146" s="14"/>
      <c r="AS146" s="14"/>
      <c r="AT146" s="14"/>
      <c r="AU146" s="211"/>
    </row>
    <row r="147" spans="1:47" ht="357" x14ac:dyDescent="0.2">
      <c r="A147" s="1">
        <f t="shared" si="9"/>
        <v>4</v>
      </c>
      <c r="B147" s="2" t="str">
        <f t="shared" si="7"/>
        <v>208-4</v>
      </c>
      <c r="C147" s="3" t="s">
        <v>484</v>
      </c>
      <c r="D147" s="4" t="s">
        <v>485</v>
      </c>
      <c r="E147" s="22" t="s">
        <v>499</v>
      </c>
      <c r="F147" s="7" t="s">
        <v>501</v>
      </c>
      <c r="G147" s="22" t="s">
        <v>502</v>
      </c>
      <c r="H147" s="7" t="s">
        <v>503</v>
      </c>
      <c r="I147" s="7" t="s">
        <v>54</v>
      </c>
      <c r="J147" s="7" t="s">
        <v>55</v>
      </c>
      <c r="K147" s="1">
        <v>801116</v>
      </c>
      <c r="L147" s="7" t="s">
        <v>492</v>
      </c>
      <c r="M147" s="7" t="s">
        <v>493</v>
      </c>
      <c r="N147" s="7" t="s">
        <v>494</v>
      </c>
      <c r="O147" s="7" t="s">
        <v>504</v>
      </c>
      <c r="P147" s="23" t="s">
        <v>505</v>
      </c>
      <c r="Q147" s="62">
        <f t="shared" si="8"/>
        <v>7109375</v>
      </c>
      <c r="R147" s="24">
        <v>1</v>
      </c>
      <c r="S147" s="63">
        <v>56875000</v>
      </c>
      <c r="T147" s="11"/>
      <c r="U147" s="26" t="s">
        <v>506</v>
      </c>
      <c r="V147" s="26" t="s">
        <v>507</v>
      </c>
      <c r="W147" s="25">
        <v>8</v>
      </c>
      <c r="X147" s="14"/>
      <c r="Y147" s="15"/>
      <c r="Z147" s="16"/>
      <c r="AA147" s="17"/>
      <c r="AB147" s="17"/>
      <c r="AC147" s="18"/>
      <c r="AD147" s="19"/>
      <c r="AE147" s="19">
        <f t="shared" si="3"/>
        <v>56875000</v>
      </c>
      <c r="AF147" s="14"/>
      <c r="AG147" s="20"/>
      <c r="AH147" s="19"/>
      <c r="AI147" s="1"/>
      <c r="AJ147" s="1"/>
      <c r="AK147" s="19">
        <f t="shared" si="4"/>
        <v>0</v>
      </c>
      <c r="AL147" s="19"/>
      <c r="AM147" s="19">
        <f t="shared" si="5"/>
        <v>0</v>
      </c>
      <c r="AN147" s="14"/>
      <c r="AO147" s="21">
        <f t="shared" si="6"/>
        <v>56875000</v>
      </c>
      <c r="AP147" s="14"/>
      <c r="AQ147" s="14"/>
      <c r="AR147" s="14"/>
      <c r="AS147" s="14"/>
      <c r="AT147" s="14"/>
      <c r="AU147" s="211"/>
    </row>
    <row r="148" spans="1:47" ht="344.25" x14ac:dyDescent="0.2">
      <c r="A148" s="1">
        <f t="shared" si="9"/>
        <v>5</v>
      </c>
      <c r="B148" s="2" t="str">
        <f t="shared" si="7"/>
        <v>208-5</v>
      </c>
      <c r="C148" s="3" t="s">
        <v>484</v>
      </c>
      <c r="D148" s="4" t="s">
        <v>485</v>
      </c>
      <c r="E148" s="5" t="s">
        <v>486</v>
      </c>
      <c r="F148" s="7" t="s">
        <v>501</v>
      </c>
      <c r="G148" s="22" t="s">
        <v>502</v>
      </c>
      <c r="H148" s="7" t="s">
        <v>503</v>
      </c>
      <c r="I148" s="7" t="s">
        <v>54</v>
      </c>
      <c r="J148" s="7" t="s">
        <v>55</v>
      </c>
      <c r="K148" s="1">
        <v>82101600</v>
      </c>
      <c r="L148" s="7" t="s">
        <v>492</v>
      </c>
      <c r="M148" s="7" t="s">
        <v>493</v>
      </c>
      <c r="N148" s="7" t="s">
        <v>494</v>
      </c>
      <c r="O148" s="7" t="s">
        <v>508</v>
      </c>
      <c r="P148" s="23" t="s">
        <v>509</v>
      </c>
      <c r="Q148" s="62">
        <f t="shared" si="8"/>
        <v>6093750</v>
      </c>
      <c r="R148" s="24">
        <v>1</v>
      </c>
      <c r="S148" s="63">
        <v>24375000</v>
      </c>
      <c r="T148" s="11"/>
      <c r="U148" s="26" t="s">
        <v>506</v>
      </c>
      <c r="V148" s="26" t="s">
        <v>510</v>
      </c>
      <c r="W148" s="25">
        <v>4</v>
      </c>
      <c r="X148" s="14"/>
      <c r="Y148" s="15"/>
      <c r="Z148" s="16"/>
      <c r="AA148" s="17"/>
      <c r="AB148" s="17"/>
      <c r="AC148" s="18"/>
      <c r="AD148" s="19"/>
      <c r="AE148" s="19">
        <f t="shared" si="3"/>
        <v>24375000</v>
      </c>
      <c r="AF148" s="14"/>
      <c r="AG148" s="20"/>
      <c r="AH148" s="19"/>
      <c r="AI148" s="1"/>
      <c r="AJ148" s="1"/>
      <c r="AK148" s="19">
        <f t="shared" si="4"/>
        <v>0</v>
      </c>
      <c r="AL148" s="19"/>
      <c r="AM148" s="19">
        <f t="shared" si="5"/>
        <v>0</v>
      </c>
      <c r="AN148" s="14"/>
      <c r="AO148" s="21">
        <f t="shared" si="6"/>
        <v>24375000</v>
      </c>
      <c r="AP148" s="14"/>
      <c r="AQ148" s="14"/>
      <c r="AR148" s="14"/>
      <c r="AS148" s="14"/>
      <c r="AT148" s="14"/>
      <c r="AU148" s="211"/>
    </row>
    <row r="149" spans="1:47" ht="331.5" x14ac:dyDescent="0.2">
      <c r="A149" s="1">
        <f t="shared" si="9"/>
        <v>6</v>
      </c>
      <c r="B149" s="2" t="str">
        <f t="shared" si="7"/>
        <v>208-6</v>
      </c>
      <c r="C149" s="3" t="s">
        <v>484</v>
      </c>
      <c r="D149" s="4" t="s">
        <v>485</v>
      </c>
      <c r="E149" s="22" t="s">
        <v>499</v>
      </c>
      <c r="F149" s="7" t="s">
        <v>501</v>
      </c>
      <c r="G149" s="22" t="s">
        <v>502</v>
      </c>
      <c r="H149" s="7" t="s">
        <v>503</v>
      </c>
      <c r="I149" s="7" t="s">
        <v>54</v>
      </c>
      <c r="J149" s="7" t="s">
        <v>55</v>
      </c>
      <c r="K149" s="1">
        <v>82101600</v>
      </c>
      <c r="L149" s="7" t="s">
        <v>492</v>
      </c>
      <c r="M149" s="7" t="s">
        <v>493</v>
      </c>
      <c r="N149" s="7" t="s">
        <v>494</v>
      </c>
      <c r="O149" s="7" t="s">
        <v>508</v>
      </c>
      <c r="P149" s="23" t="s">
        <v>509</v>
      </c>
      <c r="Q149" s="62">
        <f t="shared" si="8"/>
        <v>14218750</v>
      </c>
      <c r="R149" s="24">
        <v>1</v>
      </c>
      <c r="S149" s="63">
        <v>56875000</v>
      </c>
      <c r="T149" s="11"/>
      <c r="U149" s="26" t="s">
        <v>506</v>
      </c>
      <c r="V149" s="26" t="s">
        <v>510</v>
      </c>
      <c r="W149" s="25">
        <v>4</v>
      </c>
      <c r="X149" s="14"/>
      <c r="Y149" s="15"/>
      <c r="Z149" s="16"/>
      <c r="AA149" s="17"/>
      <c r="AB149" s="17"/>
      <c r="AC149" s="18"/>
      <c r="AD149" s="19"/>
      <c r="AE149" s="19">
        <f t="shared" si="3"/>
        <v>56875000</v>
      </c>
      <c r="AF149" s="14"/>
      <c r="AG149" s="20"/>
      <c r="AH149" s="19"/>
      <c r="AI149" s="1"/>
      <c r="AJ149" s="1"/>
      <c r="AK149" s="19">
        <f t="shared" si="4"/>
        <v>0</v>
      </c>
      <c r="AL149" s="19"/>
      <c r="AM149" s="19">
        <f t="shared" si="5"/>
        <v>0</v>
      </c>
      <c r="AN149" s="14"/>
      <c r="AO149" s="21">
        <f t="shared" si="6"/>
        <v>56875000</v>
      </c>
      <c r="AP149" s="14"/>
      <c r="AQ149" s="14"/>
      <c r="AR149" s="14"/>
      <c r="AS149" s="14"/>
      <c r="AT149" s="14"/>
      <c r="AU149" s="211"/>
    </row>
    <row r="150" spans="1:47" ht="344.25" x14ac:dyDescent="0.2">
      <c r="A150" s="1">
        <f t="shared" si="9"/>
        <v>7</v>
      </c>
      <c r="B150" s="2" t="str">
        <f t="shared" si="7"/>
        <v>208-7</v>
      </c>
      <c r="C150" s="3" t="s">
        <v>484</v>
      </c>
      <c r="D150" s="4" t="s">
        <v>485</v>
      </c>
      <c r="E150" s="5" t="s">
        <v>486</v>
      </c>
      <c r="F150" s="7" t="s">
        <v>511</v>
      </c>
      <c r="G150" s="22" t="s">
        <v>512</v>
      </c>
      <c r="H150" s="7" t="s">
        <v>513</v>
      </c>
      <c r="I150" s="7" t="s">
        <v>54</v>
      </c>
      <c r="J150" s="7" t="s">
        <v>55</v>
      </c>
      <c r="K150" s="29">
        <v>801116</v>
      </c>
      <c r="L150" s="7" t="s">
        <v>492</v>
      </c>
      <c r="M150" s="7" t="s">
        <v>493</v>
      </c>
      <c r="N150" s="7" t="s">
        <v>494</v>
      </c>
      <c r="O150" s="7" t="s">
        <v>504</v>
      </c>
      <c r="P150" s="23" t="s">
        <v>514</v>
      </c>
      <c r="Q150" s="62">
        <f t="shared" si="8"/>
        <v>3513416.25</v>
      </c>
      <c r="R150" s="24">
        <v>1</v>
      </c>
      <c r="S150" s="63">
        <v>42160995</v>
      </c>
      <c r="T150" s="11" t="s">
        <v>515</v>
      </c>
      <c r="U150" s="26" t="s">
        <v>58</v>
      </c>
      <c r="V150" s="26" t="s">
        <v>516</v>
      </c>
      <c r="W150" s="25">
        <v>12</v>
      </c>
      <c r="X150" s="14">
        <v>103</v>
      </c>
      <c r="Y150" s="27">
        <v>43102</v>
      </c>
      <c r="Z150" s="63">
        <v>42160995</v>
      </c>
      <c r="AA150" s="17"/>
      <c r="AB150" s="17">
        <v>50</v>
      </c>
      <c r="AC150" s="30">
        <v>43103</v>
      </c>
      <c r="AD150" s="63">
        <v>42160995</v>
      </c>
      <c r="AE150" s="19">
        <f t="shared" si="3"/>
        <v>0</v>
      </c>
      <c r="AF150" s="14" t="s">
        <v>517</v>
      </c>
      <c r="AG150" s="31">
        <v>43180</v>
      </c>
      <c r="AH150" s="19">
        <v>42160995</v>
      </c>
      <c r="AI150" s="1" t="s">
        <v>518</v>
      </c>
      <c r="AJ150" s="1" t="s">
        <v>519</v>
      </c>
      <c r="AK150" s="19">
        <f t="shared" si="4"/>
        <v>0</v>
      </c>
      <c r="AL150" s="19">
        <v>42160995</v>
      </c>
      <c r="AM150" s="19">
        <f t="shared" si="5"/>
        <v>0</v>
      </c>
      <c r="AN150" s="14"/>
      <c r="AO150" s="21">
        <f t="shared" si="6"/>
        <v>0</v>
      </c>
      <c r="AP150" s="14"/>
      <c r="AQ150" s="30">
        <v>43102</v>
      </c>
      <c r="AR150" s="14" t="s">
        <v>520</v>
      </c>
      <c r="AS150" s="30">
        <v>43102</v>
      </c>
      <c r="AT150" s="14" t="s">
        <v>521</v>
      </c>
      <c r="AU150" s="211"/>
    </row>
    <row r="151" spans="1:47" ht="331.5" x14ac:dyDescent="0.2">
      <c r="A151" s="1">
        <f t="shared" si="9"/>
        <v>8</v>
      </c>
      <c r="B151" s="2" t="str">
        <f t="shared" si="7"/>
        <v>208-8</v>
      </c>
      <c r="C151" s="3" t="s">
        <v>484</v>
      </c>
      <c r="D151" s="4" t="s">
        <v>485</v>
      </c>
      <c r="E151" s="22" t="s">
        <v>499</v>
      </c>
      <c r="F151" s="7" t="s">
        <v>511</v>
      </c>
      <c r="G151" s="22" t="s">
        <v>512</v>
      </c>
      <c r="H151" s="7" t="s">
        <v>513</v>
      </c>
      <c r="I151" s="7" t="s">
        <v>54</v>
      </c>
      <c r="J151" s="7" t="s">
        <v>55</v>
      </c>
      <c r="K151" s="29">
        <v>801116</v>
      </c>
      <c r="L151" s="7" t="s">
        <v>492</v>
      </c>
      <c r="M151" s="7" t="s">
        <v>493</v>
      </c>
      <c r="N151" s="7" t="s">
        <v>494</v>
      </c>
      <c r="O151" s="7" t="s">
        <v>504</v>
      </c>
      <c r="P151" s="23" t="s">
        <v>514</v>
      </c>
      <c r="Q151" s="62">
        <f t="shared" si="8"/>
        <v>8197971.25</v>
      </c>
      <c r="R151" s="24">
        <v>1</v>
      </c>
      <c r="S151" s="63">
        <v>98375655</v>
      </c>
      <c r="T151" s="11" t="s">
        <v>515</v>
      </c>
      <c r="U151" s="26" t="s">
        <v>58</v>
      </c>
      <c r="V151" s="26" t="s">
        <v>516</v>
      </c>
      <c r="W151" s="25">
        <v>12</v>
      </c>
      <c r="X151" s="14">
        <v>104</v>
      </c>
      <c r="Y151" s="27">
        <v>43102</v>
      </c>
      <c r="Z151" s="63">
        <v>98375655</v>
      </c>
      <c r="AA151" s="17"/>
      <c r="AB151" s="17">
        <v>50</v>
      </c>
      <c r="AC151" s="30">
        <v>43103</v>
      </c>
      <c r="AD151" s="63">
        <v>98375655</v>
      </c>
      <c r="AE151" s="19">
        <f t="shared" si="3"/>
        <v>0</v>
      </c>
      <c r="AF151" s="14" t="s">
        <v>517</v>
      </c>
      <c r="AG151" s="31">
        <v>43180</v>
      </c>
      <c r="AH151" s="19">
        <v>98375655</v>
      </c>
      <c r="AI151" s="1" t="s">
        <v>518</v>
      </c>
      <c r="AJ151" s="1" t="s">
        <v>519</v>
      </c>
      <c r="AK151" s="19">
        <f t="shared" si="4"/>
        <v>0</v>
      </c>
      <c r="AL151" s="19">
        <v>98375655</v>
      </c>
      <c r="AM151" s="19">
        <f t="shared" si="5"/>
        <v>0</v>
      </c>
      <c r="AN151" s="14"/>
      <c r="AO151" s="21">
        <f t="shared" si="6"/>
        <v>0</v>
      </c>
      <c r="AP151" s="14"/>
      <c r="AQ151" s="30">
        <v>43102</v>
      </c>
      <c r="AR151" s="14" t="s">
        <v>520</v>
      </c>
      <c r="AS151" s="30">
        <v>43102</v>
      </c>
      <c r="AT151" s="14" t="s">
        <v>521</v>
      </c>
      <c r="AU151" s="211"/>
    </row>
    <row r="152" spans="1:47" ht="344.25" x14ac:dyDescent="0.2">
      <c r="A152" s="1">
        <f t="shared" si="9"/>
        <v>9</v>
      </c>
      <c r="B152" s="2" t="str">
        <f t="shared" si="7"/>
        <v>208-9</v>
      </c>
      <c r="C152" s="3" t="s">
        <v>484</v>
      </c>
      <c r="D152" s="4" t="s">
        <v>485</v>
      </c>
      <c r="E152" s="5" t="s">
        <v>486</v>
      </c>
      <c r="F152" s="7" t="s">
        <v>511</v>
      </c>
      <c r="G152" s="22" t="s">
        <v>512</v>
      </c>
      <c r="H152" s="7" t="s">
        <v>513</v>
      </c>
      <c r="I152" s="7" t="s">
        <v>54</v>
      </c>
      <c r="J152" s="7" t="s">
        <v>55</v>
      </c>
      <c r="K152" s="29">
        <v>801116</v>
      </c>
      <c r="L152" s="7" t="s">
        <v>492</v>
      </c>
      <c r="M152" s="7" t="s">
        <v>493</v>
      </c>
      <c r="N152" s="7" t="s">
        <v>494</v>
      </c>
      <c r="O152" s="7" t="s">
        <v>504</v>
      </c>
      <c r="P152" s="23" t="s">
        <v>514</v>
      </c>
      <c r="Q152" s="62">
        <f t="shared" si="8"/>
        <v>3472553.75</v>
      </c>
      <c r="R152" s="24">
        <v>1</v>
      </c>
      <c r="S152" s="63">
        <v>41670645</v>
      </c>
      <c r="T152" s="11" t="s">
        <v>515</v>
      </c>
      <c r="U152" s="26" t="s">
        <v>58</v>
      </c>
      <c r="V152" s="26" t="s">
        <v>516</v>
      </c>
      <c r="W152" s="25">
        <v>12</v>
      </c>
      <c r="X152" s="14">
        <v>105</v>
      </c>
      <c r="Y152" s="27">
        <v>43102</v>
      </c>
      <c r="Z152" s="63">
        <v>41670645</v>
      </c>
      <c r="AA152" s="17"/>
      <c r="AB152" s="17">
        <v>50</v>
      </c>
      <c r="AC152" s="30">
        <v>43103</v>
      </c>
      <c r="AD152" s="63">
        <v>41670645</v>
      </c>
      <c r="AE152" s="19">
        <f t="shared" si="3"/>
        <v>0</v>
      </c>
      <c r="AF152" s="14">
        <v>257</v>
      </c>
      <c r="AG152" s="31">
        <v>43305</v>
      </c>
      <c r="AH152" s="19">
        <v>3956615.6999999997</v>
      </c>
      <c r="AI152" s="1" t="s">
        <v>518</v>
      </c>
      <c r="AJ152" s="1">
        <v>52</v>
      </c>
      <c r="AK152" s="19">
        <f t="shared" si="4"/>
        <v>37714029.299999997</v>
      </c>
      <c r="AL152" s="19">
        <v>3956615.6999999997</v>
      </c>
      <c r="AM152" s="19">
        <f t="shared" si="5"/>
        <v>0</v>
      </c>
      <c r="AN152" s="14"/>
      <c r="AO152" s="21">
        <f t="shared" si="6"/>
        <v>37714029.299999997</v>
      </c>
      <c r="AP152" s="14"/>
      <c r="AQ152" s="30">
        <v>43102</v>
      </c>
      <c r="AR152" s="14" t="s">
        <v>520</v>
      </c>
      <c r="AS152" s="30">
        <v>43102</v>
      </c>
      <c r="AT152" s="14" t="s">
        <v>521</v>
      </c>
      <c r="AU152" s="211"/>
    </row>
    <row r="153" spans="1:47" ht="331.5" x14ac:dyDescent="0.2">
      <c r="A153" s="1">
        <f t="shared" si="9"/>
        <v>10</v>
      </c>
      <c r="B153" s="2" t="str">
        <f t="shared" si="7"/>
        <v>208-10</v>
      </c>
      <c r="C153" s="3" t="s">
        <v>484</v>
      </c>
      <c r="D153" s="4" t="s">
        <v>485</v>
      </c>
      <c r="E153" s="22" t="s">
        <v>499</v>
      </c>
      <c r="F153" s="7" t="s">
        <v>511</v>
      </c>
      <c r="G153" s="22" t="s">
        <v>512</v>
      </c>
      <c r="H153" s="7" t="s">
        <v>513</v>
      </c>
      <c r="I153" s="7" t="s">
        <v>54</v>
      </c>
      <c r="J153" s="7" t="s">
        <v>55</v>
      </c>
      <c r="K153" s="29">
        <v>801116</v>
      </c>
      <c r="L153" s="7" t="s">
        <v>492</v>
      </c>
      <c r="M153" s="7" t="s">
        <v>493</v>
      </c>
      <c r="N153" s="7" t="s">
        <v>494</v>
      </c>
      <c r="O153" s="7" t="s">
        <v>504</v>
      </c>
      <c r="P153" s="23" t="s">
        <v>514</v>
      </c>
      <c r="Q153" s="62">
        <f t="shared" si="8"/>
        <v>8102625.416666667</v>
      </c>
      <c r="R153" s="24">
        <v>1</v>
      </c>
      <c r="S153" s="63">
        <v>97231505</v>
      </c>
      <c r="T153" s="11" t="s">
        <v>515</v>
      </c>
      <c r="U153" s="26" t="s">
        <v>58</v>
      </c>
      <c r="V153" s="26" t="s">
        <v>516</v>
      </c>
      <c r="W153" s="25">
        <v>12</v>
      </c>
      <c r="X153" s="14">
        <v>106</v>
      </c>
      <c r="Y153" s="27">
        <v>43102</v>
      </c>
      <c r="Z153" s="63">
        <v>97231505</v>
      </c>
      <c r="AA153" s="17"/>
      <c r="AB153" s="17">
        <v>50</v>
      </c>
      <c r="AC153" s="30">
        <v>43103</v>
      </c>
      <c r="AD153" s="63">
        <v>97231505</v>
      </c>
      <c r="AE153" s="19">
        <f t="shared" si="3"/>
        <v>0</v>
      </c>
      <c r="AF153" s="14">
        <v>257</v>
      </c>
      <c r="AG153" s="31">
        <v>43305</v>
      </c>
      <c r="AH153" s="19">
        <v>9232103.2999999989</v>
      </c>
      <c r="AI153" s="1" t="s">
        <v>518</v>
      </c>
      <c r="AJ153" s="1">
        <v>52</v>
      </c>
      <c r="AK153" s="19">
        <f t="shared" si="4"/>
        <v>87999401.700000003</v>
      </c>
      <c r="AL153" s="19">
        <v>9232103.2999999989</v>
      </c>
      <c r="AM153" s="19">
        <f t="shared" si="5"/>
        <v>0</v>
      </c>
      <c r="AN153" s="14"/>
      <c r="AO153" s="21">
        <f t="shared" si="6"/>
        <v>87999401.700000003</v>
      </c>
      <c r="AP153" s="14"/>
      <c r="AQ153" s="30">
        <v>43102</v>
      </c>
      <c r="AR153" s="14" t="s">
        <v>520</v>
      </c>
      <c r="AS153" s="30">
        <v>43102</v>
      </c>
      <c r="AT153" s="14" t="s">
        <v>521</v>
      </c>
      <c r="AU153" s="211"/>
    </row>
    <row r="154" spans="1:47" ht="344.25" x14ac:dyDescent="0.2">
      <c r="A154" s="1">
        <f t="shared" si="9"/>
        <v>11</v>
      </c>
      <c r="B154" s="2" t="str">
        <f t="shared" si="7"/>
        <v>208-11</v>
      </c>
      <c r="C154" s="3" t="s">
        <v>484</v>
      </c>
      <c r="D154" s="4" t="s">
        <v>485</v>
      </c>
      <c r="E154" s="5" t="s">
        <v>486</v>
      </c>
      <c r="F154" s="7" t="s">
        <v>511</v>
      </c>
      <c r="G154" s="22" t="s">
        <v>512</v>
      </c>
      <c r="H154" s="7" t="s">
        <v>513</v>
      </c>
      <c r="I154" s="7" t="s">
        <v>54</v>
      </c>
      <c r="J154" s="7" t="s">
        <v>55</v>
      </c>
      <c r="K154" s="29">
        <v>801116</v>
      </c>
      <c r="L154" s="7" t="s">
        <v>492</v>
      </c>
      <c r="M154" s="7" t="s">
        <v>493</v>
      </c>
      <c r="N154" s="7" t="s">
        <v>494</v>
      </c>
      <c r="O154" s="7" t="s">
        <v>504</v>
      </c>
      <c r="P154" s="23" t="s">
        <v>514</v>
      </c>
      <c r="Q154" s="62">
        <f t="shared" si="8"/>
        <v>2432618.75</v>
      </c>
      <c r="R154" s="24">
        <v>1</v>
      </c>
      <c r="S154" s="63">
        <v>29191425</v>
      </c>
      <c r="T154" s="11" t="s">
        <v>515</v>
      </c>
      <c r="U154" s="26" t="s">
        <v>58</v>
      </c>
      <c r="V154" s="26" t="s">
        <v>516</v>
      </c>
      <c r="W154" s="25">
        <v>12</v>
      </c>
      <c r="X154" s="14">
        <v>107</v>
      </c>
      <c r="Y154" s="27">
        <v>43102</v>
      </c>
      <c r="Z154" s="63">
        <v>29191425</v>
      </c>
      <c r="AA154" s="17"/>
      <c r="AB154" s="17">
        <v>50</v>
      </c>
      <c r="AC154" s="30">
        <v>43103</v>
      </c>
      <c r="AD154" s="63">
        <v>29191425</v>
      </c>
      <c r="AE154" s="19">
        <f t="shared" si="3"/>
        <v>0</v>
      </c>
      <c r="AF154" s="14"/>
      <c r="AG154" s="20"/>
      <c r="AH154" s="19"/>
      <c r="AI154" s="1"/>
      <c r="AJ154" s="1"/>
      <c r="AK154" s="19">
        <f t="shared" si="4"/>
        <v>29191425</v>
      </c>
      <c r="AL154" s="19"/>
      <c r="AM154" s="19">
        <f t="shared" si="5"/>
        <v>0</v>
      </c>
      <c r="AN154" s="14"/>
      <c r="AO154" s="21">
        <f t="shared" si="6"/>
        <v>29191425</v>
      </c>
      <c r="AP154" s="14"/>
      <c r="AQ154" s="30">
        <v>43102</v>
      </c>
      <c r="AR154" s="14" t="s">
        <v>520</v>
      </c>
      <c r="AS154" s="30">
        <v>43102</v>
      </c>
      <c r="AT154" s="14" t="s">
        <v>521</v>
      </c>
      <c r="AU154" s="211"/>
    </row>
    <row r="155" spans="1:47" ht="331.5" x14ac:dyDescent="0.2">
      <c r="A155" s="1">
        <f t="shared" si="9"/>
        <v>12</v>
      </c>
      <c r="B155" s="2" t="str">
        <f t="shared" si="7"/>
        <v>208-12</v>
      </c>
      <c r="C155" s="3" t="s">
        <v>484</v>
      </c>
      <c r="D155" s="4" t="s">
        <v>485</v>
      </c>
      <c r="E155" s="22" t="s">
        <v>499</v>
      </c>
      <c r="F155" s="7" t="s">
        <v>511</v>
      </c>
      <c r="G155" s="22" t="s">
        <v>512</v>
      </c>
      <c r="H155" s="7" t="s">
        <v>513</v>
      </c>
      <c r="I155" s="7" t="s">
        <v>54</v>
      </c>
      <c r="J155" s="7" t="s">
        <v>55</v>
      </c>
      <c r="K155" s="29">
        <v>801116</v>
      </c>
      <c r="L155" s="7" t="s">
        <v>492</v>
      </c>
      <c r="M155" s="7" t="s">
        <v>493</v>
      </c>
      <c r="N155" s="7" t="s">
        <v>494</v>
      </c>
      <c r="O155" s="7" t="s">
        <v>504</v>
      </c>
      <c r="P155" s="23" t="s">
        <v>514</v>
      </c>
      <c r="Q155" s="62">
        <f t="shared" si="8"/>
        <v>5676110.416666667</v>
      </c>
      <c r="R155" s="24">
        <v>1</v>
      </c>
      <c r="S155" s="63">
        <v>68113325</v>
      </c>
      <c r="T155" s="11" t="s">
        <v>515</v>
      </c>
      <c r="U155" s="26" t="s">
        <v>58</v>
      </c>
      <c r="V155" s="26" t="s">
        <v>516</v>
      </c>
      <c r="W155" s="25">
        <v>12</v>
      </c>
      <c r="X155" s="14">
        <v>108</v>
      </c>
      <c r="Y155" s="27">
        <v>43102</v>
      </c>
      <c r="Z155" s="63">
        <v>68113325</v>
      </c>
      <c r="AA155" s="17"/>
      <c r="AB155" s="17">
        <v>50</v>
      </c>
      <c r="AC155" s="30">
        <v>43103</v>
      </c>
      <c r="AD155" s="63">
        <v>68113325</v>
      </c>
      <c r="AE155" s="19">
        <f t="shared" si="3"/>
        <v>0</v>
      </c>
      <c r="AF155" s="14"/>
      <c r="AG155" s="20"/>
      <c r="AH155" s="19"/>
      <c r="AI155" s="1"/>
      <c r="AJ155" s="1"/>
      <c r="AK155" s="19">
        <f t="shared" si="4"/>
        <v>68113325</v>
      </c>
      <c r="AL155" s="19"/>
      <c r="AM155" s="19">
        <f t="shared" si="5"/>
        <v>0</v>
      </c>
      <c r="AN155" s="14"/>
      <c r="AO155" s="21">
        <f t="shared" si="6"/>
        <v>68113325</v>
      </c>
      <c r="AP155" s="14"/>
      <c r="AQ155" s="30">
        <v>43102</v>
      </c>
      <c r="AR155" s="14" t="s">
        <v>520</v>
      </c>
      <c r="AS155" s="30">
        <v>43102</v>
      </c>
      <c r="AT155" s="14" t="s">
        <v>521</v>
      </c>
      <c r="AU155" s="211"/>
    </row>
    <row r="156" spans="1:47" ht="344.25" x14ac:dyDescent="0.2">
      <c r="A156" s="1">
        <f t="shared" si="9"/>
        <v>13</v>
      </c>
      <c r="B156" s="2" t="str">
        <f t="shared" si="7"/>
        <v>208-13</v>
      </c>
      <c r="C156" s="3" t="s">
        <v>484</v>
      </c>
      <c r="D156" s="4" t="s">
        <v>485</v>
      </c>
      <c r="E156" s="5" t="s">
        <v>486</v>
      </c>
      <c r="F156" s="7" t="s">
        <v>511</v>
      </c>
      <c r="G156" s="22" t="s">
        <v>512</v>
      </c>
      <c r="H156" s="7" t="s">
        <v>513</v>
      </c>
      <c r="I156" s="7" t="s">
        <v>54</v>
      </c>
      <c r="J156" s="7" t="s">
        <v>55</v>
      </c>
      <c r="K156" s="29">
        <v>801116</v>
      </c>
      <c r="L156" s="7" t="s">
        <v>492</v>
      </c>
      <c r="M156" s="7" t="s">
        <v>493</v>
      </c>
      <c r="N156" s="7" t="s">
        <v>494</v>
      </c>
      <c r="O156" s="7" t="s">
        <v>504</v>
      </c>
      <c r="P156" s="23" t="s">
        <v>522</v>
      </c>
      <c r="Q156" s="62">
        <f t="shared" si="8"/>
        <v>900000</v>
      </c>
      <c r="R156" s="24">
        <v>1</v>
      </c>
      <c r="S156" s="63">
        <v>10800000</v>
      </c>
      <c r="T156" s="11" t="s">
        <v>515</v>
      </c>
      <c r="U156" s="26" t="s">
        <v>58</v>
      </c>
      <c r="V156" s="26" t="s">
        <v>516</v>
      </c>
      <c r="W156" s="25">
        <v>12</v>
      </c>
      <c r="X156" s="14">
        <v>101</v>
      </c>
      <c r="Y156" s="27">
        <v>43102</v>
      </c>
      <c r="Z156" s="63">
        <v>10800000</v>
      </c>
      <c r="AA156" s="17"/>
      <c r="AB156" s="17">
        <v>52</v>
      </c>
      <c r="AC156" s="30">
        <v>43103</v>
      </c>
      <c r="AD156" s="19">
        <v>10800000</v>
      </c>
      <c r="AE156" s="19">
        <f t="shared" si="3"/>
        <v>0</v>
      </c>
      <c r="AF156" s="14" t="s">
        <v>523</v>
      </c>
      <c r="AG156" s="31">
        <v>43165</v>
      </c>
      <c r="AH156" s="19">
        <v>3444720</v>
      </c>
      <c r="AI156" s="97" t="s">
        <v>524</v>
      </c>
      <c r="AJ156" s="32" t="s">
        <v>525</v>
      </c>
      <c r="AK156" s="19">
        <f t="shared" si="4"/>
        <v>7355280</v>
      </c>
      <c r="AL156" s="19">
        <v>3444720</v>
      </c>
      <c r="AM156" s="19">
        <f t="shared" si="5"/>
        <v>0</v>
      </c>
      <c r="AN156" s="14"/>
      <c r="AO156" s="21">
        <f t="shared" si="6"/>
        <v>7355280</v>
      </c>
      <c r="AP156" s="14"/>
      <c r="AQ156" s="30">
        <v>43102</v>
      </c>
      <c r="AR156" s="14" t="s">
        <v>520</v>
      </c>
      <c r="AS156" s="30">
        <v>43102</v>
      </c>
      <c r="AT156" s="14" t="s">
        <v>526</v>
      </c>
      <c r="AU156" s="211"/>
    </row>
    <row r="157" spans="1:47" ht="331.5" x14ac:dyDescent="0.2">
      <c r="A157" s="1">
        <f t="shared" si="9"/>
        <v>14</v>
      </c>
      <c r="B157" s="2" t="str">
        <f t="shared" si="7"/>
        <v>208-14</v>
      </c>
      <c r="C157" s="3" t="s">
        <v>484</v>
      </c>
      <c r="D157" s="4" t="s">
        <v>485</v>
      </c>
      <c r="E157" s="22" t="s">
        <v>499</v>
      </c>
      <c r="F157" s="7" t="s">
        <v>511</v>
      </c>
      <c r="G157" s="22" t="s">
        <v>512</v>
      </c>
      <c r="H157" s="7" t="s">
        <v>513</v>
      </c>
      <c r="I157" s="7" t="s">
        <v>54</v>
      </c>
      <c r="J157" s="7" t="s">
        <v>55</v>
      </c>
      <c r="K157" s="29">
        <v>801116</v>
      </c>
      <c r="L157" s="7" t="s">
        <v>492</v>
      </c>
      <c r="M157" s="7" t="s">
        <v>493</v>
      </c>
      <c r="N157" s="7" t="s">
        <v>494</v>
      </c>
      <c r="O157" s="7" t="s">
        <v>504</v>
      </c>
      <c r="P157" s="23" t="s">
        <v>522</v>
      </c>
      <c r="Q157" s="62">
        <f t="shared" si="8"/>
        <v>2100000</v>
      </c>
      <c r="R157" s="24">
        <v>1</v>
      </c>
      <c r="S157" s="63">
        <v>25200000</v>
      </c>
      <c r="T157" s="11" t="s">
        <v>515</v>
      </c>
      <c r="U157" s="26" t="s">
        <v>58</v>
      </c>
      <c r="V157" s="26" t="s">
        <v>516</v>
      </c>
      <c r="W157" s="25">
        <v>12</v>
      </c>
      <c r="X157" s="14">
        <v>102</v>
      </c>
      <c r="Y157" s="27">
        <v>43102</v>
      </c>
      <c r="Z157" s="63">
        <v>25200000</v>
      </c>
      <c r="AA157" s="17"/>
      <c r="AB157" s="17">
        <v>52</v>
      </c>
      <c r="AC157" s="30">
        <v>43103</v>
      </c>
      <c r="AD157" s="19">
        <v>25200000</v>
      </c>
      <c r="AE157" s="19">
        <f t="shared" si="3"/>
        <v>0</v>
      </c>
      <c r="AF157" s="14" t="s">
        <v>523</v>
      </c>
      <c r="AG157" s="31">
        <v>43165</v>
      </c>
      <c r="AH157" s="19">
        <v>8037679.9999999991</v>
      </c>
      <c r="AI157" s="97" t="s">
        <v>524</v>
      </c>
      <c r="AJ157" s="32" t="s">
        <v>525</v>
      </c>
      <c r="AK157" s="19">
        <f t="shared" si="4"/>
        <v>17162320</v>
      </c>
      <c r="AL157" s="19">
        <v>8037679.9999999991</v>
      </c>
      <c r="AM157" s="19">
        <f t="shared" si="5"/>
        <v>0</v>
      </c>
      <c r="AN157" s="14"/>
      <c r="AO157" s="21">
        <f t="shared" si="6"/>
        <v>17162320</v>
      </c>
      <c r="AP157" s="14"/>
      <c r="AQ157" s="30">
        <v>43102</v>
      </c>
      <c r="AR157" s="14" t="s">
        <v>520</v>
      </c>
      <c r="AS157" s="30">
        <v>43102</v>
      </c>
      <c r="AT157" s="14" t="s">
        <v>526</v>
      </c>
      <c r="AU157" s="211"/>
    </row>
    <row r="158" spans="1:47" ht="409.5" x14ac:dyDescent="0.2">
      <c r="A158" s="1">
        <f t="shared" si="9"/>
        <v>15</v>
      </c>
      <c r="B158" s="2" t="str">
        <f t="shared" si="7"/>
        <v>208-15</v>
      </c>
      <c r="C158" s="3" t="s">
        <v>484</v>
      </c>
      <c r="D158" s="4" t="s">
        <v>485</v>
      </c>
      <c r="E158" s="5" t="s">
        <v>486</v>
      </c>
      <c r="F158" s="7" t="s">
        <v>511</v>
      </c>
      <c r="G158" s="22" t="s">
        <v>512</v>
      </c>
      <c r="H158" s="7" t="s">
        <v>513</v>
      </c>
      <c r="I158" s="7" t="s">
        <v>54</v>
      </c>
      <c r="J158" s="7" t="s">
        <v>55</v>
      </c>
      <c r="K158" s="1">
        <v>801116</v>
      </c>
      <c r="L158" s="7" t="s">
        <v>492</v>
      </c>
      <c r="M158" s="7" t="s">
        <v>493</v>
      </c>
      <c r="N158" s="7" t="s">
        <v>494</v>
      </c>
      <c r="O158" s="7" t="s">
        <v>504</v>
      </c>
      <c r="P158" s="23" t="s">
        <v>527</v>
      </c>
      <c r="Q158" s="62">
        <f t="shared" si="8"/>
        <v>2472000</v>
      </c>
      <c r="R158" s="24">
        <v>1</v>
      </c>
      <c r="S158" s="63">
        <v>28428000</v>
      </c>
      <c r="T158" s="11" t="s">
        <v>528</v>
      </c>
      <c r="U158" s="26" t="s">
        <v>58</v>
      </c>
      <c r="V158" s="26" t="s">
        <v>516</v>
      </c>
      <c r="W158" s="33">
        <v>11.5</v>
      </c>
      <c r="X158" s="14">
        <v>100</v>
      </c>
      <c r="Y158" s="27">
        <v>43102</v>
      </c>
      <c r="Z158" s="34">
        <v>28428000</v>
      </c>
      <c r="AA158" s="17"/>
      <c r="AB158" s="17">
        <v>48</v>
      </c>
      <c r="AC158" s="30">
        <v>43103</v>
      </c>
      <c r="AD158" s="19">
        <v>28428000</v>
      </c>
      <c r="AE158" s="19">
        <f t="shared" si="3"/>
        <v>0</v>
      </c>
      <c r="AF158" s="14">
        <v>80</v>
      </c>
      <c r="AG158" s="31">
        <v>43116</v>
      </c>
      <c r="AH158" s="19">
        <v>28428000</v>
      </c>
      <c r="AI158" s="1" t="s">
        <v>529</v>
      </c>
      <c r="AJ158" s="1">
        <v>55</v>
      </c>
      <c r="AK158" s="19">
        <f t="shared" si="4"/>
        <v>0</v>
      </c>
      <c r="AL158" s="19">
        <v>9558399.9000000004</v>
      </c>
      <c r="AM158" s="19">
        <f t="shared" si="5"/>
        <v>18869600.100000001</v>
      </c>
      <c r="AN158" s="14"/>
      <c r="AO158" s="21">
        <f t="shared" si="6"/>
        <v>0</v>
      </c>
      <c r="AP158" s="14"/>
      <c r="AQ158" s="30">
        <v>43102</v>
      </c>
      <c r="AR158" s="14" t="s">
        <v>520</v>
      </c>
      <c r="AS158" s="30">
        <v>43102</v>
      </c>
      <c r="AT158" s="14" t="s">
        <v>521</v>
      </c>
      <c r="AU158" s="211"/>
    </row>
    <row r="159" spans="1:47" ht="409.5" x14ac:dyDescent="0.2">
      <c r="A159" s="1">
        <f t="shared" si="9"/>
        <v>16</v>
      </c>
      <c r="B159" s="2" t="str">
        <f t="shared" si="7"/>
        <v>208-16</v>
      </c>
      <c r="C159" s="3" t="s">
        <v>484</v>
      </c>
      <c r="D159" s="4" t="s">
        <v>485</v>
      </c>
      <c r="E159" s="22" t="s">
        <v>499</v>
      </c>
      <c r="F159" s="7" t="s">
        <v>511</v>
      </c>
      <c r="G159" s="22" t="s">
        <v>512</v>
      </c>
      <c r="H159" s="7" t="s">
        <v>513</v>
      </c>
      <c r="I159" s="7" t="s">
        <v>54</v>
      </c>
      <c r="J159" s="7" t="s">
        <v>55</v>
      </c>
      <c r="K159" s="1">
        <v>801116</v>
      </c>
      <c r="L159" s="7" t="s">
        <v>492</v>
      </c>
      <c r="M159" s="7" t="s">
        <v>493</v>
      </c>
      <c r="N159" s="7" t="s">
        <v>494</v>
      </c>
      <c r="O159" s="7" t="s">
        <v>504</v>
      </c>
      <c r="P159" s="23" t="s">
        <v>527</v>
      </c>
      <c r="Q159" s="62">
        <f t="shared" si="8"/>
        <v>5768000</v>
      </c>
      <c r="R159" s="24">
        <v>1</v>
      </c>
      <c r="S159" s="63">
        <v>66332000</v>
      </c>
      <c r="T159" s="11" t="s">
        <v>528</v>
      </c>
      <c r="U159" s="26" t="s">
        <v>58</v>
      </c>
      <c r="V159" s="26" t="s">
        <v>516</v>
      </c>
      <c r="W159" s="33">
        <v>11.5</v>
      </c>
      <c r="X159" s="14">
        <v>99</v>
      </c>
      <c r="Y159" s="27">
        <v>43102</v>
      </c>
      <c r="Z159" s="34">
        <v>66332000</v>
      </c>
      <c r="AA159" s="17"/>
      <c r="AB159" s="17">
        <v>48</v>
      </c>
      <c r="AC159" s="30">
        <v>43103</v>
      </c>
      <c r="AD159" s="19">
        <v>66332000</v>
      </c>
      <c r="AE159" s="19">
        <f t="shared" si="3"/>
        <v>0</v>
      </c>
      <c r="AF159" s="14">
        <v>80</v>
      </c>
      <c r="AG159" s="31">
        <v>43116</v>
      </c>
      <c r="AH159" s="19">
        <v>66332000</v>
      </c>
      <c r="AI159" s="1" t="s">
        <v>529</v>
      </c>
      <c r="AJ159" s="1">
        <v>55</v>
      </c>
      <c r="AK159" s="19">
        <f t="shared" si="4"/>
        <v>0</v>
      </c>
      <c r="AL159" s="19">
        <v>22302933.099999998</v>
      </c>
      <c r="AM159" s="19">
        <f t="shared" si="5"/>
        <v>44029066.900000006</v>
      </c>
      <c r="AN159" s="14"/>
      <c r="AO159" s="21">
        <f t="shared" si="6"/>
        <v>0</v>
      </c>
      <c r="AP159" s="14"/>
      <c r="AQ159" s="30">
        <v>43102</v>
      </c>
      <c r="AR159" s="14" t="s">
        <v>520</v>
      </c>
      <c r="AS159" s="30">
        <v>43102</v>
      </c>
      <c r="AT159" s="14" t="s">
        <v>521</v>
      </c>
      <c r="AU159" s="211"/>
    </row>
    <row r="160" spans="1:47" ht="344.25" x14ac:dyDescent="0.2">
      <c r="A160" s="1">
        <f t="shared" si="9"/>
        <v>17</v>
      </c>
      <c r="B160" s="2" t="str">
        <f t="shared" si="7"/>
        <v>208-17</v>
      </c>
      <c r="C160" s="3" t="s">
        <v>484</v>
      </c>
      <c r="D160" s="4" t="s">
        <v>485</v>
      </c>
      <c r="E160" s="5" t="s">
        <v>486</v>
      </c>
      <c r="F160" s="7" t="s">
        <v>511</v>
      </c>
      <c r="G160" s="22" t="s">
        <v>512</v>
      </c>
      <c r="H160" s="7" t="s">
        <v>513</v>
      </c>
      <c r="I160" s="7" t="s">
        <v>54</v>
      </c>
      <c r="J160" s="7" t="s">
        <v>55</v>
      </c>
      <c r="K160" s="1">
        <v>801116</v>
      </c>
      <c r="L160" s="7" t="s">
        <v>492</v>
      </c>
      <c r="M160" s="7" t="s">
        <v>493</v>
      </c>
      <c r="N160" s="7" t="s">
        <v>494</v>
      </c>
      <c r="O160" s="7" t="s">
        <v>504</v>
      </c>
      <c r="P160" s="23" t="s">
        <v>530</v>
      </c>
      <c r="Q160" s="62">
        <f t="shared" si="8"/>
        <v>1699500</v>
      </c>
      <c r="R160" s="24">
        <v>1</v>
      </c>
      <c r="S160" s="63">
        <v>19544250</v>
      </c>
      <c r="T160" s="11" t="s">
        <v>528</v>
      </c>
      <c r="U160" s="26" t="s">
        <v>58</v>
      </c>
      <c r="V160" s="26" t="s">
        <v>516</v>
      </c>
      <c r="W160" s="33">
        <v>11.5</v>
      </c>
      <c r="X160" s="14">
        <v>98</v>
      </c>
      <c r="Y160" s="27">
        <v>43102</v>
      </c>
      <c r="Z160" s="34">
        <v>19544250</v>
      </c>
      <c r="AA160" s="17"/>
      <c r="AB160" s="17">
        <v>47</v>
      </c>
      <c r="AC160" s="30">
        <v>43103</v>
      </c>
      <c r="AD160" s="19">
        <v>19544250</v>
      </c>
      <c r="AE160" s="19">
        <f t="shared" si="3"/>
        <v>0</v>
      </c>
      <c r="AF160" s="14">
        <v>170</v>
      </c>
      <c r="AG160" s="31">
        <v>43118</v>
      </c>
      <c r="AH160" s="19">
        <v>19544250</v>
      </c>
      <c r="AI160" s="1" t="s">
        <v>531</v>
      </c>
      <c r="AJ160" s="1">
        <v>127</v>
      </c>
      <c r="AK160" s="19">
        <f t="shared" si="4"/>
        <v>0</v>
      </c>
      <c r="AL160" s="19">
        <v>9233949.9000000004</v>
      </c>
      <c r="AM160" s="19">
        <f t="shared" si="5"/>
        <v>10310300.1</v>
      </c>
      <c r="AN160" s="14"/>
      <c r="AO160" s="21">
        <f t="shared" si="6"/>
        <v>0</v>
      </c>
      <c r="AP160" s="14"/>
      <c r="AQ160" s="30">
        <v>43102</v>
      </c>
      <c r="AR160" s="14" t="s">
        <v>520</v>
      </c>
      <c r="AS160" s="30">
        <v>43102</v>
      </c>
      <c r="AT160" s="14" t="s">
        <v>521</v>
      </c>
      <c r="AU160" s="211"/>
    </row>
    <row r="161" spans="1:47" ht="331.5" x14ac:dyDescent="0.2">
      <c r="A161" s="1">
        <f t="shared" si="9"/>
        <v>18</v>
      </c>
      <c r="B161" s="2" t="str">
        <f t="shared" si="7"/>
        <v>208-18</v>
      </c>
      <c r="C161" s="3" t="s">
        <v>484</v>
      </c>
      <c r="D161" s="4" t="s">
        <v>485</v>
      </c>
      <c r="E161" s="22" t="s">
        <v>499</v>
      </c>
      <c r="F161" s="7" t="s">
        <v>511</v>
      </c>
      <c r="G161" s="22" t="s">
        <v>512</v>
      </c>
      <c r="H161" s="7" t="s">
        <v>513</v>
      </c>
      <c r="I161" s="7" t="s">
        <v>54</v>
      </c>
      <c r="J161" s="7" t="s">
        <v>55</v>
      </c>
      <c r="K161" s="1">
        <v>801116</v>
      </c>
      <c r="L161" s="7" t="s">
        <v>492</v>
      </c>
      <c r="M161" s="7" t="s">
        <v>493</v>
      </c>
      <c r="N161" s="7" t="s">
        <v>494</v>
      </c>
      <c r="O161" s="7" t="s">
        <v>504</v>
      </c>
      <c r="P161" s="23" t="s">
        <v>530</v>
      </c>
      <c r="Q161" s="62">
        <f t="shared" si="8"/>
        <v>3965499.9999999995</v>
      </c>
      <c r="R161" s="24">
        <v>1</v>
      </c>
      <c r="S161" s="63">
        <v>45603249.999999993</v>
      </c>
      <c r="T161" s="11" t="s">
        <v>528</v>
      </c>
      <c r="U161" s="26" t="s">
        <v>58</v>
      </c>
      <c r="V161" s="26" t="s">
        <v>516</v>
      </c>
      <c r="W161" s="33">
        <v>11.5</v>
      </c>
      <c r="X161" s="14">
        <v>97</v>
      </c>
      <c r="Y161" s="27">
        <v>43102</v>
      </c>
      <c r="Z161" s="34">
        <v>45603249.999999993</v>
      </c>
      <c r="AA161" s="17"/>
      <c r="AB161" s="17">
        <v>47</v>
      </c>
      <c r="AC161" s="30">
        <v>43103</v>
      </c>
      <c r="AD161" s="19">
        <v>45603249.999999993</v>
      </c>
      <c r="AE161" s="19">
        <f t="shared" si="3"/>
        <v>0</v>
      </c>
      <c r="AF161" s="14">
        <v>170</v>
      </c>
      <c r="AG161" s="31">
        <v>43118</v>
      </c>
      <c r="AH161" s="19">
        <v>45603249.999999993</v>
      </c>
      <c r="AI161" s="1" t="s">
        <v>531</v>
      </c>
      <c r="AJ161" s="1">
        <v>127</v>
      </c>
      <c r="AK161" s="19">
        <f t="shared" si="4"/>
        <v>0</v>
      </c>
      <c r="AL161" s="19">
        <v>21545883.099999998</v>
      </c>
      <c r="AM161" s="19">
        <f t="shared" si="5"/>
        <v>24057366.899999995</v>
      </c>
      <c r="AN161" s="14"/>
      <c r="AO161" s="21">
        <f t="shared" si="6"/>
        <v>0</v>
      </c>
      <c r="AP161" s="14"/>
      <c r="AQ161" s="30">
        <v>43102</v>
      </c>
      <c r="AR161" s="14" t="s">
        <v>520</v>
      </c>
      <c r="AS161" s="30">
        <v>43102</v>
      </c>
      <c r="AT161" s="14" t="s">
        <v>521</v>
      </c>
      <c r="AU161" s="211"/>
    </row>
    <row r="162" spans="1:47" ht="357" x14ac:dyDescent="0.2">
      <c r="A162" s="1">
        <f t="shared" si="9"/>
        <v>19</v>
      </c>
      <c r="B162" s="2" t="str">
        <f t="shared" si="7"/>
        <v>208-19</v>
      </c>
      <c r="C162" s="3" t="s">
        <v>484</v>
      </c>
      <c r="D162" s="4" t="s">
        <v>485</v>
      </c>
      <c r="E162" s="5" t="s">
        <v>486</v>
      </c>
      <c r="F162" s="7" t="s">
        <v>511</v>
      </c>
      <c r="G162" s="22" t="s">
        <v>512</v>
      </c>
      <c r="H162" s="7" t="s">
        <v>513</v>
      </c>
      <c r="I162" s="7" t="s">
        <v>54</v>
      </c>
      <c r="J162" s="7" t="s">
        <v>55</v>
      </c>
      <c r="K162" s="1">
        <v>801116</v>
      </c>
      <c r="L162" s="7" t="s">
        <v>492</v>
      </c>
      <c r="M162" s="7" t="s">
        <v>493</v>
      </c>
      <c r="N162" s="7" t="s">
        <v>494</v>
      </c>
      <c r="O162" s="7" t="s">
        <v>504</v>
      </c>
      <c r="P162" s="23" t="s">
        <v>532</v>
      </c>
      <c r="Q162" s="62">
        <f t="shared" si="8"/>
        <v>1511010</v>
      </c>
      <c r="R162" s="24">
        <v>1</v>
      </c>
      <c r="S162" s="63">
        <v>17376615</v>
      </c>
      <c r="T162" s="11" t="s">
        <v>528</v>
      </c>
      <c r="U162" s="26" t="s">
        <v>58</v>
      </c>
      <c r="V162" s="26" t="s">
        <v>516</v>
      </c>
      <c r="W162" s="33">
        <v>11.5</v>
      </c>
      <c r="X162" s="14">
        <v>96</v>
      </c>
      <c r="Y162" s="27">
        <v>43102</v>
      </c>
      <c r="Z162" s="34">
        <v>17376615</v>
      </c>
      <c r="AA162" s="17"/>
      <c r="AB162" s="17">
        <v>45</v>
      </c>
      <c r="AC162" s="30">
        <v>43103</v>
      </c>
      <c r="AD162" s="19">
        <v>17376615</v>
      </c>
      <c r="AE162" s="19">
        <f t="shared" si="3"/>
        <v>0</v>
      </c>
      <c r="AF162" s="14">
        <v>165</v>
      </c>
      <c r="AG162" s="31">
        <v>43118</v>
      </c>
      <c r="AH162" s="19">
        <v>17376615</v>
      </c>
      <c r="AI162" s="1" t="s">
        <v>533</v>
      </c>
      <c r="AJ162" s="1">
        <v>131</v>
      </c>
      <c r="AK162" s="19">
        <f t="shared" si="4"/>
        <v>0</v>
      </c>
      <c r="AL162" s="19">
        <v>8209821</v>
      </c>
      <c r="AM162" s="19">
        <f t="shared" si="5"/>
        <v>9166794</v>
      </c>
      <c r="AN162" s="14"/>
      <c r="AO162" s="21">
        <f t="shared" si="6"/>
        <v>0</v>
      </c>
      <c r="AP162" s="14"/>
      <c r="AQ162" s="30">
        <v>43102</v>
      </c>
      <c r="AR162" s="14" t="s">
        <v>520</v>
      </c>
      <c r="AS162" s="30">
        <v>43102</v>
      </c>
      <c r="AT162" s="14" t="s">
        <v>521</v>
      </c>
      <c r="AU162" s="211"/>
    </row>
    <row r="163" spans="1:47" ht="357" x14ac:dyDescent="0.2">
      <c r="A163" s="1">
        <f t="shared" si="9"/>
        <v>20</v>
      </c>
      <c r="B163" s="2" t="str">
        <f t="shared" si="7"/>
        <v>208-20</v>
      </c>
      <c r="C163" s="3" t="s">
        <v>484</v>
      </c>
      <c r="D163" s="4" t="s">
        <v>485</v>
      </c>
      <c r="E163" s="22" t="s">
        <v>499</v>
      </c>
      <c r="F163" s="7" t="s">
        <v>511</v>
      </c>
      <c r="G163" s="22" t="s">
        <v>512</v>
      </c>
      <c r="H163" s="7" t="s">
        <v>513</v>
      </c>
      <c r="I163" s="7" t="s">
        <v>54</v>
      </c>
      <c r="J163" s="7" t="s">
        <v>55</v>
      </c>
      <c r="K163" s="1">
        <v>801116</v>
      </c>
      <c r="L163" s="7" t="s">
        <v>492</v>
      </c>
      <c r="M163" s="7" t="s">
        <v>493</v>
      </c>
      <c r="N163" s="7" t="s">
        <v>494</v>
      </c>
      <c r="O163" s="7" t="s">
        <v>504</v>
      </c>
      <c r="P163" s="23" t="s">
        <v>532</v>
      </c>
      <c r="Q163" s="62">
        <f t="shared" si="8"/>
        <v>3525690</v>
      </c>
      <c r="R163" s="24">
        <v>1</v>
      </c>
      <c r="S163" s="63">
        <v>40545435</v>
      </c>
      <c r="T163" s="11" t="s">
        <v>528</v>
      </c>
      <c r="U163" s="26" t="s">
        <v>58</v>
      </c>
      <c r="V163" s="26" t="s">
        <v>516</v>
      </c>
      <c r="W163" s="33">
        <v>11.5</v>
      </c>
      <c r="X163" s="14">
        <v>95</v>
      </c>
      <c r="Y163" s="27">
        <v>43102</v>
      </c>
      <c r="Z163" s="34">
        <v>40545435</v>
      </c>
      <c r="AA163" s="17"/>
      <c r="AB163" s="17">
        <v>45</v>
      </c>
      <c r="AC163" s="30">
        <v>43103</v>
      </c>
      <c r="AD163" s="19">
        <v>40545435</v>
      </c>
      <c r="AE163" s="19">
        <f t="shared" si="3"/>
        <v>0</v>
      </c>
      <c r="AF163" s="14">
        <v>165</v>
      </c>
      <c r="AG163" s="31">
        <v>43118</v>
      </c>
      <c r="AH163" s="19">
        <v>40545435</v>
      </c>
      <c r="AI163" s="1" t="s">
        <v>533</v>
      </c>
      <c r="AJ163" s="1">
        <v>131</v>
      </c>
      <c r="AK163" s="19">
        <f t="shared" si="4"/>
        <v>0</v>
      </c>
      <c r="AL163" s="19">
        <v>19156249</v>
      </c>
      <c r="AM163" s="19">
        <f t="shared" si="5"/>
        <v>21389186</v>
      </c>
      <c r="AN163" s="14"/>
      <c r="AO163" s="21">
        <f t="shared" si="6"/>
        <v>0</v>
      </c>
      <c r="AP163" s="14"/>
      <c r="AQ163" s="30">
        <v>43102</v>
      </c>
      <c r="AR163" s="14" t="s">
        <v>520</v>
      </c>
      <c r="AS163" s="30">
        <v>43102</v>
      </c>
      <c r="AT163" s="14" t="s">
        <v>521</v>
      </c>
      <c r="AU163" s="211"/>
    </row>
    <row r="164" spans="1:47" ht="409.5" x14ac:dyDescent="0.2">
      <c r="A164" s="1">
        <f t="shared" si="9"/>
        <v>21</v>
      </c>
      <c r="B164" s="2" t="str">
        <f t="shared" si="7"/>
        <v>208-21</v>
      </c>
      <c r="C164" s="3" t="s">
        <v>484</v>
      </c>
      <c r="D164" s="4" t="s">
        <v>485</v>
      </c>
      <c r="E164" s="5" t="s">
        <v>486</v>
      </c>
      <c r="F164" s="7" t="s">
        <v>511</v>
      </c>
      <c r="G164" s="22" t="s">
        <v>512</v>
      </c>
      <c r="H164" s="7" t="s">
        <v>513</v>
      </c>
      <c r="I164" s="7" t="s">
        <v>54</v>
      </c>
      <c r="J164" s="7" t="s">
        <v>55</v>
      </c>
      <c r="K164" s="1">
        <v>801116</v>
      </c>
      <c r="L164" s="7" t="s">
        <v>492</v>
      </c>
      <c r="M164" s="7" t="s">
        <v>493</v>
      </c>
      <c r="N164" s="7" t="s">
        <v>494</v>
      </c>
      <c r="O164" s="7" t="s">
        <v>504</v>
      </c>
      <c r="P164" s="23" t="s">
        <v>534</v>
      </c>
      <c r="Q164" s="62">
        <f t="shared" si="8"/>
        <v>1236000</v>
      </c>
      <c r="R164" s="24">
        <v>1</v>
      </c>
      <c r="S164" s="63">
        <v>14214000</v>
      </c>
      <c r="T164" s="11" t="s">
        <v>528</v>
      </c>
      <c r="U164" s="26" t="s">
        <v>58</v>
      </c>
      <c r="V164" s="26" t="s">
        <v>516</v>
      </c>
      <c r="W164" s="33">
        <v>11.5</v>
      </c>
      <c r="X164" s="14">
        <v>94</v>
      </c>
      <c r="Y164" s="27">
        <v>43102</v>
      </c>
      <c r="Z164" s="34">
        <v>14214000</v>
      </c>
      <c r="AA164" s="17"/>
      <c r="AB164" s="17">
        <v>43</v>
      </c>
      <c r="AC164" s="30">
        <v>43103</v>
      </c>
      <c r="AD164" s="19">
        <v>14214000</v>
      </c>
      <c r="AE164" s="19">
        <f t="shared" si="3"/>
        <v>0</v>
      </c>
      <c r="AF164" s="14">
        <v>185</v>
      </c>
      <c r="AG164" s="31">
        <v>43118</v>
      </c>
      <c r="AH164" s="19">
        <v>14214000</v>
      </c>
      <c r="AI164" s="1" t="s">
        <v>535</v>
      </c>
      <c r="AJ164" s="1">
        <v>136</v>
      </c>
      <c r="AK164" s="19">
        <f t="shared" si="4"/>
        <v>0</v>
      </c>
      <c r="AL164" s="19">
        <v>6674400</v>
      </c>
      <c r="AM164" s="19">
        <f t="shared" si="5"/>
        <v>7539600</v>
      </c>
      <c r="AN164" s="14"/>
      <c r="AO164" s="21">
        <f t="shared" si="6"/>
        <v>0</v>
      </c>
      <c r="AP164" s="14"/>
      <c r="AQ164" s="30">
        <v>43102</v>
      </c>
      <c r="AR164" s="14" t="s">
        <v>520</v>
      </c>
      <c r="AS164" s="30">
        <v>43102</v>
      </c>
      <c r="AT164" s="14" t="s">
        <v>521</v>
      </c>
      <c r="AU164" s="211"/>
    </row>
    <row r="165" spans="1:47" ht="409.5" x14ac:dyDescent="0.2">
      <c r="A165" s="1">
        <f t="shared" si="9"/>
        <v>22</v>
      </c>
      <c r="B165" s="2" t="str">
        <f t="shared" si="7"/>
        <v>208-22</v>
      </c>
      <c r="C165" s="3" t="s">
        <v>484</v>
      </c>
      <c r="D165" s="4" t="s">
        <v>485</v>
      </c>
      <c r="E165" s="22" t="s">
        <v>499</v>
      </c>
      <c r="F165" s="7" t="s">
        <v>511</v>
      </c>
      <c r="G165" s="22" t="s">
        <v>512</v>
      </c>
      <c r="H165" s="7" t="s">
        <v>513</v>
      </c>
      <c r="I165" s="7" t="s">
        <v>54</v>
      </c>
      <c r="J165" s="7" t="s">
        <v>55</v>
      </c>
      <c r="K165" s="1">
        <v>801116</v>
      </c>
      <c r="L165" s="7" t="s">
        <v>492</v>
      </c>
      <c r="M165" s="7" t="s">
        <v>493</v>
      </c>
      <c r="N165" s="7" t="s">
        <v>494</v>
      </c>
      <c r="O165" s="7" t="s">
        <v>504</v>
      </c>
      <c r="P165" s="23" t="s">
        <v>534</v>
      </c>
      <c r="Q165" s="62">
        <f t="shared" si="8"/>
        <v>2884000</v>
      </c>
      <c r="R165" s="24">
        <v>1</v>
      </c>
      <c r="S165" s="63">
        <v>33166000</v>
      </c>
      <c r="T165" s="11" t="s">
        <v>528</v>
      </c>
      <c r="U165" s="26" t="s">
        <v>58</v>
      </c>
      <c r="V165" s="26" t="s">
        <v>516</v>
      </c>
      <c r="W165" s="33">
        <v>11.5</v>
      </c>
      <c r="X165" s="14">
        <v>93</v>
      </c>
      <c r="Y165" s="27">
        <v>43102</v>
      </c>
      <c r="Z165" s="34">
        <v>33166000</v>
      </c>
      <c r="AA165" s="17"/>
      <c r="AB165" s="17">
        <v>43</v>
      </c>
      <c r="AC165" s="30">
        <v>43103</v>
      </c>
      <c r="AD165" s="19">
        <v>33166000</v>
      </c>
      <c r="AE165" s="19">
        <f t="shared" si="3"/>
        <v>0</v>
      </c>
      <c r="AF165" s="14">
        <v>185</v>
      </c>
      <c r="AG165" s="31">
        <v>43118</v>
      </c>
      <c r="AH165" s="19">
        <v>33166000</v>
      </c>
      <c r="AI165" s="1" t="s">
        <v>535</v>
      </c>
      <c r="AJ165" s="1">
        <v>136</v>
      </c>
      <c r="AK165" s="19">
        <f t="shared" si="4"/>
        <v>0</v>
      </c>
      <c r="AL165" s="19">
        <v>15573599.999999998</v>
      </c>
      <c r="AM165" s="19">
        <f t="shared" si="5"/>
        <v>17592400</v>
      </c>
      <c r="AN165" s="14"/>
      <c r="AO165" s="21">
        <f t="shared" si="6"/>
        <v>0</v>
      </c>
      <c r="AP165" s="14"/>
      <c r="AQ165" s="30">
        <v>43102</v>
      </c>
      <c r="AR165" s="14" t="s">
        <v>520</v>
      </c>
      <c r="AS165" s="30">
        <v>43102</v>
      </c>
      <c r="AT165" s="14" t="s">
        <v>521</v>
      </c>
      <c r="AU165" s="211"/>
    </row>
    <row r="166" spans="1:47" ht="344.25" x14ac:dyDescent="0.2">
      <c r="A166" s="1">
        <f t="shared" si="9"/>
        <v>23</v>
      </c>
      <c r="B166" s="2" t="str">
        <f t="shared" si="7"/>
        <v>208-23</v>
      </c>
      <c r="C166" s="3" t="s">
        <v>484</v>
      </c>
      <c r="D166" s="4" t="s">
        <v>485</v>
      </c>
      <c r="E166" s="5" t="s">
        <v>486</v>
      </c>
      <c r="F166" s="7" t="s">
        <v>511</v>
      </c>
      <c r="G166" s="22" t="s">
        <v>512</v>
      </c>
      <c r="H166" s="7" t="s">
        <v>513</v>
      </c>
      <c r="I166" s="7" t="s">
        <v>54</v>
      </c>
      <c r="J166" s="7" t="s">
        <v>55</v>
      </c>
      <c r="K166" s="1">
        <v>801116</v>
      </c>
      <c r="L166" s="7" t="s">
        <v>492</v>
      </c>
      <c r="M166" s="7" t="s">
        <v>493</v>
      </c>
      <c r="N166" s="7" t="s">
        <v>494</v>
      </c>
      <c r="O166" s="7" t="s">
        <v>504</v>
      </c>
      <c r="P166" s="23" t="s">
        <v>530</v>
      </c>
      <c r="Q166" s="62">
        <f t="shared" si="8"/>
        <v>1066050</v>
      </c>
      <c r="R166" s="24">
        <v>1</v>
      </c>
      <c r="S166" s="63">
        <v>12259575</v>
      </c>
      <c r="T166" s="11" t="s">
        <v>528</v>
      </c>
      <c r="U166" s="26" t="s">
        <v>58</v>
      </c>
      <c r="V166" s="26" t="s">
        <v>516</v>
      </c>
      <c r="W166" s="33">
        <v>11.5</v>
      </c>
      <c r="X166" s="14">
        <v>92</v>
      </c>
      <c r="Y166" s="27">
        <v>43102</v>
      </c>
      <c r="Z166" s="34">
        <v>12259575</v>
      </c>
      <c r="AA166" s="17"/>
      <c r="AB166" s="17">
        <v>42</v>
      </c>
      <c r="AC166" s="30">
        <v>43103</v>
      </c>
      <c r="AD166" s="19">
        <v>12259575</v>
      </c>
      <c r="AE166" s="19">
        <f t="shared" si="3"/>
        <v>0</v>
      </c>
      <c r="AF166" s="14">
        <v>329</v>
      </c>
      <c r="AG166" s="31">
        <v>43123</v>
      </c>
      <c r="AH166" s="19">
        <v>12259575</v>
      </c>
      <c r="AI166" s="1" t="s">
        <v>536</v>
      </c>
      <c r="AJ166" s="1">
        <v>288</v>
      </c>
      <c r="AK166" s="19">
        <f t="shared" si="4"/>
        <v>0</v>
      </c>
      <c r="AL166" s="19">
        <v>5614530</v>
      </c>
      <c r="AM166" s="19">
        <f t="shared" si="5"/>
        <v>6645045</v>
      </c>
      <c r="AN166" s="14"/>
      <c r="AO166" s="21">
        <f t="shared" si="6"/>
        <v>0</v>
      </c>
      <c r="AP166" s="14"/>
      <c r="AQ166" s="30">
        <v>43102</v>
      </c>
      <c r="AR166" s="14" t="s">
        <v>520</v>
      </c>
      <c r="AS166" s="30">
        <v>43102</v>
      </c>
      <c r="AT166" s="14" t="s">
        <v>521</v>
      </c>
      <c r="AU166" s="211"/>
    </row>
    <row r="167" spans="1:47" ht="331.5" x14ac:dyDescent="0.2">
      <c r="A167" s="1">
        <f t="shared" si="9"/>
        <v>24</v>
      </c>
      <c r="B167" s="2" t="str">
        <f t="shared" si="7"/>
        <v>208-24</v>
      </c>
      <c r="C167" s="3" t="s">
        <v>484</v>
      </c>
      <c r="D167" s="4" t="s">
        <v>485</v>
      </c>
      <c r="E167" s="22" t="s">
        <v>499</v>
      </c>
      <c r="F167" s="7" t="s">
        <v>511</v>
      </c>
      <c r="G167" s="22" t="s">
        <v>512</v>
      </c>
      <c r="H167" s="7" t="s">
        <v>513</v>
      </c>
      <c r="I167" s="7" t="s">
        <v>54</v>
      </c>
      <c r="J167" s="7" t="s">
        <v>55</v>
      </c>
      <c r="K167" s="1">
        <v>801116</v>
      </c>
      <c r="L167" s="7" t="s">
        <v>492</v>
      </c>
      <c r="M167" s="7" t="s">
        <v>493</v>
      </c>
      <c r="N167" s="7" t="s">
        <v>494</v>
      </c>
      <c r="O167" s="7" t="s">
        <v>504</v>
      </c>
      <c r="P167" s="23" t="s">
        <v>530</v>
      </c>
      <c r="Q167" s="62">
        <f t="shared" si="8"/>
        <v>2487450</v>
      </c>
      <c r="R167" s="24">
        <v>1</v>
      </c>
      <c r="S167" s="63">
        <v>28605675</v>
      </c>
      <c r="T167" s="11" t="s">
        <v>528</v>
      </c>
      <c r="U167" s="26" t="s">
        <v>58</v>
      </c>
      <c r="V167" s="26" t="s">
        <v>516</v>
      </c>
      <c r="W167" s="33">
        <v>11.5</v>
      </c>
      <c r="X167" s="14">
        <v>91</v>
      </c>
      <c r="Y167" s="27">
        <v>43102</v>
      </c>
      <c r="Z167" s="34">
        <v>28605675</v>
      </c>
      <c r="AA167" s="17"/>
      <c r="AB167" s="17">
        <v>42</v>
      </c>
      <c r="AC167" s="30">
        <v>43103</v>
      </c>
      <c r="AD167" s="19">
        <v>28605675</v>
      </c>
      <c r="AE167" s="19">
        <f t="shared" si="3"/>
        <v>0</v>
      </c>
      <c r="AF167" s="14">
        <v>329</v>
      </c>
      <c r="AG167" s="31">
        <v>43123</v>
      </c>
      <c r="AH167" s="19">
        <v>28605675</v>
      </c>
      <c r="AI167" s="1" t="s">
        <v>536</v>
      </c>
      <c r="AJ167" s="1">
        <v>288</v>
      </c>
      <c r="AK167" s="19">
        <f t="shared" si="4"/>
        <v>0</v>
      </c>
      <c r="AL167" s="19">
        <v>13100570</v>
      </c>
      <c r="AM167" s="19">
        <f t="shared" si="5"/>
        <v>15505105</v>
      </c>
      <c r="AN167" s="14"/>
      <c r="AO167" s="21">
        <f t="shared" si="6"/>
        <v>0</v>
      </c>
      <c r="AP167" s="14"/>
      <c r="AQ167" s="30">
        <v>43102</v>
      </c>
      <c r="AR167" s="14" t="s">
        <v>520</v>
      </c>
      <c r="AS167" s="30">
        <v>43102</v>
      </c>
      <c r="AT167" s="14" t="s">
        <v>521</v>
      </c>
      <c r="AU167" s="211"/>
    </row>
    <row r="168" spans="1:47" ht="409.5" x14ac:dyDescent="0.2">
      <c r="A168" s="1">
        <f t="shared" si="9"/>
        <v>25</v>
      </c>
      <c r="B168" s="2" t="str">
        <f t="shared" si="7"/>
        <v>208-25</v>
      </c>
      <c r="C168" s="3" t="s">
        <v>484</v>
      </c>
      <c r="D168" s="4" t="s">
        <v>485</v>
      </c>
      <c r="E168" s="5" t="s">
        <v>486</v>
      </c>
      <c r="F168" s="7" t="s">
        <v>511</v>
      </c>
      <c r="G168" s="22" t="s">
        <v>512</v>
      </c>
      <c r="H168" s="7" t="s">
        <v>513</v>
      </c>
      <c r="I168" s="7" t="s">
        <v>54</v>
      </c>
      <c r="J168" s="7" t="s">
        <v>55</v>
      </c>
      <c r="K168" s="1">
        <v>801116</v>
      </c>
      <c r="L168" s="7" t="s">
        <v>492</v>
      </c>
      <c r="M168" s="7" t="s">
        <v>493</v>
      </c>
      <c r="N168" s="7" t="s">
        <v>494</v>
      </c>
      <c r="O168" s="7" t="s">
        <v>504</v>
      </c>
      <c r="P168" s="23" t="s">
        <v>537</v>
      </c>
      <c r="Q168" s="62">
        <f t="shared" si="8"/>
        <v>998070</v>
      </c>
      <c r="R168" s="24">
        <v>1</v>
      </c>
      <c r="S168" s="63">
        <v>11477805</v>
      </c>
      <c r="T168" s="11" t="s">
        <v>528</v>
      </c>
      <c r="U168" s="26" t="s">
        <v>58</v>
      </c>
      <c r="V168" s="26" t="s">
        <v>516</v>
      </c>
      <c r="W168" s="33">
        <v>11.5</v>
      </c>
      <c r="X168" s="14">
        <v>90</v>
      </c>
      <c r="Y168" s="27">
        <v>43102</v>
      </c>
      <c r="Z168" s="34">
        <v>11477805</v>
      </c>
      <c r="AA168" s="17"/>
      <c r="AB168" s="17">
        <v>41</v>
      </c>
      <c r="AC168" s="30">
        <v>43103</v>
      </c>
      <c r="AD168" s="19">
        <v>11477805</v>
      </c>
      <c r="AE168" s="19">
        <f t="shared" si="3"/>
        <v>0</v>
      </c>
      <c r="AF168" s="14">
        <v>120</v>
      </c>
      <c r="AG168" s="31">
        <v>43117</v>
      </c>
      <c r="AH168" s="19">
        <v>11477805</v>
      </c>
      <c r="AI168" s="1" t="s">
        <v>538</v>
      </c>
      <c r="AJ168" s="1">
        <v>99</v>
      </c>
      <c r="AK168" s="19">
        <f t="shared" si="4"/>
        <v>0</v>
      </c>
      <c r="AL168" s="212">
        <v>5422846.7999999998</v>
      </c>
      <c r="AM168" s="19">
        <f t="shared" si="5"/>
        <v>6054958.2000000002</v>
      </c>
      <c r="AN168" s="14"/>
      <c r="AO168" s="21">
        <f t="shared" si="6"/>
        <v>0</v>
      </c>
      <c r="AP168" s="14"/>
      <c r="AQ168" s="30">
        <v>43102</v>
      </c>
      <c r="AR168" s="14" t="s">
        <v>520</v>
      </c>
      <c r="AS168" s="30">
        <v>43102</v>
      </c>
      <c r="AT168" s="14" t="s">
        <v>521</v>
      </c>
      <c r="AU168" s="211"/>
    </row>
    <row r="169" spans="1:47" ht="409.5" x14ac:dyDescent="0.2">
      <c r="A169" s="1">
        <f t="shared" si="9"/>
        <v>26</v>
      </c>
      <c r="B169" s="2" t="str">
        <f t="shared" si="7"/>
        <v>208-26</v>
      </c>
      <c r="C169" s="3" t="s">
        <v>484</v>
      </c>
      <c r="D169" s="4" t="s">
        <v>485</v>
      </c>
      <c r="E169" s="22" t="s">
        <v>499</v>
      </c>
      <c r="F169" s="7" t="s">
        <v>511</v>
      </c>
      <c r="G169" s="22" t="s">
        <v>512</v>
      </c>
      <c r="H169" s="7" t="s">
        <v>513</v>
      </c>
      <c r="I169" s="7" t="s">
        <v>54</v>
      </c>
      <c r="J169" s="7" t="s">
        <v>55</v>
      </c>
      <c r="K169" s="1">
        <v>801116</v>
      </c>
      <c r="L169" s="7" t="s">
        <v>492</v>
      </c>
      <c r="M169" s="7" t="s">
        <v>493</v>
      </c>
      <c r="N169" s="7" t="s">
        <v>494</v>
      </c>
      <c r="O169" s="7" t="s">
        <v>504</v>
      </c>
      <c r="P169" s="23" t="s">
        <v>537</v>
      </c>
      <c r="Q169" s="62">
        <f t="shared" si="8"/>
        <v>2328830</v>
      </c>
      <c r="R169" s="24">
        <v>1</v>
      </c>
      <c r="S169" s="63">
        <v>26781545</v>
      </c>
      <c r="T169" s="11" t="s">
        <v>528</v>
      </c>
      <c r="U169" s="26" t="s">
        <v>58</v>
      </c>
      <c r="V169" s="26" t="s">
        <v>516</v>
      </c>
      <c r="W169" s="33">
        <v>11.5</v>
      </c>
      <c r="X169" s="14">
        <v>89</v>
      </c>
      <c r="Y169" s="27">
        <v>43102</v>
      </c>
      <c r="Z169" s="34">
        <v>26781545</v>
      </c>
      <c r="AA169" s="17"/>
      <c r="AB169" s="17">
        <v>41</v>
      </c>
      <c r="AC169" s="30">
        <v>43103</v>
      </c>
      <c r="AD169" s="19">
        <v>26781545</v>
      </c>
      <c r="AE169" s="19">
        <f t="shared" si="3"/>
        <v>0</v>
      </c>
      <c r="AF169" s="14">
        <v>120</v>
      </c>
      <c r="AG169" s="31">
        <v>43117</v>
      </c>
      <c r="AH169" s="19">
        <v>26781545</v>
      </c>
      <c r="AI169" s="1" t="s">
        <v>538</v>
      </c>
      <c r="AJ169" s="1">
        <v>99</v>
      </c>
      <c r="AK169" s="19">
        <f t="shared" si="4"/>
        <v>0</v>
      </c>
      <c r="AL169" s="19">
        <v>12653309.199999999</v>
      </c>
      <c r="AM169" s="19">
        <f t="shared" si="5"/>
        <v>14128235.800000001</v>
      </c>
      <c r="AN169" s="14"/>
      <c r="AO169" s="21">
        <f t="shared" si="6"/>
        <v>0</v>
      </c>
      <c r="AP169" s="14"/>
      <c r="AQ169" s="30">
        <v>43102</v>
      </c>
      <c r="AR169" s="14" t="s">
        <v>520</v>
      </c>
      <c r="AS169" s="30">
        <v>43102</v>
      </c>
      <c r="AT169" s="14" t="s">
        <v>521</v>
      </c>
      <c r="AU169" s="211"/>
    </row>
    <row r="170" spans="1:47" ht="344.25" x14ac:dyDescent="0.2">
      <c r="A170" s="1">
        <f t="shared" si="9"/>
        <v>27</v>
      </c>
      <c r="B170" s="2" t="str">
        <f t="shared" si="7"/>
        <v>208-27</v>
      </c>
      <c r="C170" s="3" t="s">
        <v>484</v>
      </c>
      <c r="D170" s="4" t="s">
        <v>485</v>
      </c>
      <c r="E170" s="5" t="s">
        <v>486</v>
      </c>
      <c r="F170" s="7" t="s">
        <v>511</v>
      </c>
      <c r="G170" s="22" t="s">
        <v>512</v>
      </c>
      <c r="H170" s="7" t="s">
        <v>513</v>
      </c>
      <c r="I170" s="7" t="s">
        <v>54</v>
      </c>
      <c r="J170" s="7" t="s">
        <v>55</v>
      </c>
      <c r="K170" s="1">
        <v>801116</v>
      </c>
      <c r="L170" s="7" t="s">
        <v>492</v>
      </c>
      <c r="M170" s="7" t="s">
        <v>493</v>
      </c>
      <c r="N170" s="7" t="s">
        <v>494</v>
      </c>
      <c r="O170" s="7" t="s">
        <v>504</v>
      </c>
      <c r="P170" s="23" t="s">
        <v>539</v>
      </c>
      <c r="Q170" s="62">
        <f t="shared" si="8"/>
        <v>741600</v>
      </c>
      <c r="R170" s="24">
        <v>1</v>
      </c>
      <c r="S170" s="63">
        <v>8528400</v>
      </c>
      <c r="T170" s="11" t="s">
        <v>528</v>
      </c>
      <c r="U170" s="26" t="s">
        <v>58</v>
      </c>
      <c r="V170" s="26" t="s">
        <v>516</v>
      </c>
      <c r="W170" s="33">
        <v>11.5</v>
      </c>
      <c r="X170" s="14">
        <v>88</v>
      </c>
      <c r="Y170" s="27">
        <v>43102</v>
      </c>
      <c r="Z170" s="34">
        <v>8528400</v>
      </c>
      <c r="AA170" s="17"/>
      <c r="AB170" s="17">
        <v>39</v>
      </c>
      <c r="AC170" s="30">
        <v>43103</v>
      </c>
      <c r="AD170" s="19">
        <v>8528400</v>
      </c>
      <c r="AE170" s="19">
        <f t="shared" si="3"/>
        <v>0</v>
      </c>
      <c r="AF170" s="14">
        <v>119</v>
      </c>
      <c r="AG170" s="31">
        <v>43117</v>
      </c>
      <c r="AH170" s="19">
        <v>8528400</v>
      </c>
      <c r="AI170" s="1" t="s">
        <v>540</v>
      </c>
      <c r="AJ170" s="1">
        <v>98</v>
      </c>
      <c r="AK170" s="19">
        <f t="shared" si="4"/>
        <v>0</v>
      </c>
      <c r="AL170" s="19">
        <v>4029360</v>
      </c>
      <c r="AM170" s="19">
        <f t="shared" si="5"/>
        <v>4499040</v>
      </c>
      <c r="AN170" s="14"/>
      <c r="AO170" s="21">
        <f t="shared" si="6"/>
        <v>0</v>
      </c>
      <c r="AP170" s="14"/>
      <c r="AQ170" s="30">
        <v>43102</v>
      </c>
      <c r="AR170" s="14" t="s">
        <v>520</v>
      </c>
      <c r="AS170" s="30">
        <v>43102</v>
      </c>
      <c r="AT170" s="14" t="s">
        <v>521</v>
      </c>
      <c r="AU170" s="211"/>
    </row>
    <row r="171" spans="1:47" ht="331.5" x14ac:dyDescent="0.2">
      <c r="A171" s="1">
        <f t="shared" si="9"/>
        <v>28</v>
      </c>
      <c r="B171" s="2" t="str">
        <f t="shared" si="7"/>
        <v>208-28</v>
      </c>
      <c r="C171" s="3" t="s">
        <v>484</v>
      </c>
      <c r="D171" s="4" t="s">
        <v>485</v>
      </c>
      <c r="E171" s="22" t="s">
        <v>499</v>
      </c>
      <c r="F171" s="7" t="s">
        <v>511</v>
      </c>
      <c r="G171" s="22" t="s">
        <v>512</v>
      </c>
      <c r="H171" s="7" t="s">
        <v>513</v>
      </c>
      <c r="I171" s="7" t="s">
        <v>54</v>
      </c>
      <c r="J171" s="7" t="s">
        <v>55</v>
      </c>
      <c r="K171" s="1">
        <v>801116</v>
      </c>
      <c r="L171" s="7" t="s">
        <v>492</v>
      </c>
      <c r="M171" s="7" t="s">
        <v>493</v>
      </c>
      <c r="N171" s="7" t="s">
        <v>494</v>
      </c>
      <c r="O171" s="7" t="s">
        <v>504</v>
      </c>
      <c r="P171" s="23" t="s">
        <v>539</v>
      </c>
      <c r="Q171" s="62">
        <f t="shared" si="8"/>
        <v>1730400</v>
      </c>
      <c r="R171" s="24">
        <v>1</v>
      </c>
      <c r="S171" s="63">
        <v>19899600</v>
      </c>
      <c r="T171" s="11" t="s">
        <v>528</v>
      </c>
      <c r="U171" s="26" t="s">
        <v>58</v>
      </c>
      <c r="V171" s="26" t="s">
        <v>516</v>
      </c>
      <c r="W171" s="33">
        <v>11.5</v>
      </c>
      <c r="X171" s="14">
        <v>87</v>
      </c>
      <c r="Y171" s="27">
        <v>43102</v>
      </c>
      <c r="Z171" s="34">
        <v>19899600</v>
      </c>
      <c r="AA171" s="17"/>
      <c r="AB171" s="17">
        <v>39</v>
      </c>
      <c r="AC171" s="30">
        <v>43103</v>
      </c>
      <c r="AD171" s="19">
        <v>19899600</v>
      </c>
      <c r="AE171" s="19">
        <f t="shared" si="3"/>
        <v>0</v>
      </c>
      <c r="AF171" s="14">
        <v>119</v>
      </c>
      <c r="AG171" s="31">
        <v>43117</v>
      </c>
      <c r="AH171" s="19">
        <v>19899600</v>
      </c>
      <c r="AI171" s="1" t="s">
        <v>540</v>
      </c>
      <c r="AJ171" s="1">
        <v>98</v>
      </c>
      <c r="AK171" s="19">
        <f t="shared" si="4"/>
        <v>0</v>
      </c>
      <c r="AL171" s="19">
        <v>9401840</v>
      </c>
      <c r="AM171" s="19">
        <f t="shared" si="5"/>
        <v>10497760</v>
      </c>
      <c r="AN171" s="14"/>
      <c r="AO171" s="21">
        <f t="shared" si="6"/>
        <v>0</v>
      </c>
      <c r="AP171" s="14"/>
      <c r="AQ171" s="30">
        <v>43102</v>
      </c>
      <c r="AR171" s="14" t="s">
        <v>520</v>
      </c>
      <c r="AS171" s="30">
        <v>43102</v>
      </c>
      <c r="AT171" s="14" t="s">
        <v>521</v>
      </c>
      <c r="AU171" s="211"/>
    </row>
    <row r="172" spans="1:47" ht="395.25" x14ac:dyDescent="0.2">
      <c r="A172" s="1">
        <f t="shared" si="9"/>
        <v>29</v>
      </c>
      <c r="B172" s="2" t="str">
        <f t="shared" si="7"/>
        <v>208-29</v>
      </c>
      <c r="C172" s="3" t="s">
        <v>484</v>
      </c>
      <c r="D172" s="4" t="s">
        <v>485</v>
      </c>
      <c r="E172" s="5" t="s">
        <v>486</v>
      </c>
      <c r="F172" s="7" t="s">
        <v>511</v>
      </c>
      <c r="G172" s="22" t="s">
        <v>512</v>
      </c>
      <c r="H172" s="7" t="s">
        <v>513</v>
      </c>
      <c r="I172" s="7" t="s">
        <v>54</v>
      </c>
      <c r="J172" s="7" t="s">
        <v>55</v>
      </c>
      <c r="K172" s="1">
        <v>801116</v>
      </c>
      <c r="L172" s="7" t="s">
        <v>492</v>
      </c>
      <c r="M172" s="7" t="s">
        <v>493</v>
      </c>
      <c r="N172" s="7" t="s">
        <v>494</v>
      </c>
      <c r="O172" s="7" t="s">
        <v>504</v>
      </c>
      <c r="P172" s="23" t="s">
        <v>541</v>
      </c>
      <c r="Q172" s="62">
        <f t="shared" si="8"/>
        <v>1500000</v>
      </c>
      <c r="R172" s="24">
        <v>1</v>
      </c>
      <c r="S172" s="63">
        <f>24874500-7624500</f>
        <v>17250000</v>
      </c>
      <c r="T172" s="11" t="s">
        <v>528</v>
      </c>
      <c r="U172" s="26" t="s">
        <v>58</v>
      </c>
      <c r="V172" s="26" t="s">
        <v>516</v>
      </c>
      <c r="W172" s="33">
        <v>11.5</v>
      </c>
      <c r="X172" s="14" t="s">
        <v>542</v>
      </c>
      <c r="Y172" s="27">
        <v>43118</v>
      </c>
      <c r="Z172" s="34">
        <v>17250000</v>
      </c>
      <c r="AA172" s="17"/>
      <c r="AB172" s="17">
        <v>530</v>
      </c>
      <c r="AC172" s="30">
        <v>43118</v>
      </c>
      <c r="AD172" s="19">
        <f>24874500-7624500</f>
        <v>17250000</v>
      </c>
      <c r="AE172" s="19">
        <f t="shared" si="3"/>
        <v>0</v>
      </c>
      <c r="AF172" s="14">
        <v>332</v>
      </c>
      <c r="AG172" s="31">
        <v>43123</v>
      </c>
      <c r="AH172" s="19">
        <f>24874500-7624500</f>
        <v>17250000</v>
      </c>
      <c r="AI172" s="1" t="s">
        <v>543</v>
      </c>
      <c r="AJ172" s="1">
        <v>282</v>
      </c>
      <c r="AK172" s="19">
        <f t="shared" si="4"/>
        <v>0</v>
      </c>
      <c r="AL172" s="19">
        <v>7550000.0999999996</v>
      </c>
      <c r="AM172" s="19">
        <f t="shared" si="5"/>
        <v>9699999.9000000004</v>
      </c>
      <c r="AN172" s="14"/>
      <c r="AO172" s="21">
        <f t="shared" si="6"/>
        <v>0</v>
      </c>
      <c r="AP172" s="14"/>
      <c r="AQ172" s="30">
        <v>43118</v>
      </c>
      <c r="AR172" s="14" t="s">
        <v>520</v>
      </c>
      <c r="AS172" s="30">
        <v>43118</v>
      </c>
      <c r="AT172" s="14" t="s">
        <v>521</v>
      </c>
      <c r="AU172" s="211"/>
    </row>
    <row r="173" spans="1:47" ht="395.25" x14ac:dyDescent="0.2">
      <c r="A173" s="1">
        <f t="shared" si="9"/>
        <v>30</v>
      </c>
      <c r="B173" s="2" t="str">
        <f t="shared" si="7"/>
        <v>208-30</v>
      </c>
      <c r="C173" s="3" t="s">
        <v>484</v>
      </c>
      <c r="D173" s="4" t="s">
        <v>485</v>
      </c>
      <c r="E173" s="22" t="s">
        <v>499</v>
      </c>
      <c r="F173" s="7" t="s">
        <v>511</v>
      </c>
      <c r="G173" s="22" t="s">
        <v>512</v>
      </c>
      <c r="H173" s="7" t="s">
        <v>513</v>
      </c>
      <c r="I173" s="7" t="s">
        <v>54</v>
      </c>
      <c r="J173" s="7" t="s">
        <v>55</v>
      </c>
      <c r="K173" s="1">
        <v>801116</v>
      </c>
      <c r="L173" s="7" t="s">
        <v>492</v>
      </c>
      <c r="M173" s="7" t="s">
        <v>493</v>
      </c>
      <c r="N173" s="7" t="s">
        <v>494</v>
      </c>
      <c r="O173" s="7" t="s">
        <v>504</v>
      </c>
      <c r="P173" s="23" t="s">
        <v>541</v>
      </c>
      <c r="Q173" s="62">
        <f t="shared" si="8"/>
        <v>3500000</v>
      </c>
      <c r="R173" s="24">
        <v>1</v>
      </c>
      <c r="S173" s="63">
        <f>58040500-17790500</f>
        <v>40250000</v>
      </c>
      <c r="T173" s="11" t="s">
        <v>528</v>
      </c>
      <c r="U173" s="26" t="s">
        <v>58</v>
      </c>
      <c r="V173" s="26" t="s">
        <v>516</v>
      </c>
      <c r="W173" s="33">
        <v>11.5</v>
      </c>
      <c r="X173" s="14" t="s">
        <v>544</v>
      </c>
      <c r="Y173" s="27">
        <v>43118</v>
      </c>
      <c r="Z173" s="34">
        <v>40250000</v>
      </c>
      <c r="AA173" s="17"/>
      <c r="AB173" s="17">
        <v>530</v>
      </c>
      <c r="AC173" s="30">
        <v>43118</v>
      </c>
      <c r="AD173" s="19">
        <f>58040500-17790500</f>
        <v>40250000</v>
      </c>
      <c r="AE173" s="19">
        <f t="shared" si="3"/>
        <v>0</v>
      </c>
      <c r="AF173" s="14">
        <v>332</v>
      </c>
      <c r="AG173" s="31">
        <v>43123</v>
      </c>
      <c r="AH173" s="19">
        <f>58040500-17790500</f>
        <v>40250000</v>
      </c>
      <c r="AI173" s="1" t="s">
        <v>543</v>
      </c>
      <c r="AJ173" s="1">
        <v>282</v>
      </c>
      <c r="AK173" s="19">
        <f t="shared" si="4"/>
        <v>0</v>
      </c>
      <c r="AL173" s="19">
        <v>17616666.899999999</v>
      </c>
      <c r="AM173" s="19">
        <f t="shared" si="5"/>
        <v>22633333.100000001</v>
      </c>
      <c r="AN173" s="14"/>
      <c r="AO173" s="21">
        <f t="shared" si="6"/>
        <v>0</v>
      </c>
      <c r="AP173" s="14"/>
      <c r="AQ173" s="30">
        <v>43118</v>
      </c>
      <c r="AR173" s="14" t="s">
        <v>520</v>
      </c>
      <c r="AS173" s="30">
        <v>43118</v>
      </c>
      <c r="AT173" s="14" t="s">
        <v>521</v>
      </c>
      <c r="AU173" s="211"/>
    </row>
    <row r="174" spans="1:47" ht="344.25" x14ac:dyDescent="0.2">
      <c r="A174" s="1">
        <f t="shared" si="9"/>
        <v>31</v>
      </c>
      <c r="B174" s="2" t="str">
        <f t="shared" si="7"/>
        <v>208-31</v>
      </c>
      <c r="C174" s="3" t="s">
        <v>484</v>
      </c>
      <c r="D174" s="4" t="s">
        <v>485</v>
      </c>
      <c r="E174" s="5" t="s">
        <v>486</v>
      </c>
      <c r="F174" s="7" t="s">
        <v>511</v>
      </c>
      <c r="G174" s="22" t="s">
        <v>512</v>
      </c>
      <c r="H174" s="7" t="s">
        <v>513</v>
      </c>
      <c r="I174" s="7" t="s">
        <v>54</v>
      </c>
      <c r="J174" s="7" t="s">
        <v>55</v>
      </c>
      <c r="K174" s="1">
        <v>801116</v>
      </c>
      <c r="L174" s="7" t="s">
        <v>492</v>
      </c>
      <c r="M174" s="7" t="s">
        <v>493</v>
      </c>
      <c r="N174" s="7" t="s">
        <v>494</v>
      </c>
      <c r="O174" s="7" t="s">
        <v>504</v>
      </c>
      <c r="P174" s="23" t="s">
        <v>545</v>
      </c>
      <c r="Q174" s="62">
        <f t="shared" si="8"/>
        <v>0</v>
      </c>
      <c r="R174" s="24">
        <v>1</v>
      </c>
      <c r="S174" s="63">
        <f>17376615-17376615</f>
        <v>0</v>
      </c>
      <c r="T174" s="11" t="s">
        <v>528</v>
      </c>
      <c r="U174" s="26" t="s">
        <v>58</v>
      </c>
      <c r="V174" s="26" t="s">
        <v>516</v>
      </c>
      <c r="W174" s="33">
        <v>11.5</v>
      </c>
      <c r="X174" s="14" t="s">
        <v>546</v>
      </c>
      <c r="Y174" s="27"/>
      <c r="Z174" s="34"/>
      <c r="AA174" s="17"/>
      <c r="AB174" s="17"/>
      <c r="AC174" s="18"/>
      <c r="AD174" s="19"/>
      <c r="AE174" s="19">
        <f t="shared" si="3"/>
        <v>0</v>
      </c>
      <c r="AF174" s="14"/>
      <c r="AG174" s="20"/>
      <c r="AH174" s="19"/>
      <c r="AI174" s="1"/>
      <c r="AJ174" s="1"/>
      <c r="AK174" s="19">
        <f t="shared" si="4"/>
        <v>0</v>
      </c>
      <c r="AL174" s="19"/>
      <c r="AM174" s="19">
        <f t="shared" si="5"/>
        <v>0</v>
      </c>
      <c r="AN174" s="14"/>
      <c r="AO174" s="21">
        <f t="shared" si="6"/>
        <v>0</v>
      </c>
      <c r="AP174" s="14"/>
      <c r="AQ174" s="30"/>
      <c r="AR174" s="14"/>
      <c r="AS174" s="30"/>
      <c r="AT174" s="14"/>
      <c r="AU174" s="211"/>
    </row>
    <row r="175" spans="1:47" ht="331.5" x14ac:dyDescent="0.2">
      <c r="A175" s="1">
        <f t="shared" si="9"/>
        <v>32</v>
      </c>
      <c r="B175" s="2" t="str">
        <f t="shared" si="7"/>
        <v>208-32</v>
      </c>
      <c r="C175" s="3" t="s">
        <v>484</v>
      </c>
      <c r="D175" s="4" t="s">
        <v>485</v>
      </c>
      <c r="E175" s="22" t="s">
        <v>499</v>
      </c>
      <c r="F175" s="7" t="s">
        <v>511</v>
      </c>
      <c r="G175" s="22" t="s">
        <v>512</v>
      </c>
      <c r="H175" s="7" t="s">
        <v>513</v>
      </c>
      <c r="I175" s="7" t="s">
        <v>54</v>
      </c>
      <c r="J175" s="7" t="s">
        <v>55</v>
      </c>
      <c r="K175" s="1">
        <v>801116</v>
      </c>
      <c r="L175" s="7" t="s">
        <v>492</v>
      </c>
      <c r="M175" s="7" t="s">
        <v>493</v>
      </c>
      <c r="N175" s="7" t="s">
        <v>494</v>
      </c>
      <c r="O175" s="7" t="s">
        <v>504</v>
      </c>
      <c r="P175" s="23" t="s">
        <v>545</v>
      </c>
      <c r="Q175" s="62">
        <f t="shared" si="8"/>
        <v>0</v>
      </c>
      <c r="R175" s="24">
        <v>1</v>
      </c>
      <c r="S175" s="63">
        <f>40545435-40545435</f>
        <v>0</v>
      </c>
      <c r="T175" s="11" t="s">
        <v>528</v>
      </c>
      <c r="U175" s="26" t="s">
        <v>58</v>
      </c>
      <c r="V175" s="26" t="s">
        <v>516</v>
      </c>
      <c r="W175" s="33">
        <v>11.5</v>
      </c>
      <c r="X175" s="14" t="s">
        <v>547</v>
      </c>
      <c r="Y175" s="27"/>
      <c r="Z175" s="34"/>
      <c r="AA175" s="17"/>
      <c r="AB175" s="17"/>
      <c r="AC175" s="18"/>
      <c r="AD175" s="19"/>
      <c r="AE175" s="19">
        <f t="shared" si="3"/>
        <v>0</v>
      </c>
      <c r="AF175" s="14"/>
      <c r="AG175" s="20"/>
      <c r="AH175" s="19"/>
      <c r="AI175" s="1"/>
      <c r="AJ175" s="1"/>
      <c r="AK175" s="19">
        <f t="shared" si="4"/>
        <v>0</v>
      </c>
      <c r="AL175" s="19"/>
      <c r="AM175" s="19">
        <f t="shared" si="5"/>
        <v>0</v>
      </c>
      <c r="AN175" s="14"/>
      <c r="AO175" s="21">
        <f t="shared" si="6"/>
        <v>0</v>
      </c>
      <c r="AP175" s="14"/>
      <c r="AQ175" s="30"/>
      <c r="AR175" s="14"/>
      <c r="AS175" s="30"/>
      <c r="AT175" s="14"/>
      <c r="AU175" s="211"/>
    </row>
    <row r="176" spans="1:47" ht="344.25" x14ac:dyDescent="0.2">
      <c r="A176" s="1">
        <f t="shared" si="9"/>
        <v>33</v>
      </c>
      <c r="B176" s="2" t="str">
        <f t="shared" si="7"/>
        <v>208-33</v>
      </c>
      <c r="C176" s="3" t="s">
        <v>484</v>
      </c>
      <c r="D176" s="4" t="s">
        <v>485</v>
      </c>
      <c r="E176" s="5" t="s">
        <v>486</v>
      </c>
      <c r="F176" s="7" t="s">
        <v>511</v>
      </c>
      <c r="G176" s="22" t="s">
        <v>512</v>
      </c>
      <c r="H176" s="7" t="s">
        <v>513</v>
      </c>
      <c r="I176" s="7" t="s">
        <v>54</v>
      </c>
      <c r="J176" s="7" t="s">
        <v>55</v>
      </c>
      <c r="K176" s="1">
        <v>801116</v>
      </c>
      <c r="L176" s="7" t="s">
        <v>492</v>
      </c>
      <c r="M176" s="7" t="s">
        <v>493</v>
      </c>
      <c r="N176" s="7" t="s">
        <v>494</v>
      </c>
      <c r="O176" s="7" t="s">
        <v>504</v>
      </c>
      <c r="P176" s="23" t="s">
        <v>545</v>
      </c>
      <c r="Q176" s="62">
        <f t="shared" si="8"/>
        <v>1699500</v>
      </c>
      <c r="R176" s="24">
        <v>1</v>
      </c>
      <c r="S176" s="63">
        <v>19544250</v>
      </c>
      <c r="T176" s="11" t="s">
        <v>528</v>
      </c>
      <c r="U176" s="26" t="s">
        <v>58</v>
      </c>
      <c r="V176" s="26" t="s">
        <v>516</v>
      </c>
      <c r="W176" s="33">
        <v>11.5</v>
      </c>
      <c r="X176" s="14">
        <v>82</v>
      </c>
      <c r="Y176" s="27">
        <v>43102</v>
      </c>
      <c r="Z176" s="34">
        <v>19544250</v>
      </c>
      <c r="AA176" s="17"/>
      <c r="AB176" s="17">
        <v>35</v>
      </c>
      <c r="AC176" s="30">
        <v>43103</v>
      </c>
      <c r="AD176" s="19">
        <v>19544250</v>
      </c>
      <c r="AE176" s="19">
        <f t="shared" si="3"/>
        <v>0</v>
      </c>
      <c r="AF176" s="14">
        <v>79</v>
      </c>
      <c r="AG176" s="31">
        <v>43116</v>
      </c>
      <c r="AH176" s="19">
        <v>19544250</v>
      </c>
      <c r="AI176" s="1" t="s">
        <v>548</v>
      </c>
      <c r="AJ176" s="1">
        <v>65</v>
      </c>
      <c r="AK176" s="19">
        <f t="shared" si="4"/>
        <v>0</v>
      </c>
      <c r="AL176" s="19">
        <v>9290600.0999999996</v>
      </c>
      <c r="AM176" s="19">
        <f t="shared" si="5"/>
        <v>10253649.9</v>
      </c>
      <c r="AN176" s="14"/>
      <c r="AO176" s="21">
        <f t="shared" si="6"/>
        <v>0</v>
      </c>
      <c r="AP176" s="14"/>
      <c r="AQ176" s="30">
        <v>43102</v>
      </c>
      <c r="AR176" s="14" t="s">
        <v>520</v>
      </c>
      <c r="AS176" s="30">
        <v>43102</v>
      </c>
      <c r="AT176" s="14" t="s">
        <v>521</v>
      </c>
      <c r="AU176" s="211"/>
    </row>
    <row r="177" spans="1:47" ht="331.5" x14ac:dyDescent="0.2">
      <c r="A177" s="1">
        <f t="shared" si="9"/>
        <v>34</v>
      </c>
      <c r="B177" s="2" t="str">
        <f t="shared" si="7"/>
        <v>208-34</v>
      </c>
      <c r="C177" s="3" t="s">
        <v>484</v>
      </c>
      <c r="D177" s="4" t="s">
        <v>485</v>
      </c>
      <c r="E177" s="22" t="s">
        <v>499</v>
      </c>
      <c r="F177" s="7" t="s">
        <v>511</v>
      </c>
      <c r="G177" s="22" t="s">
        <v>512</v>
      </c>
      <c r="H177" s="7" t="s">
        <v>513</v>
      </c>
      <c r="I177" s="7" t="s">
        <v>54</v>
      </c>
      <c r="J177" s="7" t="s">
        <v>55</v>
      </c>
      <c r="K177" s="1">
        <v>801116</v>
      </c>
      <c r="L177" s="7" t="s">
        <v>492</v>
      </c>
      <c r="M177" s="7" t="s">
        <v>493</v>
      </c>
      <c r="N177" s="7" t="s">
        <v>494</v>
      </c>
      <c r="O177" s="7" t="s">
        <v>504</v>
      </c>
      <c r="P177" s="23" t="s">
        <v>545</v>
      </c>
      <c r="Q177" s="62">
        <f t="shared" si="8"/>
        <v>3965499.9999999995</v>
      </c>
      <c r="R177" s="24">
        <v>1</v>
      </c>
      <c r="S177" s="63">
        <v>45603249.999999993</v>
      </c>
      <c r="T177" s="11" t="s">
        <v>528</v>
      </c>
      <c r="U177" s="26" t="s">
        <v>58</v>
      </c>
      <c r="V177" s="26" t="s">
        <v>516</v>
      </c>
      <c r="W177" s="33">
        <v>11.5</v>
      </c>
      <c r="X177" s="14">
        <v>81</v>
      </c>
      <c r="Y177" s="27">
        <v>43102</v>
      </c>
      <c r="Z177" s="34">
        <v>45603249.999999993</v>
      </c>
      <c r="AA177" s="17"/>
      <c r="AB177" s="17">
        <v>35</v>
      </c>
      <c r="AC177" s="30">
        <v>43103</v>
      </c>
      <c r="AD177" s="19">
        <v>45603249.999999993</v>
      </c>
      <c r="AE177" s="19">
        <f t="shared" si="3"/>
        <v>0</v>
      </c>
      <c r="AF177" s="14">
        <v>79</v>
      </c>
      <c r="AG177" s="31">
        <v>43116</v>
      </c>
      <c r="AH177" s="19">
        <v>45603249.999999993</v>
      </c>
      <c r="AI177" s="1" t="s">
        <v>548</v>
      </c>
      <c r="AJ177" s="1">
        <v>65</v>
      </c>
      <c r="AK177" s="19">
        <f t="shared" si="4"/>
        <v>0</v>
      </c>
      <c r="AL177" s="19">
        <v>21678066.899999999</v>
      </c>
      <c r="AM177" s="19">
        <f t="shared" si="5"/>
        <v>23925183.099999994</v>
      </c>
      <c r="AN177" s="14"/>
      <c r="AO177" s="21">
        <f t="shared" si="6"/>
        <v>0</v>
      </c>
      <c r="AP177" s="14"/>
      <c r="AQ177" s="30">
        <v>43102</v>
      </c>
      <c r="AR177" s="14" t="s">
        <v>520</v>
      </c>
      <c r="AS177" s="30">
        <v>43102</v>
      </c>
      <c r="AT177" s="14" t="s">
        <v>521</v>
      </c>
      <c r="AU177" s="211"/>
    </row>
    <row r="178" spans="1:47" ht="344.25" x14ac:dyDescent="0.2">
      <c r="A178" s="1">
        <f t="shared" si="9"/>
        <v>35</v>
      </c>
      <c r="B178" s="2" t="str">
        <f t="shared" si="7"/>
        <v>208-35</v>
      </c>
      <c r="C178" s="3" t="s">
        <v>484</v>
      </c>
      <c r="D178" s="4" t="s">
        <v>485</v>
      </c>
      <c r="E178" s="5" t="s">
        <v>486</v>
      </c>
      <c r="F178" s="7" t="s">
        <v>511</v>
      </c>
      <c r="G178" s="22" t="s">
        <v>512</v>
      </c>
      <c r="H178" s="7" t="s">
        <v>513</v>
      </c>
      <c r="I178" s="7" t="s">
        <v>54</v>
      </c>
      <c r="J178" s="7" t="s">
        <v>55</v>
      </c>
      <c r="K178" s="1">
        <v>801116</v>
      </c>
      <c r="L178" s="7" t="s">
        <v>492</v>
      </c>
      <c r="M178" s="7" t="s">
        <v>493</v>
      </c>
      <c r="N178" s="7" t="s">
        <v>494</v>
      </c>
      <c r="O178" s="7" t="s">
        <v>504</v>
      </c>
      <c r="P178" s="23" t="s">
        <v>545</v>
      </c>
      <c r="Q178" s="62">
        <f t="shared" si="8"/>
        <v>0</v>
      </c>
      <c r="R178" s="24">
        <v>1</v>
      </c>
      <c r="S178" s="63">
        <f>17376615-17376615</f>
        <v>0</v>
      </c>
      <c r="T178" s="11" t="s">
        <v>528</v>
      </c>
      <c r="U178" s="26" t="s">
        <v>58</v>
      </c>
      <c r="V178" s="26" t="s">
        <v>516</v>
      </c>
      <c r="W178" s="33">
        <v>11.5</v>
      </c>
      <c r="X178" s="14" t="s">
        <v>549</v>
      </c>
      <c r="Y178" s="27"/>
      <c r="Z178" s="34"/>
      <c r="AA178" s="17"/>
      <c r="AB178" s="17"/>
      <c r="AC178" s="18"/>
      <c r="AD178" s="19"/>
      <c r="AE178" s="19">
        <f t="shared" si="3"/>
        <v>0</v>
      </c>
      <c r="AF178" s="14"/>
      <c r="AG178" s="20"/>
      <c r="AH178" s="19"/>
      <c r="AI178" s="1"/>
      <c r="AJ178" s="1"/>
      <c r="AK178" s="19">
        <f t="shared" si="4"/>
        <v>0</v>
      </c>
      <c r="AL178" s="19"/>
      <c r="AM178" s="19">
        <f t="shared" si="5"/>
        <v>0</v>
      </c>
      <c r="AN178" s="14"/>
      <c r="AO178" s="21">
        <f t="shared" si="6"/>
        <v>0</v>
      </c>
      <c r="AP178" s="14"/>
      <c r="AQ178" s="30"/>
      <c r="AR178" s="14"/>
      <c r="AS178" s="30"/>
      <c r="AT178" s="14"/>
      <c r="AU178" s="211"/>
    </row>
    <row r="179" spans="1:47" ht="331.5" x14ac:dyDescent="0.2">
      <c r="A179" s="1">
        <f t="shared" si="9"/>
        <v>36</v>
      </c>
      <c r="B179" s="2" t="str">
        <f t="shared" si="7"/>
        <v>208-36</v>
      </c>
      <c r="C179" s="3" t="s">
        <v>484</v>
      </c>
      <c r="D179" s="4" t="s">
        <v>485</v>
      </c>
      <c r="E179" s="22" t="s">
        <v>499</v>
      </c>
      <c r="F179" s="7" t="s">
        <v>511</v>
      </c>
      <c r="G179" s="22" t="s">
        <v>512</v>
      </c>
      <c r="H179" s="7" t="s">
        <v>513</v>
      </c>
      <c r="I179" s="7" t="s">
        <v>54</v>
      </c>
      <c r="J179" s="7" t="s">
        <v>55</v>
      </c>
      <c r="K179" s="1">
        <v>801116</v>
      </c>
      <c r="L179" s="7" t="s">
        <v>492</v>
      </c>
      <c r="M179" s="7" t="s">
        <v>493</v>
      </c>
      <c r="N179" s="7" t="s">
        <v>494</v>
      </c>
      <c r="O179" s="7" t="s">
        <v>504</v>
      </c>
      <c r="P179" s="23" t="s">
        <v>545</v>
      </c>
      <c r="Q179" s="62">
        <f t="shared" si="8"/>
        <v>0</v>
      </c>
      <c r="R179" s="24">
        <v>1</v>
      </c>
      <c r="S179" s="63">
        <f>40545435-40545435</f>
        <v>0</v>
      </c>
      <c r="T179" s="11" t="s">
        <v>528</v>
      </c>
      <c r="U179" s="26" t="s">
        <v>58</v>
      </c>
      <c r="V179" s="26" t="s">
        <v>516</v>
      </c>
      <c r="W179" s="33">
        <v>11.5</v>
      </c>
      <c r="X179" s="14" t="s">
        <v>550</v>
      </c>
      <c r="Y179" s="27"/>
      <c r="Z179" s="34"/>
      <c r="AA179" s="17"/>
      <c r="AB179" s="17"/>
      <c r="AC179" s="18"/>
      <c r="AD179" s="19"/>
      <c r="AE179" s="19">
        <f t="shared" si="3"/>
        <v>0</v>
      </c>
      <c r="AF179" s="14"/>
      <c r="AG179" s="20"/>
      <c r="AH179" s="19"/>
      <c r="AI179" s="1"/>
      <c r="AJ179" s="1"/>
      <c r="AK179" s="19">
        <f t="shared" si="4"/>
        <v>0</v>
      </c>
      <c r="AL179" s="19"/>
      <c r="AM179" s="19">
        <f t="shared" si="5"/>
        <v>0</v>
      </c>
      <c r="AN179" s="14"/>
      <c r="AO179" s="21">
        <f t="shared" si="6"/>
        <v>0</v>
      </c>
      <c r="AP179" s="14"/>
      <c r="AQ179" s="30"/>
      <c r="AR179" s="14"/>
      <c r="AS179" s="30"/>
      <c r="AT179" s="14"/>
      <c r="AU179" s="211"/>
    </row>
    <row r="180" spans="1:47" ht="344.25" x14ac:dyDescent="0.2">
      <c r="A180" s="1">
        <f t="shared" si="9"/>
        <v>37</v>
      </c>
      <c r="B180" s="2" t="str">
        <f t="shared" si="7"/>
        <v>208-37</v>
      </c>
      <c r="C180" s="3" t="s">
        <v>484</v>
      </c>
      <c r="D180" s="4" t="s">
        <v>485</v>
      </c>
      <c r="E180" s="5" t="s">
        <v>486</v>
      </c>
      <c r="F180" s="7" t="s">
        <v>511</v>
      </c>
      <c r="G180" s="22" t="s">
        <v>512</v>
      </c>
      <c r="H180" s="7" t="s">
        <v>513</v>
      </c>
      <c r="I180" s="7" t="s">
        <v>54</v>
      </c>
      <c r="J180" s="7" t="s">
        <v>55</v>
      </c>
      <c r="K180" s="1">
        <v>801116</v>
      </c>
      <c r="L180" s="7" t="s">
        <v>492</v>
      </c>
      <c r="M180" s="7" t="s">
        <v>493</v>
      </c>
      <c r="N180" s="7" t="s">
        <v>494</v>
      </c>
      <c r="O180" s="7" t="s">
        <v>504</v>
      </c>
      <c r="P180" s="23" t="s">
        <v>551</v>
      </c>
      <c r="Q180" s="62">
        <f t="shared" si="8"/>
        <v>1575900</v>
      </c>
      <c r="R180" s="24">
        <v>1</v>
      </c>
      <c r="S180" s="63">
        <v>18122850</v>
      </c>
      <c r="T180" s="11" t="s">
        <v>528</v>
      </c>
      <c r="U180" s="26" t="s">
        <v>58</v>
      </c>
      <c r="V180" s="26" t="s">
        <v>516</v>
      </c>
      <c r="W180" s="33">
        <v>11.5</v>
      </c>
      <c r="X180" s="14">
        <v>78</v>
      </c>
      <c r="Y180" s="27">
        <v>43102</v>
      </c>
      <c r="Z180" s="34">
        <v>18122850</v>
      </c>
      <c r="AA180" s="17"/>
      <c r="AB180" s="17">
        <v>24</v>
      </c>
      <c r="AC180" s="30">
        <v>43102</v>
      </c>
      <c r="AD180" s="19">
        <v>18122850</v>
      </c>
      <c r="AE180" s="19">
        <f t="shared" si="3"/>
        <v>0</v>
      </c>
      <c r="AF180" s="14">
        <v>13</v>
      </c>
      <c r="AG180" s="31">
        <v>43112</v>
      </c>
      <c r="AH180" s="19">
        <v>18122850</v>
      </c>
      <c r="AI180" s="1" t="s">
        <v>552</v>
      </c>
      <c r="AJ180" s="1">
        <v>12</v>
      </c>
      <c r="AK180" s="19">
        <f t="shared" si="4"/>
        <v>0</v>
      </c>
      <c r="AL180" s="19">
        <v>8667450</v>
      </c>
      <c r="AM180" s="19">
        <f t="shared" si="5"/>
        <v>9455400</v>
      </c>
      <c r="AN180" s="14"/>
      <c r="AO180" s="21">
        <f t="shared" si="6"/>
        <v>0</v>
      </c>
      <c r="AP180" s="14"/>
      <c r="AQ180" s="30">
        <v>43102</v>
      </c>
      <c r="AR180" s="14" t="s">
        <v>520</v>
      </c>
      <c r="AS180" s="30">
        <v>43102</v>
      </c>
      <c r="AT180" s="14" t="s">
        <v>521</v>
      </c>
      <c r="AU180" s="211"/>
    </row>
    <row r="181" spans="1:47" ht="331.5" x14ac:dyDescent="0.2">
      <c r="A181" s="1">
        <f t="shared" si="9"/>
        <v>38</v>
      </c>
      <c r="B181" s="2" t="str">
        <f t="shared" si="7"/>
        <v>208-38</v>
      </c>
      <c r="C181" s="3" t="s">
        <v>484</v>
      </c>
      <c r="D181" s="4" t="s">
        <v>485</v>
      </c>
      <c r="E181" s="22" t="s">
        <v>499</v>
      </c>
      <c r="F181" s="7" t="s">
        <v>511</v>
      </c>
      <c r="G181" s="22" t="s">
        <v>512</v>
      </c>
      <c r="H181" s="7" t="s">
        <v>513</v>
      </c>
      <c r="I181" s="7" t="s">
        <v>54</v>
      </c>
      <c r="J181" s="7" t="s">
        <v>55</v>
      </c>
      <c r="K181" s="1">
        <v>801116</v>
      </c>
      <c r="L181" s="7" t="s">
        <v>492</v>
      </c>
      <c r="M181" s="7" t="s">
        <v>493</v>
      </c>
      <c r="N181" s="7" t="s">
        <v>494</v>
      </c>
      <c r="O181" s="7" t="s">
        <v>504</v>
      </c>
      <c r="P181" s="23" t="s">
        <v>551</v>
      </c>
      <c r="Q181" s="62">
        <f t="shared" si="8"/>
        <v>3677099.9999999995</v>
      </c>
      <c r="R181" s="24">
        <v>1</v>
      </c>
      <c r="S181" s="63">
        <v>42286649.999999993</v>
      </c>
      <c r="T181" s="11" t="s">
        <v>528</v>
      </c>
      <c r="U181" s="26" t="s">
        <v>58</v>
      </c>
      <c r="V181" s="26" t="s">
        <v>516</v>
      </c>
      <c r="W181" s="33">
        <v>11.5</v>
      </c>
      <c r="X181" s="14">
        <v>77</v>
      </c>
      <c r="Y181" s="27">
        <v>43102</v>
      </c>
      <c r="Z181" s="34">
        <v>42286649.999999993</v>
      </c>
      <c r="AA181" s="17"/>
      <c r="AB181" s="17">
        <v>24</v>
      </c>
      <c r="AC181" s="30">
        <v>43102</v>
      </c>
      <c r="AD181" s="19">
        <v>42286649.999999993</v>
      </c>
      <c r="AE181" s="19">
        <f t="shared" si="3"/>
        <v>0</v>
      </c>
      <c r="AF181" s="14">
        <v>13</v>
      </c>
      <c r="AG181" s="31">
        <v>43112</v>
      </c>
      <c r="AH181" s="19">
        <v>42286649.999999993</v>
      </c>
      <c r="AI181" s="1" t="s">
        <v>552</v>
      </c>
      <c r="AJ181" s="1">
        <v>12</v>
      </c>
      <c r="AK181" s="19">
        <f t="shared" si="4"/>
        <v>0</v>
      </c>
      <c r="AL181" s="19">
        <v>20224050</v>
      </c>
      <c r="AM181" s="19">
        <f t="shared" si="5"/>
        <v>22062599.999999993</v>
      </c>
      <c r="AN181" s="14"/>
      <c r="AO181" s="21">
        <f t="shared" si="6"/>
        <v>0</v>
      </c>
      <c r="AP181" s="14"/>
      <c r="AQ181" s="30">
        <v>43102</v>
      </c>
      <c r="AR181" s="14" t="s">
        <v>520</v>
      </c>
      <c r="AS181" s="30">
        <v>43102</v>
      </c>
      <c r="AT181" s="14" t="s">
        <v>521</v>
      </c>
      <c r="AU181" s="211"/>
    </row>
    <row r="182" spans="1:47" ht="409.5" x14ac:dyDescent="0.2">
      <c r="A182" s="1">
        <f t="shared" si="9"/>
        <v>39</v>
      </c>
      <c r="B182" s="2" t="str">
        <f t="shared" si="7"/>
        <v>208-39</v>
      </c>
      <c r="C182" s="3" t="s">
        <v>484</v>
      </c>
      <c r="D182" s="4" t="s">
        <v>485</v>
      </c>
      <c r="E182" s="5" t="s">
        <v>486</v>
      </c>
      <c r="F182" s="7" t="s">
        <v>511</v>
      </c>
      <c r="G182" s="22" t="s">
        <v>512</v>
      </c>
      <c r="H182" s="7" t="s">
        <v>513</v>
      </c>
      <c r="I182" s="7" t="s">
        <v>54</v>
      </c>
      <c r="J182" s="7" t="s">
        <v>55</v>
      </c>
      <c r="K182" s="1">
        <v>801116</v>
      </c>
      <c r="L182" s="7" t="s">
        <v>492</v>
      </c>
      <c r="M182" s="7" t="s">
        <v>493</v>
      </c>
      <c r="N182" s="7" t="s">
        <v>494</v>
      </c>
      <c r="O182" s="7" t="s">
        <v>504</v>
      </c>
      <c r="P182" s="23" t="s">
        <v>553</v>
      </c>
      <c r="Q182" s="62">
        <f t="shared" si="8"/>
        <v>741600</v>
      </c>
      <c r="R182" s="24">
        <v>1</v>
      </c>
      <c r="S182" s="63">
        <v>8528400</v>
      </c>
      <c r="T182" s="11" t="s">
        <v>528</v>
      </c>
      <c r="U182" s="26" t="s">
        <v>58</v>
      </c>
      <c r="V182" s="26" t="s">
        <v>516</v>
      </c>
      <c r="W182" s="33">
        <v>11.5</v>
      </c>
      <c r="X182" s="14">
        <v>76</v>
      </c>
      <c r="Y182" s="27">
        <v>43102</v>
      </c>
      <c r="Z182" s="34">
        <v>8528400</v>
      </c>
      <c r="AA182" s="17"/>
      <c r="AB182" s="17">
        <v>23</v>
      </c>
      <c r="AC182" s="30">
        <v>43102</v>
      </c>
      <c r="AD182" s="19">
        <v>8528400</v>
      </c>
      <c r="AE182" s="19">
        <f t="shared" si="3"/>
        <v>0</v>
      </c>
      <c r="AF182" s="14">
        <v>163</v>
      </c>
      <c r="AG182" s="31">
        <v>43118</v>
      </c>
      <c r="AH182" s="19">
        <v>8528400</v>
      </c>
      <c r="AI182" s="1" t="s">
        <v>554</v>
      </c>
      <c r="AJ182" s="1">
        <v>132</v>
      </c>
      <c r="AK182" s="19">
        <f t="shared" si="4"/>
        <v>0</v>
      </c>
      <c r="AL182" s="19">
        <v>4029360</v>
      </c>
      <c r="AM182" s="19">
        <f t="shared" si="5"/>
        <v>4499040</v>
      </c>
      <c r="AN182" s="14"/>
      <c r="AO182" s="21">
        <f t="shared" si="6"/>
        <v>0</v>
      </c>
      <c r="AP182" s="14"/>
      <c r="AQ182" s="30">
        <v>43102</v>
      </c>
      <c r="AR182" s="14" t="s">
        <v>520</v>
      </c>
      <c r="AS182" s="30">
        <v>43102</v>
      </c>
      <c r="AT182" s="14" t="s">
        <v>521</v>
      </c>
      <c r="AU182" s="211"/>
    </row>
    <row r="183" spans="1:47" ht="409.5" x14ac:dyDescent="0.2">
      <c r="A183" s="1">
        <f t="shared" si="9"/>
        <v>40</v>
      </c>
      <c r="B183" s="2" t="str">
        <f t="shared" si="7"/>
        <v>208-40</v>
      </c>
      <c r="C183" s="3" t="s">
        <v>484</v>
      </c>
      <c r="D183" s="4" t="s">
        <v>485</v>
      </c>
      <c r="E183" s="22" t="s">
        <v>499</v>
      </c>
      <c r="F183" s="7" t="s">
        <v>511</v>
      </c>
      <c r="G183" s="22" t="s">
        <v>512</v>
      </c>
      <c r="H183" s="7" t="s">
        <v>513</v>
      </c>
      <c r="I183" s="7" t="s">
        <v>54</v>
      </c>
      <c r="J183" s="7" t="s">
        <v>55</v>
      </c>
      <c r="K183" s="1">
        <v>801116</v>
      </c>
      <c r="L183" s="7" t="s">
        <v>492</v>
      </c>
      <c r="M183" s="7" t="s">
        <v>493</v>
      </c>
      <c r="N183" s="7" t="s">
        <v>494</v>
      </c>
      <c r="O183" s="7" t="s">
        <v>504</v>
      </c>
      <c r="P183" s="23" t="s">
        <v>553</v>
      </c>
      <c r="Q183" s="62">
        <f t="shared" si="8"/>
        <v>1730400</v>
      </c>
      <c r="R183" s="24">
        <v>1</v>
      </c>
      <c r="S183" s="63">
        <v>19899600</v>
      </c>
      <c r="T183" s="11" t="s">
        <v>528</v>
      </c>
      <c r="U183" s="26" t="s">
        <v>58</v>
      </c>
      <c r="V183" s="26" t="s">
        <v>516</v>
      </c>
      <c r="W183" s="33">
        <v>11.5</v>
      </c>
      <c r="X183" s="14">
        <v>75</v>
      </c>
      <c r="Y183" s="27">
        <v>43102</v>
      </c>
      <c r="Z183" s="34">
        <v>19899600</v>
      </c>
      <c r="AA183" s="17"/>
      <c r="AB183" s="17">
        <v>23</v>
      </c>
      <c r="AC183" s="30">
        <v>43102</v>
      </c>
      <c r="AD183" s="19">
        <v>19899600</v>
      </c>
      <c r="AE183" s="19">
        <f t="shared" si="3"/>
        <v>0</v>
      </c>
      <c r="AF183" s="14">
        <v>163</v>
      </c>
      <c r="AG183" s="31">
        <v>43118</v>
      </c>
      <c r="AH183" s="19">
        <v>19899600</v>
      </c>
      <c r="AI183" s="1" t="s">
        <v>554</v>
      </c>
      <c r="AJ183" s="1">
        <v>132</v>
      </c>
      <c r="AK183" s="19">
        <f t="shared" si="4"/>
        <v>0</v>
      </c>
      <c r="AL183" s="19">
        <v>9401840</v>
      </c>
      <c r="AM183" s="19">
        <f t="shared" si="5"/>
        <v>10497760</v>
      </c>
      <c r="AN183" s="14"/>
      <c r="AO183" s="21">
        <f t="shared" si="6"/>
        <v>0</v>
      </c>
      <c r="AP183" s="14"/>
      <c r="AQ183" s="30">
        <v>43102</v>
      </c>
      <c r="AR183" s="14" t="s">
        <v>520</v>
      </c>
      <c r="AS183" s="30">
        <v>43102</v>
      </c>
      <c r="AT183" s="14" t="s">
        <v>521</v>
      </c>
      <c r="AU183" s="211"/>
    </row>
    <row r="184" spans="1:47" ht="395.25" x14ac:dyDescent="0.2">
      <c r="A184" s="1">
        <f t="shared" si="9"/>
        <v>41</v>
      </c>
      <c r="B184" s="2" t="str">
        <f t="shared" si="7"/>
        <v>208-41</v>
      </c>
      <c r="C184" s="3" t="s">
        <v>484</v>
      </c>
      <c r="D184" s="4" t="s">
        <v>485</v>
      </c>
      <c r="E184" s="5" t="s">
        <v>486</v>
      </c>
      <c r="F184" s="7" t="s">
        <v>511</v>
      </c>
      <c r="G184" s="22" t="s">
        <v>512</v>
      </c>
      <c r="H184" s="7" t="s">
        <v>513</v>
      </c>
      <c r="I184" s="7" t="s">
        <v>54</v>
      </c>
      <c r="J184" s="7" t="s">
        <v>55</v>
      </c>
      <c r="K184" s="1">
        <v>801116</v>
      </c>
      <c r="L184" s="7" t="s">
        <v>492</v>
      </c>
      <c r="M184" s="7" t="s">
        <v>493</v>
      </c>
      <c r="N184" s="7" t="s">
        <v>494</v>
      </c>
      <c r="O184" s="7" t="s">
        <v>504</v>
      </c>
      <c r="P184" s="23" t="s">
        <v>555</v>
      </c>
      <c r="Q184" s="62">
        <f t="shared" si="8"/>
        <v>463500</v>
      </c>
      <c r="R184" s="24">
        <v>1</v>
      </c>
      <c r="S184" s="63">
        <v>5330250</v>
      </c>
      <c r="T184" s="11" t="s">
        <v>528</v>
      </c>
      <c r="U184" s="26" t="s">
        <v>58</v>
      </c>
      <c r="V184" s="26" t="s">
        <v>516</v>
      </c>
      <c r="W184" s="33">
        <v>11.5</v>
      </c>
      <c r="X184" s="14">
        <v>74</v>
      </c>
      <c r="Y184" s="27">
        <v>43102</v>
      </c>
      <c r="Z184" s="34">
        <v>5330250</v>
      </c>
      <c r="AA184" s="17"/>
      <c r="AB184" s="17">
        <v>22</v>
      </c>
      <c r="AC184" s="30">
        <v>43102</v>
      </c>
      <c r="AD184" s="19">
        <v>5330250</v>
      </c>
      <c r="AE184" s="19">
        <f t="shared" si="3"/>
        <v>0</v>
      </c>
      <c r="AF184" s="14"/>
      <c r="AG184" s="20"/>
      <c r="AH184" s="19">
        <v>5330250</v>
      </c>
      <c r="AI184" s="1"/>
      <c r="AJ184" s="1"/>
      <c r="AK184" s="19">
        <f t="shared" si="4"/>
        <v>0</v>
      </c>
      <c r="AL184" s="19">
        <v>2518350</v>
      </c>
      <c r="AM184" s="19">
        <f t="shared" si="5"/>
        <v>2811900</v>
      </c>
      <c r="AN184" s="14"/>
      <c r="AO184" s="21">
        <f t="shared" si="6"/>
        <v>0</v>
      </c>
      <c r="AP184" s="14"/>
      <c r="AQ184" s="30">
        <v>43102</v>
      </c>
      <c r="AR184" s="14" t="s">
        <v>520</v>
      </c>
      <c r="AS184" s="30">
        <v>43102</v>
      </c>
      <c r="AT184" s="14" t="s">
        <v>521</v>
      </c>
      <c r="AU184" s="211"/>
    </row>
    <row r="185" spans="1:47" ht="395.25" x14ac:dyDescent="0.2">
      <c r="A185" s="1">
        <f t="shared" si="9"/>
        <v>42</v>
      </c>
      <c r="B185" s="2" t="str">
        <f t="shared" si="7"/>
        <v>208-42</v>
      </c>
      <c r="C185" s="3" t="s">
        <v>484</v>
      </c>
      <c r="D185" s="4" t="s">
        <v>485</v>
      </c>
      <c r="E185" s="22" t="s">
        <v>499</v>
      </c>
      <c r="F185" s="7" t="s">
        <v>511</v>
      </c>
      <c r="G185" s="22" t="s">
        <v>512</v>
      </c>
      <c r="H185" s="7" t="s">
        <v>513</v>
      </c>
      <c r="I185" s="7" t="s">
        <v>54</v>
      </c>
      <c r="J185" s="7" t="s">
        <v>55</v>
      </c>
      <c r="K185" s="1">
        <v>801116</v>
      </c>
      <c r="L185" s="7" t="s">
        <v>492</v>
      </c>
      <c r="M185" s="7" t="s">
        <v>493</v>
      </c>
      <c r="N185" s="7" t="s">
        <v>494</v>
      </c>
      <c r="O185" s="7" t="s">
        <v>504</v>
      </c>
      <c r="P185" s="23" t="s">
        <v>555</v>
      </c>
      <c r="Q185" s="62">
        <f t="shared" si="8"/>
        <v>1081500</v>
      </c>
      <c r="R185" s="24">
        <v>1</v>
      </c>
      <c r="S185" s="63">
        <v>12437250</v>
      </c>
      <c r="T185" s="11" t="s">
        <v>528</v>
      </c>
      <c r="U185" s="26" t="s">
        <v>58</v>
      </c>
      <c r="V185" s="26" t="s">
        <v>516</v>
      </c>
      <c r="W185" s="33">
        <v>11.5</v>
      </c>
      <c r="X185" s="14">
        <v>73</v>
      </c>
      <c r="Y185" s="27">
        <v>43102</v>
      </c>
      <c r="Z185" s="34">
        <v>12437250</v>
      </c>
      <c r="AA185" s="17"/>
      <c r="AB185" s="17">
        <v>22</v>
      </c>
      <c r="AC185" s="30">
        <v>43102</v>
      </c>
      <c r="AD185" s="19">
        <v>12437250</v>
      </c>
      <c r="AE185" s="19">
        <f t="shared" si="3"/>
        <v>0</v>
      </c>
      <c r="AF185" s="14"/>
      <c r="AG185" s="20"/>
      <c r="AH185" s="19">
        <v>12437250</v>
      </c>
      <c r="AI185" s="1"/>
      <c r="AJ185" s="1"/>
      <c r="AK185" s="19">
        <f t="shared" si="4"/>
        <v>0</v>
      </c>
      <c r="AL185" s="19">
        <v>5876150</v>
      </c>
      <c r="AM185" s="19">
        <f t="shared" si="5"/>
        <v>6561100</v>
      </c>
      <c r="AN185" s="14"/>
      <c r="AO185" s="21">
        <f t="shared" si="6"/>
        <v>0</v>
      </c>
      <c r="AP185" s="14"/>
      <c r="AQ185" s="30">
        <v>43102</v>
      </c>
      <c r="AR185" s="14" t="s">
        <v>520</v>
      </c>
      <c r="AS185" s="30">
        <v>43102</v>
      </c>
      <c r="AT185" s="14" t="s">
        <v>521</v>
      </c>
      <c r="AU185" s="211"/>
    </row>
    <row r="186" spans="1:47" ht="395.25" x14ac:dyDescent="0.2">
      <c r="A186" s="1">
        <f t="shared" si="9"/>
        <v>43</v>
      </c>
      <c r="B186" s="2" t="str">
        <f t="shared" si="7"/>
        <v>208-43</v>
      </c>
      <c r="C186" s="3" t="s">
        <v>484</v>
      </c>
      <c r="D186" s="4" t="s">
        <v>485</v>
      </c>
      <c r="E186" s="5" t="s">
        <v>486</v>
      </c>
      <c r="F186" s="7" t="s">
        <v>511</v>
      </c>
      <c r="G186" s="22" t="s">
        <v>512</v>
      </c>
      <c r="H186" s="7" t="s">
        <v>513</v>
      </c>
      <c r="I186" s="7" t="s">
        <v>54</v>
      </c>
      <c r="J186" s="7" t="s">
        <v>55</v>
      </c>
      <c r="K186" s="1">
        <v>801116</v>
      </c>
      <c r="L186" s="7" t="s">
        <v>492</v>
      </c>
      <c r="M186" s="7" t="s">
        <v>493</v>
      </c>
      <c r="N186" s="7" t="s">
        <v>494</v>
      </c>
      <c r="O186" s="7" t="s">
        <v>504</v>
      </c>
      <c r="P186" s="23" t="s">
        <v>555</v>
      </c>
      <c r="Q186" s="62">
        <f t="shared" si="8"/>
        <v>463500</v>
      </c>
      <c r="R186" s="24">
        <v>1</v>
      </c>
      <c r="S186" s="63">
        <v>5330250</v>
      </c>
      <c r="T186" s="11" t="s">
        <v>528</v>
      </c>
      <c r="U186" s="26" t="s">
        <v>58</v>
      </c>
      <c r="V186" s="26" t="s">
        <v>516</v>
      </c>
      <c r="W186" s="33">
        <v>11.5</v>
      </c>
      <c r="X186" s="14">
        <v>72</v>
      </c>
      <c r="Y186" s="27">
        <v>43102</v>
      </c>
      <c r="Z186" s="34">
        <v>5330250</v>
      </c>
      <c r="AA186" s="17"/>
      <c r="AB186" s="17">
        <v>20</v>
      </c>
      <c r="AC186" s="30">
        <v>43102</v>
      </c>
      <c r="AD186" s="19">
        <v>5330250</v>
      </c>
      <c r="AE186" s="19">
        <f t="shared" si="3"/>
        <v>0</v>
      </c>
      <c r="AF186" s="14">
        <v>168</v>
      </c>
      <c r="AG186" s="31">
        <v>43118</v>
      </c>
      <c r="AH186" s="19">
        <v>5330250</v>
      </c>
      <c r="AI186" s="1" t="s">
        <v>556</v>
      </c>
      <c r="AJ186" s="1">
        <v>129</v>
      </c>
      <c r="AK186" s="19">
        <f t="shared" si="4"/>
        <v>0</v>
      </c>
      <c r="AL186" s="19">
        <v>2518350</v>
      </c>
      <c r="AM186" s="19">
        <f t="shared" si="5"/>
        <v>2811900</v>
      </c>
      <c r="AN186" s="14"/>
      <c r="AO186" s="21">
        <f t="shared" si="6"/>
        <v>0</v>
      </c>
      <c r="AP186" s="14"/>
      <c r="AQ186" s="30">
        <v>43102</v>
      </c>
      <c r="AR186" s="14" t="s">
        <v>520</v>
      </c>
      <c r="AS186" s="30">
        <v>43102</v>
      </c>
      <c r="AT186" s="14" t="s">
        <v>521</v>
      </c>
      <c r="AU186" s="211"/>
    </row>
    <row r="187" spans="1:47" ht="395.25" x14ac:dyDescent="0.2">
      <c r="A187" s="1">
        <f t="shared" si="9"/>
        <v>44</v>
      </c>
      <c r="B187" s="2" t="str">
        <f t="shared" si="7"/>
        <v>208-44</v>
      </c>
      <c r="C187" s="3" t="s">
        <v>484</v>
      </c>
      <c r="D187" s="4" t="s">
        <v>485</v>
      </c>
      <c r="E187" s="22" t="s">
        <v>499</v>
      </c>
      <c r="F187" s="7" t="s">
        <v>511</v>
      </c>
      <c r="G187" s="22" t="s">
        <v>512</v>
      </c>
      <c r="H187" s="7" t="s">
        <v>513</v>
      </c>
      <c r="I187" s="7" t="s">
        <v>54</v>
      </c>
      <c r="J187" s="7" t="s">
        <v>55</v>
      </c>
      <c r="K187" s="1">
        <v>801116</v>
      </c>
      <c r="L187" s="7" t="s">
        <v>492</v>
      </c>
      <c r="M187" s="7" t="s">
        <v>493</v>
      </c>
      <c r="N187" s="7" t="s">
        <v>494</v>
      </c>
      <c r="O187" s="7" t="s">
        <v>504</v>
      </c>
      <c r="P187" s="23" t="s">
        <v>555</v>
      </c>
      <c r="Q187" s="62">
        <f t="shared" si="8"/>
        <v>1081500</v>
      </c>
      <c r="R187" s="24">
        <v>1</v>
      </c>
      <c r="S187" s="63">
        <v>12437250</v>
      </c>
      <c r="T187" s="11" t="s">
        <v>528</v>
      </c>
      <c r="U187" s="26" t="s">
        <v>58</v>
      </c>
      <c r="V187" s="26" t="s">
        <v>516</v>
      </c>
      <c r="W187" s="33">
        <v>11.5</v>
      </c>
      <c r="X187" s="14">
        <v>71</v>
      </c>
      <c r="Y187" s="27">
        <v>43102</v>
      </c>
      <c r="Z187" s="34">
        <v>12437250</v>
      </c>
      <c r="AA187" s="17"/>
      <c r="AB187" s="17">
        <v>20</v>
      </c>
      <c r="AC187" s="30">
        <v>43102</v>
      </c>
      <c r="AD187" s="19">
        <v>12437250</v>
      </c>
      <c r="AE187" s="19">
        <f t="shared" si="3"/>
        <v>0</v>
      </c>
      <c r="AF187" s="14">
        <v>168</v>
      </c>
      <c r="AG187" s="31">
        <v>43118</v>
      </c>
      <c r="AH187" s="19">
        <v>12437250</v>
      </c>
      <c r="AI187" s="1" t="s">
        <v>556</v>
      </c>
      <c r="AJ187" s="1">
        <v>129</v>
      </c>
      <c r="AK187" s="19">
        <f t="shared" si="4"/>
        <v>0</v>
      </c>
      <c r="AL187" s="19">
        <v>5876150</v>
      </c>
      <c r="AM187" s="19">
        <f t="shared" si="5"/>
        <v>6561100</v>
      </c>
      <c r="AN187" s="14"/>
      <c r="AO187" s="21">
        <f t="shared" si="6"/>
        <v>0</v>
      </c>
      <c r="AP187" s="14"/>
      <c r="AQ187" s="30">
        <v>43102</v>
      </c>
      <c r="AR187" s="14" t="s">
        <v>520</v>
      </c>
      <c r="AS187" s="30">
        <v>43102</v>
      </c>
      <c r="AT187" s="14" t="s">
        <v>521</v>
      </c>
      <c r="AU187" s="211"/>
    </row>
    <row r="188" spans="1:47" ht="395.25" x14ac:dyDescent="0.2">
      <c r="A188" s="1">
        <f t="shared" si="9"/>
        <v>45</v>
      </c>
      <c r="B188" s="2" t="str">
        <f t="shared" si="7"/>
        <v>208-45</v>
      </c>
      <c r="C188" s="3" t="s">
        <v>484</v>
      </c>
      <c r="D188" s="4" t="s">
        <v>485</v>
      </c>
      <c r="E188" s="5" t="s">
        <v>486</v>
      </c>
      <c r="F188" s="7" t="s">
        <v>511</v>
      </c>
      <c r="G188" s="22" t="s">
        <v>512</v>
      </c>
      <c r="H188" s="7" t="s">
        <v>513</v>
      </c>
      <c r="I188" s="7" t="s">
        <v>54</v>
      </c>
      <c r="J188" s="7" t="s">
        <v>55</v>
      </c>
      <c r="K188" s="1">
        <v>801116</v>
      </c>
      <c r="L188" s="7" t="s">
        <v>492</v>
      </c>
      <c r="M188" s="7" t="s">
        <v>493</v>
      </c>
      <c r="N188" s="7" t="s">
        <v>494</v>
      </c>
      <c r="O188" s="7" t="s">
        <v>504</v>
      </c>
      <c r="P188" s="23" t="s">
        <v>555</v>
      </c>
      <c r="Q188" s="62">
        <f t="shared" si="8"/>
        <v>463500</v>
      </c>
      <c r="R188" s="24">
        <v>1</v>
      </c>
      <c r="S188" s="63">
        <v>5330250</v>
      </c>
      <c r="T188" s="11" t="s">
        <v>528</v>
      </c>
      <c r="U188" s="26" t="s">
        <v>58</v>
      </c>
      <c r="V188" s="26" t="s">
        <v>516</v>
      </c>
      <c r="W188" s="33">
        <v>11.5</v>
      </c>
      <c r="X188" s="14">
        <v>70</v>
      </c>
      <c r="Y188" s="27">
        <v>43102</v>
      </c>
      <c r="Z188" s="34">
        <v>5330250</v>
      </c>
      <c r="AA188" s="17"/>
      <c r="AB188" s="17">
        <v>19</v>
      </c>
      <c r="AC188" s="30">
        <v>43102</v>
      </c>
      <c r="AD188" s="19">
        <v>5330250</v>
      </c>
      <c r="AE188" s="19">
        <f t="shared" si="3"/>
        <v>0</v>
      </c>
      <c r="AF188" s="14">
        <v>167</v>
      </c>
      <c r="AG188" s="31">
        <v>43118</v>
      </c>
      <c r="AH188" s="19">
        <v>5330250</v>
      </c>
      <c r="AI188" s="1" t="s">
        <v>557</v>
      </c>
      <c r="AJ188" s="1">
        <v>130</v>
      </c>
      <c r="AK188" s="19">
        <f t="shared" si="4"/>
        <v>0</v>
      </c>
      <c r="AL188" s="19">
        <v>2054850</v>
      </c>
      <c r="AM188" s="19">
        <f t="shared" si="5"/>
        <v>3275400</v>
      </c>
      <c r="AN188" s="14"/>
      <c r="AO188" s="21">
        <f t="shared" si="6"/>
        <v>0</v>
      </c>
      <c r="AP188" s="14"/>
      <c r="AQ188" s="30">
        <v>43102</v>
      </c>
      <c r="AR188" s="14" t="s">
        <v>520</v>
      </c>
      <c r="AS188" s="30">
        <v>43102</v>
      </c>
      <c r="AT188" s="14" t="s">
        <v>521</v>
      </c>
      <c r="AU188" s="211"/>
    </row>
    <row r="189" spans="1:47" ht="395.25" x14ac:dyDescent="0.2">
      <c r="A189" s="1">
        <f t="shared" si="9"/>
        <v>46</v>
      </c>
      <c r="B189" s="2" t="str">
        <f t="shared" si="7"/>
        <v>208-46</v>
      </c>
      <c r="C189" s="3" t="s">
        <v>484</v>
      </c>
      <c r="D189" s="4" t="s">
        <v>485</v>
      </c>
      <c r="E189" s="22" t="s">
        <v>499</v>
      </c>
      <c r="F189" s="7" t="s">
        <v>511</v>
      </c>
      <c r="G189" s="22" t="s">
        <v>512</v>
      </c>
      <c r="H189" s="7" t="s">
        <v>513</v>
      </c>
      <c r="I189" s="7" t="s">
        <v>54</v>
      </c>
      <c r="J189" s="7" t="s">
        <v>55</v>
      </c>
      <c r="K189" s="1">
        <v>801116</v>
      </c>
      <c r="L189" s="7" t="s">
        <v>492</v>
      </c>
      <c r="M189" s="7" t="s">
        <v>493</v>
      </c>
      <c r="N189" s="7" t="s">
        <v>494</v>
      </c>
      <c r="O189" s="7" t="s">
        <v>504</v>
      </c>
      <c r="P189" s="23" t="s">
        <v>555</v>
      </c>
      <c r="Q189" s="62">
        <f t="shared" si="8"/>
        <v>1081500</v>
      </c>
      <c r="R189" s="24">
        <v>1</v>
      </c>
      <c r="S189" s="63">
        <v>12437250</v>
      </c>
      <c r="T189" s="11" t="s">
        <v>528</v>
      </c>
      <c r="U189" s="26" t="s">
        <v>58</v>
      </c>
      <c r="V189" s="26" t="s">
        <v>516</v>
      </c>
      <c r="W189" s="33">
        <v>11.5</v>
      </c>
      <c r="X189" s="14">
        <v>69</v>
      </c>
      <c r="Y189" s="27">
        <v>43102</v>
      </c>
      <c r="Z189" s="34">
        <v>12437250</v>
      </c>
      <c r="AA189" s="17"/>
      <c r="AB189" s="17">
        <v>19</v>
      </c>
      <c r="AC189" s="30">
        <v>43102</v>
      </c>
      <c r="AD189" s="19">
        <v>12437250</v>
      </c>
      <c r="AE189" s="19">
        <f t="shared" si="3"/>
        <v>0</v>
      </c>
      <c r="AF189" s="14">
        <v>167</v>
      </c>
      <c r="AG189" s="31">
        <v>43118</v>
      </c>
      <c r="AH189" s="19">
        <v>12437250</v>
      </c>
      <c r="AI189" s="1" t="s">
        <v>557</v>
      </c>
      <c r="AJ189" s="1">
        <v>130</v>
      </c>
      <c r="AK189" s="19">
        <f t="shared" si="4"/>
        <v>0</v>
      </c>
      <c r="AL189" s="19">
        <v>4794650</v>
      </c>
      <c r="AM189" s="19">
        <f t="shared" si="5"/>
        <v>7642600</v>
      </c>
      <c r="AN189" s="14"/>
      <c r="AO189" s="21">
        <f t="shared" si="6"/>
        <v>0</v>
      </c>
      <c r="AP189" s="14"/>
      <c r="AQ189" s="30">
        <v>43102</v>
      </c>
      <c r="AR189" s="14" t="s">
        <v>520</v>
      </c>
      <c r="AS189" s="30">
        <v>43102</v>
      </c>
      <c r="AT189" s="14" t="s">
        <v>521</v>
      </c>
      <c r="AU189" s="211"/>
    </row>
    <row r="190" spans="1:47" ht="395.25" x14ac:dyDescent="0.2">
      <c r="A190" s="1">
        <f t="shared" si="9"/>
        <v>47</v>
      </c>
      <c r="B190" s="2" t="str">
        <f t="shared" si="7"/>
        <v>208-47</v>
      </c>
      <c r="C190" s="3" t="s">
        <v>484</v>
      </c>
      <c r="D190" s="4" t="s">
        <v>485</v>
      </c>
      <c r="E190" s="5" t="s">
        <v>486</v>
      </c>
      <c r="F190" s="7" t="s">
        <v>511</v>
      </c>
      <c r="G190" s="22" t="s">
        <v>512</v>
      </c>
      <c r="H190" s="7" t="s">
        <v>513</v>
      </c>
      <c r="I190" s="7" t="s">
        <v>54</v>
      </c>
      <c r="J190" s="7" t="s">
        <v>55</v>
      </c>
      <c r="K190" s="1">
        <v>801116</v>
      </c>
      <c r="L190" s="7" t="s">
        <v>492</v>
      </c>
      <c r="M190" s="7" t="s">
        <v>493</v>
      </c>
      <c r="N190" s="7" t="s">
        <v>494</v>
      </c>
      <c r="O190" s="7" t="s">
        <v>504</v>
      </c>
      <c r="P190" s="23" t="s">
        <v>555</v>
      </c>
      <c r="Q190" s="62">
        <f t="shared" si="8"/>
        <v>463500</v>
      </c>
      <c r="R190" s="24">
        <v>1</v>
      </c>
      <c r="S190" s="63">
        <v>5330250</v>
      </c>
      <c r="T190" s="11" t="s">
        <v>528</v>
      </c>
      <c r="U190" s="26" t="s">
        <v>58</v>
      </c>
      <c r="V190" s="26" t="s">
        <v>516</v>
      </c>
      <c r="W190" s="33">
        <v>11.5</v>
      </c>
      <c r="X190" s="14">
        <v>68</v>
      </c>
      <c r="Y190" s="27">
        <v>43102</v>
      </c>
      <c r="Z190" s="34">
        <v>5330250</v>
      </c>
      <c r="AA190" s="17"/>
      <c r="AB190" s="17">
        <v>17</v>
      </c>
      <c r="AC190" s="30">
        <v>43102</v>
      </c>
      <c r="AD190" s="19">
        <v>5330250</v>
      </c>
      <c r="AE190" s="19">
        <f t="shared" si="3"/>
        <v>0</v>
      </c>
      <c r="AF190" s="14">
        <v>451</v>
      </c>
      <c r="AG190" s="31">
        <v>43125</v>
      </c>
      <c r="AH190" s="19">
        <v>5330250</v>
      </c>
      <c r="AI190" s="1" t="s">
        <v>558</v>
      </c>
      <c r="AJ190" s="1">
        <v>381</v>
      </c>
      <c r="AK190" s="19">
        <f t="shared" si="4"/>
        <v>0</v>
      </c>
      <c r="AL190" s="19">
        <v>2394750</v>
      </c>
      <c r="AM190" s="19">
        <f t="shared" si="5"/>
        <v>2935500</v>
      </c>
      <c r="AN190" s="14"/>
      <c r="AO190" s="21">
        <f t="shared" si="6"/>
        <v>0</v>
      </c>
      <c r="AP190" s="14"/>
      <c r="AQ190" s="30">
        <v>43102</v>
      </c>
      <c r="AR190" s="14" t="s">
        <v>520</v>
      </c>
      <c r="AS190" s="30">
        <v>43102</v>
      </c>
      <c r="AT190" s="14" t="s">
        <v>521</v>
      </c>
      <c r="AU190" s="211"/>
    </row>
    <row r="191" spans="1:47" ht="395.25" x14ac:dyDescent="0.2">
      <c r="A191" s="1">
        <f t="shared" si="9"/>
        <v>48</v>
      </c>
      <c r="B191" s="2" t="str">
        <f t="shared" si="7"/>
        <v>208-48</v>
      </c>
      <c r="C191" s="3" t="s">
        <v>484</v>
      </c>
      <c r="D191" s="4" t="s">
        <v>485</v>
      </c>
      <c r="E191" s="22" t="s">
        <v>499</v>
      </c>
      <c r="F191" s="7" t="s">
        <v>511</v>
      </c>
      <c r="G191" s="22" t="s">
        <v>512</v>
      </c>
      <c r="H191" s="7" t="s">
        <v>513</v>
      </c>
      <c r="I191" s="7" t="s">
        <v>54</v>
      </c>
      <c r="J191" s="7" t="s">
        <v>55</v>
      </c>
      <c r="K191" s="1">
        <v>801116</v>
      </c>
      <c r="L191" s="7" t="s">
        <v>492</v>
      </c>
      <c r="M191" s="7" t="s">
        <v>493</v>
      </c>
      <c r="N191" s="7" t="s">
        <v>494</v>
      </c>
      <c r="O191" s="7" t="s">
        <v>504</v>
      </c>
      <c r="P191" s="23" t="s">
        <v>555</v>
      </c>
      <c r="Q191" s="62">
        <f t="shared" si="8"/>
        <v>1081500</v>
      </c>
      <c r="R191" s="24">
        <v>1</v>
      </c>
      <c r="S191" s="63">
        <v>12437250</v>
      </c>
      <c r="T191" s="11" t="s">
        <v>528</v>
      </c>
      <c r="U191" s="26" t="s">
        <v>58</v>
      </c>
      <c r="V191" s="26" t="s">
        <v>516</v>
      </c>
      <c r="W191" s="33">
        <v>11.5</v>
      </c>
      <c r="X191" s="14">
        <v>67</v>
      </c>
      <c r="Y191" s="27">
        <v>43102</v>
      </c>
      <c r="Z191" s="34">
        <v>12437250</v>
      </c>
      <c r="AA191" s="17"/>
      <c r="AB191" s="17">
        <v>17</v>
      </c>
      <c r="AC191" s="30">
        <v>43102</v>
      </c>
      <c r="AD191" s="19">
        <v>12437250</v>
      </c>
      <c r="AE191" s="19">
        <f t="shared" si="3"/>
        <v>0</v>
      </c>
      <c r="AF191" s="14">
        <v>451</v>
      </c>
      <c r="AG191" s="31">
        <v>43125</v>
      </c>
      <c r="AH191" s="19">
        <v>12437250</v>
      </c>
      <c r="AI191" s="1" t="s">
        <v>558</v>
      </c>
      <c r="AJ191" s="1">
        <v>381</v>
      </c>
      <c r="AK191" s="19">
        <f t="shared" si="4"/>
        <v>0</v>
      </c>
      <c r="AL191" s="19">
        <v>5587750</v>
      </c>
      <c r="AM191" s="19">
        <f t="shared" si="5"/>
        <v>6849500</v>
      </c>
      <c r="AN191" s="14"/>
      <c r="AO191" s="21">
        <f t="shared" si="6"/>
        <v>0</v>
      </c>
      <c r="AP191" s="14"/>
      <c r="AQ191" s="30">
        <v>43102</v>
      </c>
      <c r="AR191" s="14" t="s">
        <v>520</v>
      </c>
      <c r="AS191" s="30">
        <v>43102</v>
      </c>
      <c r="AT191" s="14" t="s">
        <v>521</v>
      </c>
      <c r="AU191" s="211"/>
    </row>
    <row r="192" spans="1:47" ht="395.25" x14ac:dyDescent="0.2">
      <c r="A192" s="1">
        <f t="shared" si="9"/>
        <v>49</v>
      </c>
      <c r="B192" s="2" t="str">
        <f t="shared" si="7"/>
        <v>208-49</v>
      </c>
      <c r="C192" s="3" t="s">
        <v>484</v>
      </c>
      <c r="D192" s="4" t="s">
        <v>485</v>
      </c>
      <c r="E192" s="5" t="s">
        <v>486</v>
      </c>
      <c r="F192" s="7" t="s">
        <v>511</v>
      </c>
      <c r="G192" s="22" t="s">
        <v>512</v>
      </c>
      <c r="H192" s="7" t="s">
        <v>513</v>
      </c>
      <c r="I192" s="7" t="s">
        <v>54</v>
      </c>
      <c r="J192" s="7" t="s">
        <v>55</v>
      </c>
      <c r="K192" s="1">
        <v>801116</v>
      </c>
      <c r="L192" s="7" t="s">
        <v>492</v>
      </c>
      <c r="M192" s="7" t="s">
        <v>493</v>
      </c>
      <c r="N192" s="7" t="s">
        <v>494</v>
      </c>
      <c r="O192" s="7" t="s">
        <v>504</v>
      </c>
      <c r="P192" s="23" t="s">
        <v>555</v>
      </c>
      <c r="Q192" s="62">
        <f t="shared" si="8"/>
        <v>463500</v>
      </c>
      <c r="R192" s="24">
        <v>1</v>
      </c>
      <c r="S192" s="63">
        <v>5330250</v>
      </c>
      <c r="T192" s="11" t="s">
        <v>528</v>
      </c>
      <c r="U192" s="26" t="s">
        <v>58</v>
      </c>
      <c r="V192" s="26" t="s">
        <v>516</v>
      </c>
      <c r="W192" s="33">
        <v>11.5</v>
      </c>
      <c r="X192" s="14">
        <v>66</v>
      </c>
      <c r="Y192" s="27">
        <v>43102</v>
      </c>
      <c r="Z192" s="34">
        <v>5330250</v>
      </c>
      <c r="AA192" s="17"/>
      <c r="AB192" s="17">
        <v>15</v>
      </c>
      <c r="AC192" s="30">
        <v>43102</v>
      </c>
      <c r="AD192" s="19">
        <v>5330250</v>
      </c>
      <c r="AE192" s="19">
        <f t="shared" si="3"/>
        <v>0</v>
      </c>
      <c r="AF192" s="14">
        <v>502</v>
      </c>
      <c r="AG192" s="1" t="s">
        <v>559</v>
      </c>
      <c r="AH192" s="19">
        <v>5330250</v>
      </c>
      <c r="AI192" s="1" t="s">
        <v>560</v>
      </c>
      <c r="AJ192" s="1">
        <v>413</v>
      </c>
      <c r="AK192" s="19">
        <f t="shared" si="4"/>
        <v>0</v>
      </c>
      <c r="AL192" s="19">
        <v>2348400</v>
      </c>
      <c r="AM192" s="19">
        <f t="shared" si="5"/>
        <v>2981850</v>
      </c>
      <c r="AN192" s="14"/>
      <c r="AO192" s="21">
        <f t="shared" si="6"/>
        <v>0</v>
      </c>
      <c r="AP192" s="14"/>
      <c r="AQ192" s="30">
        <v>43102</v>
      </c>
      <c r="AR192" s="14" t="s">
        <v>520</v>
      </c>
      <c r="AS192" s="30">
        <v>43102</v>
      </c>
      <c r="AT192" s="14" t="s">
        <v>521</v>
      </c>
      <c r="AU192" s="211"/>
    </row>
    <row r="193" spans="1:47" ht="395.25" x14ac:dyDescent="0.2">
      <c r="A193" s="1">
        <f t="shared" si="9"/>
        <v>50</v>
      </c>
      <c r="B193" s="2" t="str">
        <f t="shared" si="7"/>
        <v>208-50</v>
      </c>
      <c r="C193" s="3" t="s">
        <v>484</v>
      </c>
      <c r="D193" s="4" t="s">
        <v>485</v>
      </c>
      <c r="E193" s="22" t="s">
        <v>499</v>
      </c>
      <c r="F193" s="7" t="s">
        <v>511</v>
      </c>
      <c r="G193" s="22" t="s">
        <v>512</v>
      </c>
      <c r="H193" s="7" t="s">
        <v>513</v>
      </c>
      <c r="I193" s="7" t="s">
        <v>54</v>
      </c>
      <c r="J193" s="7" t="s">
        <v>55</v>
      </c>
      <c r="K193" s="1">
        <v>801116</v>
      </c>
      <c r="L193" s="7" t="s">
        <v>492</v>
      </c>
      <c r="M193" s="7" t="s">
        <v>493</v>
      </c>
      <c r="N193" s="7" t="s">
        <v>494</v>
      </c>
      <c r="O193" s="7" t="s">
        <v>504</v>
      </c>
      <c r="P193" s="23" t="s">
        <v>555</v>
      </c>
      <c r="Q193" s="62">
        <f t="shared" si="8"/>
        <v>1081500</v>
      </c>
      <c r="R193" s="24">
        <v>1</v>
      </c>
      <c r="S193" s="63">
        <v>12437250</v>
      </c>
      <c r="T193" s="11" t="s">
        <v>528</v>
      </c>
      <c r="U193" s="26" t="s">
        <v>58</v>
      </c>
      <c r="V193" s="26" t="s">
        <v>516</v>
      </c>
      <c r="W193" s="33">
        <v>11.5</v>
      </c>
      <c r="X193" s="14">
        <v>65</v>
      </c>
      <c r="Y193" s="27">
        <v>43102</v>
      </c>
      <c r="Z193" s="34">
        <v>12437250</v>
      </c>
      <c r="AA193" s="17"/>
      <c r="AB193" s="17">
        <v>15</v>
      </c>
      <c r="AC193" s="30">
        <v>43102</v>
      </c>
      <c r="AD193" s="19">
        <v>12437250</v>
      </c>
      <c r="AE193" s="19">
        <f t="shared" si="3"/>
        <v>0</v>
      </c>
      <c r="AF193" s="14">
        <v>502</v>
      </c>
      <c r="AG193" s="1" t="s">
        <v>559</v>
      </c>
      <c r="AH193" s="19">
        <v>12437250</v>
      </c>
      <c r="AI193" s="1" t="s">
        <v>560</v>
      </c>
      <c r="AJ193" s="1">
        <v>413</v>
      </c>
      <c r="AK193" s="19">
        <f t="shared" si="4"/>
        <v>0</v>
      </c>
      <c r="AL193" s="19">
        <v>5479600</v>
      </c>
      <c r="AM193" s="19">
        <f t="shared" si="5"/>
        <v>6957650</v>
      </c>
      <c r="AN193" s="14"/>
      <c r="AO193" s="21">
        <f t="shared" si="6"/>
        <v>0</v>
      </c>
      <c r="AP193" s="14"/>
      <c r="AQ193" s="30">
        <v>43102</v>
      </c>
      <c r="AR193" s="14" t="s">
        <v>520</v>
      </c>
      <c r="AS193" s="30">
        <v>43102</v>
      </c>
      <c r="AT193" s="14" t="s">
        <v>521</v>
      </c>
      <c r="AU193" s="211"/>
    </row>
    <row r="194" spans="1:47" ht="395.25" x14ac:dyDescent="0.2">
      <c r="A194" s="1">
        <f t="shared" si="9"/>
        <v>51</v>
      </c>
      <c r="B194" s="2" t="str">
        <f t="shared" si="7"/>
        <v>208-51</v>
      </c>
      <c r="C194" s="3" t="s">
        <v>484</v>
      </c>
      <c r="D194" s="4" t="s">
        <v>485</v>
      </c>
      <c r="E194" s="5" t="s">
        <v>486</v>
      </c>
      <c r="F194" s="7" t="s">
        <v>511</v>
      </c>
      <c r="G194" s="22" t="s">
        <v>512</v>
      </c>
      <c r="H194" s="7" t="s">
        <v>513</v>
      </c>
      <c r="I194" s="7" t="s">
        <v>54</v>
      </c>
      <c r="J194" s="7" t="s">
        <v>55</v>
      </c>
      <c r="K194" s="1">
        <v>801116</v>
      </c>
      <c r="L194" s="7" t="s">
        <v>492</v>
      </c>
      <c r="M194" s="7" t="s">
        <v>493</v>
      </c>
      <c r="N194" s="7" t="s">
        <v>494</v>
      </c>
      <c r="O194" s="7" t="s">
        <v>504</v>
      </c>
      <c r="P194" s="23" t="s">
        <v>555</v>
      </c>
      <c r="Q194" s="62">
        <f t="shared" si="8"/>
        <v>463500</v>
      </c>
      <c r="R194" s="24">
        <v>1</v>
      </c>
      <c r="S194" s="63">
        <v>5330250</v>
      </c>
      <c r="T194" s="11" t="s">
        <v>528</v>
      </c>
      <c r="U194" s="26" t="s">
        <v>58</v>
      </c>
      <c r="V194" s="26" t="s">
        <v>516</v>
      </c>
      <c r="W194" s="33">
        <v>11.5</v>
      </c>
      <c r="X194" s="14">
        <v>64</v>
      </c>
      <c r="Y194" s="27">
        <v>43102</v>
      </c>
      <c r="Z194" s="34">
        <v>5330250</v>
      </c>
      <c r="AA194" s="17"/>
      <c r="AB194" s="17">
        <v>14</v>
      </c>
      <c r="AC194" s="30">
        <v>43102</v>
      </c>
      <c r="AD194" s="19">
        <v>5330250</v>
      </c>
      <c r="AE194" s="19">
        <f t="shared" si="3"/>
        <v>0</v>
      </c>
      <c r="AF194" s="14">
        <v>160</v>
      </c>
      <c r="AG194" s="31">
        <v>43118</v>
      </c>
      <c r="AH194" s="19">
        <v>5330250</v>
      </c>
      <c r="AI194" s="1" t="s">
        <v>561</v>
      </c>
      <c r="AJ194" s="1">
        <v>133</v>
      </c>
      <c r="AK194" s="19">
        <f t="shared" si="4"/>
        <v>0</v>
      </c>
      <c r="AL194" s="19">
        <v>2518350</v>
      </c>
      <c r="AM194" s="19">
        <f t="shared" si="5"/>
        <v>2811900</v>
      </c>
      <c r="AN194" s="14"/>
      <c r="AO194" s="21">
        <f t="shared" si="6"/>
        <v>0</v>
      </c>
      <c r="AP194" s="14"/>
      <c r="AQ194" s="30">
        <v>43102</v>
      </c>
      <c r="AR194" s="14" t="s">
        <v>520</v>
      </c>
      <c r="AS194" s="30">
        <v>43102</v>
      </c>
      <c r="AT194" s="14" t="s">
        <v>521</v>
      </c>
      <c r="AU194" s="211"/>
    </row>
    <row r="195" spans="1:47" ht="395.25" x14ac:dyDescent="0.2">
      <c r="A195" s="1">
        <f t="shared" si="9"/>
        <v>52</v>
      </c>
      <c r="B195" s="2" t="str">
        <f t="shared" si="7"/>
        <v>208-52</v>
      </c>
      <c r="C195" s="3" t="s">
        <v>484</v>
      </c>
      <c r="D195" s="4" t="s">
        <v>485</v>
      </c>
      <c r="E195" s="22" t="s">
        <v>499</v>
      </c>
      <c r="F195" s="7" t="s">
        <v>511</v>
      </c>
      <c r="G195" s="22" t="s">
        <v>512</v>
      </c>
      <c r="H195" s="7" t="s">
        <v>513</v>
      </c>
      <c r="I195" s="7" t="s">
        <v>54</v>
      </c>
      <c r="J195" s="7" t="s">
        <v>55</v>
      </c>
      <c r="K195" s="1">
        <v>801116</v>
      </c>
      <c r="L195" s="7" t="s">
        <v>492</v>
      </c>
      <c r="M195" s="7" t="s">
        <v>493</v>
      </c>
      <c r="N195" s="7" t="s">
        <v>494</v>
      </c>
      <c r="O195" s="7" t="s">
        <v>504</v>
      </c>
      <c r="P195" s="23" t="s">
        <v>555</v>
      </c>
      <c r="Q195" s="62">
        <f t="shared" si="8"/>
        <v>1081500</v>
      </c>
      <c r="R195" s="24">
        <v>1</v>
      </c>
      <c r="S195" s="63">
        <v>12437250</v>
      </c>
      <c r="T195" s="11" t="s">
        <v>528</v>
      </c>
      <c r="U195" s="26" t="s">
        <v>58</v>
      </c>
      <c r="V195" s="26" t="s">
        <v>516</v>
      </c>
      <c r="W195" s="33">
        <v>11.5</v>
      </c>
      <c r="X195" s="14">
        <v>63</v>
      </c>
      <c r="Y195" s="27">
        <v>43102</v>
      </c>
      <c r="Z195" s="34">
        <v>12437250</v>
      </c>
      <c r="AA195" s="17"/>
      <c r="AB195" s="17">
        <v>14</v>
      </c>
      <c r="AC195" s="30">
        <v>43102</v>
      </c>
      <c r="AD195" s="19">
        <v>12437250</v>
      </c>
      <c r="AE195" s="19">
        <f t="shared" si="3"/>
        <v>0</v>
      </c>
      <c r="AF195" s="14">
        <v>160</v>
      </c>
      <c r="AG195" s="31">
        <v>43118</v>
      </c>
      <c r="AH195" s="19">
        <v>12437250</v>
      </c>
      <c r="AI195" s="1" t="s">
        <v>561</v>
      </c>
      <c r="AJ195" s="1">
        <v>133</v>
      </c>
      <c r="AK195" s="19">
        <f t="shared" si="4"/>
        <v>0</v>
      </c>
      <c r="AL195" s="19">
        <v>5876150</v>
      </c>
      <c r="AM195" s="19">
        <f t="shared" si="5"/>
        <v>6561100</v>
      </c>
      <c r="AN195" s="14"/>
      <c r="AO195" s="21">
        <f t="shared" si="6"/>
        <v>0</v>
      </c>
      <c r="AP195" s="14"/>
      <c r="AQ195" s="30">
        <v>43102</v>
      </c>
      <c r="AR195" s="14" t="s">
        <v>520</v>
      </c>
      <c r="AS195" s="30">
        <v>43102</v>
      </c>
      <c r="AT195" s="14" t="s">
        <v>521</v>
      </c>
      <c r="AU195" s="211"/>
    </row>
    <row r="196" spans="1:47" ht="395.25" x14ac:dyDescent="0.2">
      <c r="A196" s="1">
        <f t="shared" si="9"/>
        <v>53</v>
      </c>
      <c r="B196" s="2" t="str">
        <f t="shared" si="7"/>
        <v>208-53</v>
      </c>
      <c r="C196" s="3" t="s">
        <v>484</v>
      </c>
      <c r="D196" s="4" t="s">
        <v>485</v>
      </c>
      <c r="E196" s="5" t="s">
        <v>486</v>
      </c>
      <c r="F196" s="7" t="s">
        <v>511</v>
      </c>
      <c r="G196" s="22" t="s">
        <v>512</v>
      </c>
      <c r="H196" s="7" t="s">
        <v>513</v>
      </c>
      <c r="I196" s="7" t="s">
        <v>54</v>
      </c>
      <c r="J196" s="7" t="s">
        <v>55</v>
      </c>
      <c r="K196" s="1">
        <v>801116</v>
      </c>
      <c r="L196" s="7" t="s">
        <v>492</v>
      </c>
      <c r="M196" s="7" t="s">
        <v>493</v>
      </c>
      <c r="N196" s="7" t="s">
        <v>494</v>
      </c>
      <c r="O196" s="7" t="s">
        <v>504</v>
      </c>
      <c r="P196" s="23" t="s">
        <v>562</v>
      </c>
      <c r="Q196" s="62">
        <f t="shared" si="8"/>
        <v>1066050</v>
      </c>
      <c r="R196" s="24">
        <v>1</v>
      </c>
      <c r="S196" s="63">
        <v>12259575</v>
      </c>
      <c r="T196" s="11" t="s">
        <v>528</v>
      </c>
      <c r="U196" s="26" t="s">
        <v>58</v>
      </c>
      <c r="V196" s="26" t="s">
        <v>516</v>
      </c>
      <c r="W196" s="33">
        <v>11.5</v>
      </c>
      <c r="X196" s="14">
        <v>62</v>
      </c>
      <c r="Y196" s="27">
        <v>43102</v>
      </c>
      <c r="Z196" s="34">
        <v>12259575</v>
      </c>
      <c r="AA196" s="17"/>
      <c r="AB196" s="17">
        <v>12</v>
      </c>
      <c r="AC196" s="30">
        <v>43102</v>
      </c>
      <c r="AD196" s="19">
        <v>12259575</v>
      </c>
      <c r="AE196" s="19">
        <f t="shared" si="3"/>
        <v>0</v>
      </c>
      <c r="AF196" s="35">
        <v>180</v>
      </c>
      <c r="AG196" s="30">
        <v>43118</v>
      </c>
      <c r="AH196" s="19">
        <v>12259575</v>
      </c>
      <c r="AI196" s="1" t="s">
        <v>563</v>
      </c>
      <c r="AJ196" s="1">
        <v>180</v>
      </c>
      <c r="AK196" s="19">
        <f t="shared" si="4"/>
        <v>0</v>
      </c>
      <c r="AL196" s="19">
        <v>5792205</v>
      </c>
      <c r="AM196" s="19">
        <f t="shared" si="5"/>
        <v>6467370</v>
      </c>
      <c r="AN196" s="14"/>
      <c r="AO196" s="21">
        <f t="shared" si="6"/>
        <v>0</v>
      </c>
      <c r="AP196" s="14"/>
      <c r="AQ196" s="30">
        <v>43102</v>
      </c>
      <c r="AR196" s="14" t="s">
        <v>520</v>
      </c>
      <c r="AS196" s="30">
        <v>43102</v>
      </c>
      <c r="AT196" s="14" t="s">
        <v>521</v>
      </c>
      <c r="AU196" s="211"/>
    </row>
    <row r="197" spans="1:47" ht="395.25" x14ac:dyDescent="0.2">
      <c r="A197" s="1">
        <f t="shared" si="9"/>
        <v>54</v>
      </c>
      <c r="B197" s="2" t="str">
        <f t="shared" si="7"/>
        <v>208-54</v>
      </c>
      <c r="C197" s="3" t="s">
        <v>484</v>
      </c>
      <c r="D197" s="4" t="s">
        <v>485</v>
      </c>
      <c r="E197" s="22" t="s">
        <v>499</v>
      </c>
      <c r="F197" s="7" t="s">
        <v>511</v>
      </c>
      <c r="G197" s="22" t="s">
        <v>512</v>
      </c>
      <c r="H197" s="7" t="s">
        <v>513</v>
      </c>
      <c r="I197" s="7" t="s">
        <v>54</v>
      </c>
      <c r="J197" s="7" t="s">
        <v>55</v>
      </c>
      <c r="K197" s="1">
        <v>801116</v>
      </c>
      <c r="L197" s="7" t="s">
        <v>492</v>
      </c>
      <c r="M197" s="7" t="s">
        <v>493</v>
      </c>
      <c r="N197" s="7" t="s">
        <v>494</v>
      </c>
      <c r="O197" s="7" t="s">
        <v>504</v>
      </c>
      <c r="P197" s="23" t="s">
        <v>562</v>
      </c>
      <c r="Q197" s="62">
        <f t="shared" si="8"/>
        <v>2487450</v>
      </c>
      <c r="R197" s="24">
        <v>1</v>
      </c>
      <c r="S197" s="63">
        <v>28605675</v>
      </c>
      <c r="T197" s="11" t="s">
        <v>528</v>
      </c>
      <c r="U197" s="26" t="s">
        <v>58</v>
      </c>
      <c r="V197" s="26" t="s">
        <v>516</v>
      </c>
      <c r="W197" s="33">
        <v>11.5</v>
      </c>
      <c r="X197" s="14">
        <v>61</v>
      </c>
      <c r="Y197" s="27">
        <v>43102</v>
      </c>
      <c r="Z197" s="34">
        <v>28605675</v>
      </c>
      <c r="AA197" s="17"/>
      <c r="AB197" s="17">
        <v>12</v>
      </c>
      <c r="AC197" s="30">
        <v>43102</v>
      </c>
      <c r="AD197" s="19">
        <v>28605675</v>
      </c>
      <c r="AE197" s="19">
        <f t="shared" si="3"/>
        <v>0</v>
      </c>
      <c r="AF197" s="35">
        <v>180</v>
      </c>
      <c r="AG197" s="30">
        <v>43118</v>
      </c>
      <c r="AH197" s="19">
        <v>28605675</v>
      </c>
      <c r="AI197" s="1" t="s">
        <v>563</v>
      </c>
      <c r="AJ197" s="1">
        <v>180</v>
      </c>
      <c r="AK197" s="19">
        <f t="shared" si="4"/>
        <v>0</v>
      </c>
      <c r="AL197" s="19">
        <v>13515145</v>
      </c>
      <c r="AM197" s="19">
        <f t="shared" si="5"/>
        <v>15090530</v>
      </c>
      <c r="AN197" s="14"/>
      <c r="AO197" s="21">
        <f t="shared" si="6"/>
        <v>0</v>
      </c>
      <c r="AP197" s="14"/>
      <c r="AQ197" s="30">
        <v>43102</v>
      </c>
      <c r="AR197" s="14" t="s">
        <v>520</v>
      </c>
      <c r="AS197" s="30">
        <v>43102</v>
      </c>
      <c r="AT197" s="14" t="s">
        <v>521</v>
      </c>
      <c r="AU197" s="211"/>
    </row>
    <row r="198" spans="1:47" ht="395.25" x14ac:dyDescent="0.2">
      <c r="A198" s="1">
        <f t="shared" si="9"/>
        <v>55</v>
      </c>
      <c r="B198" s="2" t="str">
        <f t="shared" si="7"/>
        <v>208-55</v>
      </c>
      <c r="C198" s="3" t="s">
        <v>484</v>
      </c>
      <c r="D198" s="4" t="s">
        <v>485</v>
      </c>
      <c r="E198" s="5" t="s">
        <v>486</v>
      </c>
      <c r="F198" s="7" t="s">
        <v>511</v>
      </c>
      <c r="G198" s="22" t="s">
        <v>512</v>
      </c>
      <c r="H198" s="7" t="s">
        <v>513</v>
      </c>
      <c r="I198" s="7" t="s">
        <v>54</v>
      </c>
      <c r="J198" s="7" t="s">
        <v>55</v>
      </c>
      <c r="K198" s="1">
        <v>801116</v>
      </c>
      <c r="L198" s="7" t="s">
        <v>492</v>
      </c>
      <c r="M198" s="7" t="s">
        <v>493</v>
      </c>
      <c r="N198" s="7" t="s">
        <v>494</v>
      </c>
      <c r="O198" s="7" t="s">
        <v>504</v>
      </c>
      <c r="P198" s="23" t="s">
        <v>562</v>
      </c>
      <c r="Q198" s="62">
        <f t="shared" si="8"/>
        <v>1066050</v>
      </c>
      <c r="R198" s="24">
        <v>1</v>
      </c>
      <c r="S198" s="63">
        <v>12259575</v>
      </c>
      <c r="T198" s="11" t="s">
        <v>528</v>
      </c>
      <c r="U198" s="26" t="s">
        <v>58</v>
      </c>
      <c r="V198" s="26" t="s">
        <v>516</v>
      </c>
      <c r="W198" s="33">
        <v>11.5</v>
      </c>
      <c r="X198" s="14">
        <v>60</v>
      </c>
      <c r="Y198" s="27">
        <v>43102</v>
      </c>
      <c r="Z198" s="34">
        <v>12259575</v>
      </c>
      <c r="AA198" s="17"/>
      <c r="AB198" s="17">
        <v>10</v>
      </c>
      <c r="AC198" s="30">
        <v>43102</v>
      </c>
      <c r="AD198" s="19">
        <v>12259575</v>
      </c>
      <c r="AE198" s="19">
        <f t="shared" si="3"/>
        <v>0</v>
      </c>
      <c r="AF198" s="14">
        <v>12</v>
      </c>
      <c r="AG198" s="31">
        <v>43112</v>
      </c>
      <c r="AH198" s="19">
        <v>12259575</v>
      </c>
      <c r="AI198" s="1" t="s">
        <v>564</v>
      </c>
      <c r="AJ198" s="1">
        <v>9</v>
      </c>
      <c r="AK198" s="19">
        <f t="shared" si="4"/>
        <v>0</v>
      </c>
      <c r="AL198" s="212">
        <v>5863275</v>
      </c>
      <c r="AM198" s="19">
        <f t="shared" si="5"/>
        <v>6396300</v>
      </c>
      <c r="AN198" s="14"/>
      <c r="AO198" s="21">
        <f t="shared" si="6"/>
        <v>0</v>
      </c>
      <c r="AP198" s="14"/>
      <c r="AQ198" s="30">
        <v>43102</v>
      </c>
      <c r="AR198" s="14" t="s">
        <v>520</v>
      </c>
      <c r="AS198" s="30">
        <v>43102</v>
      </c>
      <c r="AT198" s="14" t="s">
        <v>521</v>
      </c>
      <c r="AU198" s="211"/>
    </row>
    <row r="199" spans="1:47" ht="395.25" x14ac:dyDescent="0.2">
      <c r="A199" s="1">
        <f t="shared" si="9"/>
        <v>56</v>
      </c>
      <c r="B199" s="2" t="str">
        <f t="shared" si="7"/>
        <v>208-56</v>
      </c>
      <c r="C199" s="3" t="s">
        <v>484</v>
      </c>
      <c r="D199" s="4" t="s">
        <v>485</v>
      </c>
      <c r="E199" s="22" t="s">
        <v>499</v>
      </c>
      <c r="F199" s="7" t="s">
        <v>511</v>
      </c>
      <c r="G199" s="22" t="s">
        <v>512</v>
      </c>
      <c r="H199" s="7" t="s">
        <v>513</v>
      </c>
      <c r="I199" s="7" t="s">
        <v>54</v>
      </c>
      <c r="J199" s="7" t="s">
        <v>55</v>
      </c>
      <c r="K199" s="1">
        <v>801116</v>
      </c>
      <c r="L199" s="7" t="s">
        <v>492</v>
      </c>
      <c r="M199" s="7" t="s">
        <v>493</v>
      </c>
      <c r="N199" s="7" t="s">
        <v>494</v>
      </c>
      <c r="O199" s="7" t="s">
        <v>504</v>
      </c>
      <c r="P199" s="23" t="s">
        <v>562</v>
      </c>
      <c r="Q199" s="62">
        <f t="shared" si="8"/>
        <v>2487450</v>
      </c>
      <c r="R199" s="24">
        <v>1</v>
      </c>
      <c r="S199" s="63">
        <v>28605675</v>
      </c>
      <c r="T199" s="11" t="s">
        <v>528</v>
      </c>
      <c r="U199" s="26" t="s">
        <v>58</v>
      </c>
      <c r="V199" s="26" t="s">
        <v>516</v>
      </c>
      <c r="W199" s="33">
        <v>11.5</v>
      </c>
      <c r="X199" s="14">
        <v>59</v>
      </c>
      <c r="Y199" s="27">
        <v>43102</v>
      </c>
      <c r="Z199" s="34">
        <v>28605675</v>
      </c>
      <c r="AA199" s="17"/>
      <c r="AB199" s="17">
        <v>10</v>
      </c>
      <c r="AC199" s="30">
        <v>43102</v>
      </c>
      <c r="AD199" s="19">
        <v>28605675</v>
      </c>
      <c r="AE199" s="19">
        <f t="shared" si="3"/>
        <v>0</v>
      </c>
      <c r="AF199" s="14">
        <v>12</v>
      </c>
      <c r="AG199" s="31">
        <v>43112</v>
      </c>
      <c r="AH199" s="19">
        <v>28605675</v>
      </c>
      <c r="AI199" s="1" t="s">
        <v>564</v>
      </c>
      <c r="AJ199" s="1">
        <v>9</v>
      </c>
      <c r="AK199" s="19">
        <f t="shared" si="4"/>
        <v>0</v>
      </c>
      <c r="AL199" s="19">
        <v>13680975</v>
      </c>
      <c r="AM199" s="19">
        <f t="shared" si="5"/>
        <v>14924700</v>
      </c>
      <c r="AN199" s="14"/>
      <c r="AO199" s="21">
        <f t="shared" si="6"/>
        <v>0</v>
      </c>
      <c r="AP199" s="14"/>
      <c r="AQ199" s="30">
        <v>43102</v>
      </c>
      <c r="AR199" s="14" t="s">
        <v>520</v>
      </c>
      <c r="AS199" s="30">
        <v>43102</v>
      </c>
      <c r="AT199" s="14" t="s">
        <v>521</v>
      </c>
      <c r="AU199" s="211"/>
    </row>
    <row r="200" spans="1:47" ht="395.25" x14ac:dyDescent="0.2">
      <c r="A200" s="1">
        <f t="shared" si="9"/>
        <v>57</v>
      </c>
      <c r="B200" s="2" t="str">
        <f t="shared" si="7"/>
        <v>208-57</v>
      </c>
      <c r="C200" s="3" t="s">
        <v>484</v>
      </c>
      <c r="D200" s="4" t="s">
        <v>485</v>
      </c>
      <c r="E200" s="5" t="s">
        <v>486</v>
      </c>
      <c r="F200" s="7" t="s">
        <v>511</v>
      </c>
      <c r="G200" s="22" t="s">
        <v>512</v>
      </c>
      <c r="H200" s="7" t="s">
        <v>513</v>
      </c>
      <c r="I200" s="7" t="s">
        <v>54</v>
      </c>
      <c r="J200" s="7" t="s">
        <v>55</v>
      </c>
      <c r="K200" s="1">
        <v>801116</v>
      </c>
      <c r="L200" s="7" t="s">
        <v>492</v>
      </c>
      <c r="M200" s="7" t="s">
        <v>493</v>
      </c>
      <c r="N200" s="7" t="s">
        <v>494</v>
      </c>
      <c r="O200" s="7" t="s">
        <v>504</v>
      </c>
      <c r="P200" s="23" t="s">
        <v>562</v>
      </c>
      <c r="Q200" s="62">
        <f t="shared" si="8"/>
        <v>1236000</v>
      </c>
      <c r="R200" s="24">
        <v>1</v>
      </c>
      <c r="S200" s="63">
        <v>14214000</v>
      </c>
      <c r="T200" s="11" t="s">
        <v>528</v>
      </c>
      <c r="U200" s="26" t="s">
        <v>58</v>
      </c>
      <c r="V200" s="26" t="s">
        <v>516</v>
      </c>
      <c r="W200" s="33">
        <v>11.5</v>
      </c>
      <c r="X200" s="14">
        <v>58</v>
      </c>
      <c r="Y200" s="27">
        <v>43102</v>
      </c>
      <c r="Z200" s="34">
        <v>14214000</v>
      </c>
      <c r="AA200" s="17"/>
      <c r="AB200" s="17">
        <v>9</v>
      </c>
      <c r="AC200" s="30">
        <v>43102</v>
      </c>
      <c r="AD200" s="19">
        <v>14214000</v>
      </c>
      <c r="AE200" s="19">
        <f t="shared" si="3"/>
        <v>0</v>
      </c>
      <c r="AF200" s="14">
        <v>60</v>
      </c>
      <c r="AG200" s="31">
        <v>43116</v>
      </c>
      <c r="AH200" s="19">
        <v>14214000</v>
      </c>
      <c r="AI200" s="1" t="s">
        <v>565</v>
      </c>
      <c r="AJ200" s="1">
        <v>25</v>
      </c>
      <c r="AK200" s="19">
        <f t="shared" si="4"/>
        <v>0</v>
      </c>
      <c r="AL200" s="19">
        <v>6756800.0999999996</v>
      </c>
      <c r="AM200" s="19">
        <f t="shared" si="5"/>
        <v>7457199.9000000004</v>
      </c>
      <c r="AN200" s="14"/>
      <c r="AO200" s="21">
        <f t="shared" si="6"/>
        <v>0</v>
      </c>
      <c r="AP200" s="14"/>
      <c r="AQ200" s="30">
        <v>43102</v>
      </c>
      <c r="AR200" s="14" t="s">
        <v>520</v>
      </c>
      <c r="AS200" s="30">
        <v>43102</v>
      </c>
      <c r="AT200" s="14" t="s">
        <v>521</v>
      </c>
      <c r="AU200" s="211"/>
    </row>
    <row r="201" spans="1:47" ht="395.25" x14ac:dyDescent="0.2">
      <c r="A201" s="1">
        <f t="shared" si="9"/>
        <v>58</v>
      </c>
      <c r="B201" s="2" t="str">
        <f t="shared" si="7"/>
        <v>208-58</v>
      </c>
      <c r="C201" s="3" t="s">
        <v>484</v>
      </c>
      <c r="D201" s="4" t="s">
        <v>485</v>
      </c>
      <c r="E201" s="22" t="s">
        <v>499</v>
      </c>
      <c r="F201" s="7" t="s">
        <v>511</v>
      </c>
      <c r="G201" s="22" t="s">
        <v>512</v>
      </c>
      <c r="H201" s="7" t="s">
        <v>513</v>
      </c>
      <c r="I201" s="7" t="s">
        <v>54</v>
      </c>
      <c r="J201" s="7" t="s">
        <v>55</v>
      </c>
      <c r="K201" s="1">
        <v>801116</v>
      </c>
      <c r="L201" s="7" t="s">
        <v>492</v>
      </c>
      <c r="M201" s="7" t="s">
        <v>493</v>
      </c>
      <c r="N201" s="7" t="s">
        <v>494</v>
      </c>
      <c r="O201" s="7" t="s">
        <v>504</v>
      </c>
      <c r="P201" s="23" t="s">
        <v>562</v>
      </c>
      <c r="Q201" s="62">
        <f t="shared" si="8"/>
        <v>2884000</v>
      </c>
      <c r="R201" s="24">
        <v>1</v>
      </c>
      <c r="S201" s="63">
        <v>33166000</v>
      </c>
      <c r="T201" s="11" t="s">
        <v>528</v>
      </c>
      <c r="U201" s="26" t="s">
        <v>58</v>
      </c>
      <c r="V201" s="26" t="s">
        <v>516</v>
      </c>
      <c r="W201" s="33">
        <v>11.5</v>
      </c>
      <c r="X201" s="14">
        <v>57</v>
      </c>
      <c r="Y201" s="27">
        <v>43102</v>
      </c>
      <c r="Z201" s="34">
        <v>33166000</v>
      </c>
      <c r="AA201" s="17"/>
      <c r="AB201" s="17">
        <v>9</v>
      </c>
      <c r="AC201" s="30">
        <v>43102</v>
      </c>
      <c r="AD201" s="19">
        <v>33166000</v>
      </c>
      <c r="AE201" s="19">
        <f t="shared" si="3"/>
        <v>0</v>
      </c>
      <c r="AF201" s="14">
        <v>60</v>
      </c>
      <c r="AG201" s="31">
        <v>43116</v>
      </c>
      <c r="AH201" s="19">
        <v>33166000</v>
      </c>
      <c r="AI201" s="1" t="s">
        <v>565</v>
      </c>
      <c r="AJ201" s="1">
        <v>25</v>
      </c>
      <c r="AK201" s="19">
        <f t="shared" si="4"/>
        <v>0</v>
      </c>
      <c r="AL201" s="19">
        <v>15765866.899999999</v>
      </c>
      <c r="AM201" s="19">
        <f t="shared" si="5"/>
        <v>17400133.100000001</v>
      </c>
      <c r="AN201" s="14"/>
      <c r="AO201" s="21">
        <f t="shared" si="6"/>
        <v>0</v>
      </c>
      <c r="AP201" s="14"/>
      <c r="AQ201" s="30">
        <v>43102</v>
      </c>
      <c r="AR201" s="14" t="s">
        <v>520</v>
      </c>
      <c r="AS201" s="30">
        <v>43102</v>
      </c>
      <c r="AT201" s="14" t="s">
        <v>521</v>
      </c>
      <c r="AU201" s="211"/>
    </row>
    <row r="202" spans="1:47" ht="395.25" x14ac:dyDescent="0.2">
      <c r="A202" s="1">
        <f t="shared" si="9"/>
        <v>59</v>
      </c>
      <c r="B202" s="2" t="str">
        <f t="shared" si="7"/>
        <v>208-59</v>
      </c>
      <c r="C202" s="3" t="s">
        <v>484</v>
      </c>
      <c r="D202" s="4" t="s">
        <v>485</v>
      </c>
      <c r="E202" s="5" t="s">
        <v>486</v>
      </c>
      <c r="F202" s="7" t="s">
        <v>511</v>
      </c>
      <c r="G202" s="22" t="s">
        <v>512</v>
      </c>
      <c r="H202" s="7" t="s">
        <v>513</v>
      </c>
      <c r="I202" s="7" t="s">
        <v>54</v>
      </c>
      <c r="J202" s="7" t="s">
        <v>55</v>
      </c>
      <c r="K202" s="1">
        <v>801116</v>
      </c>
      <c r="L202" s="7" t="s">
        <v>492</v>
      </c>
      <c r="M202" s="7" t="s">
        <v>493</v>
      </c>
      <c r="N202" s="7" t="s">
        <v>494</v>
      </c>
      <c r="O202" s="7" t="s">
        <v>504</v>
      </c>
      <c r="P202" s="23" t="s">
        <v>562</v>
      </c>
      <c r="Q202" s="62">
        <f t="shared" si="8"/>
        <v>1066050</v>
      </c>
      <c r="R202" s="24">
        <v>1</v>
      </c>
      <c r="S202" s="63">
        <v>12259575</v>
      </c>
      <c r="T202" s="11" t="s">
        <v>528</v>
      </c>
      <c r="U202" s="26" t="s">
        <v>58</v>
      </c>
      <c r="V202" s="26" t="s">
        <v>516</v>
      </c>
      <c r="W202" s="33">
        <v>11.5</v>
      </c>
      <c r="X202" s="14">
        <v>56</v>
      </c>
      <c r="Y202" s="27">
        <v>43102</v>
      </c>
      <c r="Z202" s="34">
        <v>12259575</v>
      </c>
      <c r="AA202" s="17"/>
      <c r="AB202" s="17">
        <v>7</v>
      </c>
      <c r="AC202" s="30">
        <v>43102</v>
      </c>
      <c r="AD202" s="19">
        <v>12259575</v>
      </c>
      <c r="AE202" s="19">
        <f t="shared" si="3"/>
        <v>0</v>
      </c>
      <c r="AF202" s="14">
        <v>9</v>
      </c>
      <c r="AG202" s="31">
        <v>43112</v>
      </c>
      <c r="AH202" s="19">
        <v>12259575</v>
      </c>
      <c r="AI202" s="1" t="s">
        <v>566</v>
      </c>
      <c r="AJ202" s="1">
        <v>13</v>
      </c>
      <c r="AK202" s="19">
        <f t="shared" si="4"/>
        <v>0</v>
      </c>
      <c r="AL202" s="19">
        <v>5863275</v>
      </c>
      <c r="AM202" s="19">
        <f t="shared" si="5"/>
        <v>6396300</v>
      </c>
      <c r="AN202" s="14"/>
      <c r="AO202" s="21">
        <f t="shared" si="6"/>
        <v>0</v>
      </c>
      <c r="AP202" s="14"/>
      <c r="AQ202" s="30">
        <v>43102</v>
      </c>
      <c r="AR202" s="14" t="s">
        <v>520</v>
      </c>
      <c r="AS202" s="30">
        <v>43102</v>
      </c>
      <c r="AT202" s="14" t="s">
        <v>521</v>
      </c>
      <c r="AU202" s="211"/>
    </row>
    <row r="203" spans="1:47" ht="395.25" x14ac:dyDescent="0.2">
      <c r="A203" s="1">
        <f t="shared" si="9"/>
        <v>60</v>
      </c>
      <c r="B203" s="2" t="str">
        <f t="shared" si="7"/>
        <v>208-60</v>
      </c>
      <c r="C203" s="3" t="s">
        <v>484</v>
      </c>
      <c r="D203" s="4" t="s">
        <v>485</v>
      </c>
      <c r="E203" s="22" t="s">
        <v>499</v>
      </c>
      <c r="F203" s="7" t="s">
        <v>511</v>
      </c>
      <c r="G203" s="22" t="s">
        <v>512</v>
      </c>
      <c r="H203" s="7" t="s">
        <v>513</v>
      </c>
      <c r="I203" s="7" t="s">
        <v>54</v>
      </c>
      <c r="J203" s="7" t="s">
        <v>55</v>
      </c>
      <c r="K203" s="1">
        <v>801116</v>
      </c>
      <c r="L203" s="7" t="s">
        <v>492</v>
      </c>
      <c r="M203" s="7" t="s">
        <v>493</v>
      </c>
      <c r="N203" s="7" t="s">
        <v>494</v>
      </c>
      <c r="O203" s="7" t="s">
        <v>504</v>
      </c>
      <c r="P203" s="23" t="s">
        <v>562</v>
      </c>
      <c r="Q203" s="62">
        <f t="shared" si="8"/>
        <v>2487450</v>
      </c>
      <c r="R203" s="24">
        <v>1</v>
      </c>
      <c r="S203" s="63">
        <v>28605675</v>
      </c>
      <c r="T203" s="11" t="s">
        <v>528</v>
      </c>
      <c r="U203" s="26" t="s">
        <v>58</v>
      </c>
      <c r="V203" s="26" t="s">
        <v>516</v>
      </c>
      <c r="W203" s="33">
        <v>11.5</v>
      </c>
      <c r="X203" s="14">
        <v>55</v>
      </c>
      <c r="Y203" s="27">
        <v>43102</v>
      </c>
      <c r="Z203" s="34">
        <v>28605675</v>
      </c>
      <c r="AA203" s="17"/>
      <c r="AB203" s="17">
        <v>7</v>
      </c>
      <c r="AC203" s="30">
        <v>43102</v>
      </c>
      <c r="AD203" s="19">
        <v>28605675</v>
      </c>
      <c r="AE203" s="19">
        <f t="shared" si="3"/>
        <v>0</v>
      </c>
      <c r="AF203" s="14">
        <v>9</v>
      </c>
      <c r="AG203" s="31">
        <v>43112</v>
      </c>
      <c r="AH203" s="19">
        <v>28605675</v>
      </c>
      <c r="AI203" s="1" t="s">
        <v>566</v>
      </c>
      <c r="AJ203" s="1">
        <v>13</v>
      </c>
      <c r="AK203" s="19">
        <f t="shared" si="4"/>
        <v>0</v>
      </c>
      <c r="AL203" s="19">
        <v>13680975</v>
      </c>
      <c r="AM203" s="19">
        <f t="shared" si="5"/>
        <v>14924700</v>
      </c>
      <c r="AN203" s="14"/>
      <c r="AO203" s="21">
        <f t="shared" si="6"/>
        <v>0</v>
      </c>
      <c r="AP203" s="14"/>
      <c r="AQ203" s="30">
        <v>43102</v>
      </c>
      <c r="AR203" s="14" t="s">
        <v>520</v>
      </c>
      <c r="AS203" s="30">
        <v>43102</v>
      </c>
      <c r="AT203" s="14" t="s">
        <v>521</v>
      </c>
      <c r="AU203" s="211"/>
    </row>
    <row r="204" spans="1:47" ht="395.25" x14ac:dyDescent="0.2">
      <c r="A204" s="1">
        <f t="shared" si="9"/>
        <v>61</v>
      </c>
      <c r="B204" s="2" t="str">
        <f t="shared" si="7"/>
        <v>208-61</v>
      </c>
      <c r="C204" s="3" t="s">
        <v>484</v>
      </c>
      <c r="D204" s="4" t="s">
        <v>485</v>
      </c>
      <c r="E204" s="5" t="s">
        <v>486</v>
      </c>
      <c r="F204" s="7" t="s">
        <v>511</v>
      </c>
      <c r="G204" s="22" t="s">
        <v>512</v>
      </c>
      <c r="H204" s="7" t="s">
        <v>513</v>
      </c>
      <c r="I204" s="7" t="s">
        <v>54</v>
      </c>
      <c r="J204" s="7" t="s">
        <v>55</v>
      </c>
      <c r="K204" s="1">
        <v>801116</v>
      </c>
      <c r="L204" s="7" t="s">
        <v>492</v>
      </c>
      <c r="M204" s="7" t="s">
        <v>493</v>
      </c>
      <c r="N204" s="7" t="s">
        <v>494</v>
      </c>
      <c r="O204" s="7" t="s">
        <v>504</v>
      </c>
      <c r="P204" s="23" t="s">
        <v>562</v>
      </c>
      <c r="Q204" s="62">
        <f t="shared" si="8"/>
        <v>0</v>
      </c>
      <c r="R204" s="24">
        <v>1</v>
      </c>
      <c r="S204" s="63">
        <f>11726550-11726550</f>
        <v>0</v>
      </c>
      <c r="T204" s="11" t="s">
        <v>528</v>
      </c>
      <c r="U204" s="26" t="s">
        <v>58</v>
      </c>
      <c r="V204" s="26" t="s">
        <v>516</v>
      </c>
      <c r="W204" s="33">
        <v>11.5</v>
      </c>
      <c r="X204" s="14" t="s">
        <v>567</v>
      </c>
      <c r="Y204" s="27"/>
      <c r="Z204" s="34"/>
      <c r="AA204" s="17"/>
      <c r="AB204" s="17"/>
      <c r="AC204" s="18"/>
      <c r="AD204" s="19"/>
      <c r="AE204" s="19">
        <f t="shared" si="3"/>
        <v>0</v>
      </c>
      <c r="AF204" s="14"/>
      <c r="AG204" s="20"/>
      <c r="AH204" s="19"/>
      <c r="AI204" s="1"/>
      <c r="AJ204" s="1"/>
      <c r="AK204" s="19">
        <f t="shared" si="4"/>
        <v>0</v>
      </c>
      <c r="AL204" s="19"/>
      <c r="AM204" s="19">
        <f t="shared" si="5"/>
        <v>0</v>
      </c>
      <c r="AN204" s="14"/>
      <c r="AO204" s="21">
        <f t="shared" si="6"/>
        <v>0</v>
      </c>
      <c r="AP204" s="14"/>
      <c r="AQ204" s="30">
        <v>43102</v>
      </c>
      <c r="AR204" s="14" t="s">
        <v>520</v>
      </c>
      <c r="AS204" s="30">
        <v>43102</v>
      </c>
      <c r="AT204" s="14" t="s">
        <v>521</v>
      </c>
      <c r="AU204" s="211"/>
    </row>
    <row r="205" spans="1:47" ht="395.25" x14ac:dyDescent="0.2">
      <c r="A205" s="1">
        <f t="shared" si="9"/>
        <v>62</v>
      </c>
      <c r="B205" s="2" t="str">
        <f t="shared" si="7"/>
        <v>208-62</v>
      </c>
      <c r="C205" s="3" t="s">
        <v>484</v>
      </c>
      <c r="D205" s="4" t="s">
        <v>485</v>
      </c>
      <c r="E205" s="22" t="s">
        <v>499</v>
      </c>
      <c r="F205" s="7" t="s">
        <v>511</v>
      </c>
      <c r="G205" s="22" t="s">
        <v>512</v>
      </c>
      <c r="H205" s="7" t="s">
        <v>513</v>
      </c>
      <c r="I205" s="7" t="s">
        <v>54</v>
      </c>
      <c r="J205" s="7" t="s">
        <v>55</v>
      </c>
      <c r="K205" s="1">
        <v>801116</v>
      </c>
      <c r="L205" s="7" t="s">
        <v>492</v>
      </c>
      <c r="M205" s="7" t="s">
        <v>493</v>
      </c>
      <c r="N205" s="7" t="s">
        <v>494</v>
      </c>
      <c r="O205" s="7" t="s">
        <v>504</v>
      </c>
      <c r="P205" s="23" t="s">
        <v>562</v>
      </c>
      <c r="Q205" s="62">
        <f t="shared" si="8"/>
        <v>0</v>
      </c>
      <c r="R205" s="24">
        <v>1</v>
      </c>
      <c r="S205" s="63">
        <f>27361950-27361950</f>
        <v>0</v>
      </c>
      <c r="T205" s="11" t="s">
        <v>528</v>
      </c>
      <c r="U205" s="26" t="s">
        <v>58</v>
      </c>
      <c r="V205" s="26" t="s">
        <v>516</v>
      </c>
      <c r="W205" s="33">
        <v>11.5</v>
      </c>
      <c r="X205" s="14" t="s">
        <v>568</v>
      </c>
      <c r="Y205" s="27"/>
      <c r="Z205" s="34"/>
      <c r="AA205" s="17"/>
      <c r="AB205" s="17"/>
      <c r="AC205" s="18"/>
      <c r="AD205" s="19"/>
      <c r="AE205" s="19">
        <f t="shared" si="3"/>
        <v>0</v>
      </c>
      <c r="AF205" s="14"/>
      <c r="AG205" s="20"/>
      <c r="AH205" s="19"/>
      <c r="AI205" s="1"/>
      <c r="AJ205" s="1"/>
      <c r="AK205" s="19">
        <f t="shared" si="4"/>
        <v>0</v>
      </c>
      <c r="AL205" s="19"/>
      <c r="AM205" s="19">
        <f t="shared" si="5"/>
        <v>0</v>
      </c>
      <c r="AN205" s="14"/>
      <c r="AO205" s="21">
        <f t="shared" si="6"/>
        <v>0</v>
      </c>
      <c r="AP205" s="14"/>
      <c r="AQ205" s="30">
        <v>43102</v>
      </c>
      <c r="AR205" s="14" t="s">
        <v>520</v>
      </c>
      <c r="AS205" s="30">
        <v>43102</v>
      </c>
      <c r="AT205" s="14" t="s">
        <v>521</v>
      </c>
      <c r="AU205" s="211"/>
    </row>
    <row r="206" spans="1:47" ht="344.25" x14ac:dyDescent="0.2">
      <c r="A206" s="1">
        <f t="shared" si="9"/>
        <v>63</v>
      </c>
      <c r="B206" s="2" t="str">
        <f t="shared" si="7"/>
        <v>208-63</v>
      </c>
      <c r="C206" s="3" t="s">
        <v>484</v>
      </c>
      <c r="D206" s="4" t="s">
        <v>485</v>
      </c>
      <c r="E206" s="5" t="s">
        <v>486</v>
      </c>
      <c r="F206" s="7" t="s">
        <v>511</v>
      </c>
      <c r="G206" s="22" t="s">
        <v>512</v>
      </c>
      <c r="H206" s="7" t="s">
        <v>513</v>
      </c>
      <c r="I206" s="7" t="s">
        <v>54</v>
      </c>
      <c r="J206" s="7" t="s">
        <v>55</v>
      </c>
      <c r="K206" s="1">
        <v>801116</v>
      </c>
      <c r="L206" s="7" t="s">
        <v>492</v>
      </c>
      <c r="M206" s="7" t="s">
        <v>493</v>
      </c>
      <c r="N206" s="7" t="s">
        <v>494</v>
      </c>
      <c r="O206" s="7" t="s">
        <v>504</v>
      </c>
      <c r="P206" s="23" t="s">
        <v>569</v>
      </c>
      <c r="Q206" s="62">
        <f t="shared" si="8"/>
        <v>616208.69565217395</v>
      </c>
      <c r="R206" s="24">
        <v>1</v>
      </c>
      <c r="S206" s="63">
        <f>7107000-20600</f>
        <v>7086400</v>
      </c>
      <c r="T206" s="11" t="s">
        <v>528</v>
      </c>
      <c r="U206" s="26" t="s">
        <v>58</v>
      </c>
      <c r="V206" s="26" t="s">
        <v>516</v>
      </c>
      <c r="W206" s="33">
        <v>11.5</v>
      </c>
      <c r="X206" s="14">
        <v>52</v>
      </c>
      <c r="Y206" s="27">
        <v>43102</v>
      </c>
      <c r="Z206" s="34">
        <v>7107000</v>
      </c>
      <c r="AA206" s="17"/>
      <c r="AB206" s="17">
        <v>4</v>
      </c>
      <c r="AC206" s="30">
        <v>43102</v>
      </c>
      <c r="AD206" s="19">
        <v>7086399.8999999994</v>
      </c>
      <c r="AE206" s="19">
        <f t="shared" si="3"/>
        <v>0.10000000055879354</v>
      </c>
      <c r="AF206" s="14">
        <v>40</v>
      </c>
      <c r="AG206" s="31">
        <v>43116</v>
      </c>
      <c r="AH206" s="19">
        <v>7086399.8999999994</v>
      </c>
      <c r="AI206" s="1" t="s">
        <v>570</v>
      </c>
      <c r="AJ206" s="1">
        <v>36</v>
      </c>
      <c r="AK206" s="19">
        <f t="shared" si="4"/>
        <v>0</v>
      </c>
      <c r="AL206" s="19">
        <v>4243599.8999999994</v>
      </c>
      <c r="AM206" s="19">
        <f t="shared" si="5"/>
        <v>2842800</v>
      </c>
      <c r="AN206" s="14"/>
      <c r="AO206" s="21">
        <f t="shared" si="6"/>
        <v>0.10000000055879354</v>
      </c>
      <c r="AP206" s="14"/>
      <c r="AQ206" s="30">
        <v>43102</v>
      </c>
      <c r="AR206" s="14" t="s">
        <v>520</v>
      </c>
      <c r="AS206" s="30">
        <v>43102</v>
      </c>
      <c r="AT206" s="14" t="s">
        <v>521</v>
      </c>
      <c r="AU206" s="211"/>
    </row>
    <row r="207" spans="1:47" ht="331.5" x14ac:dyDescent="0.2">
      <c r="A207" s="1">
        <f t="shared" si="9"/>
        <v>64</v>
      </c>
      <c r="B207" s="2" t="str">
        <f t="shared" si="7"/>
        <v>208-64</v>
      </c>
      <c r="C207" s="3" t="s">
        <v>484</v>
      </c>
      <c r="D207" s="4" t="s">
        <v>485</v>
      </c>
      <c r="E207" s="22" t="s">
        <v>499</v>
      </c>
      <c r="F207" s="7" t="s">
        <v>511</v>
      </c>
      <c r="G207" s="22" t="s">
        <v>512</v>
      </c>
      <c r="H207" s="7" t="s">
        <v>513</v>
      </c>
      <c r="I207" s="7" t="s">
        <v>54</v>
      </c>
      <c r="J207" s="7" t="s">
        <v>55</v>
      </c>
      <c r="K207" s="1">
        <v>801116</v>
      </c>
      <c r="L207" s="7" t="s">
        <v>492</v>
      </c>
      <c r="M207" s="7" t="s">
        <v>493</v>
      </c>
      <c r="N207" s="7" t="s">
        <v>494</v>
      </c>
      <c r="O207" s="7" t="s">
        <v>504</v>
      </c>
      <c r="P207" s="23" t="s">
        <v>569</v>
      </c>
      <c r="Q207" s="62">
        <f t="shared" si="8"/>
        <v>1437820.2608695652</v>
      </c>
      <c r="R207" s="24">
        <v>1</v>
      </c>
      <c r="S207" s="63">
        <f>16583000-48067</f>
        <v>16534933</v>
      </c>
      <c r="T207" s="11" t="s">
        <v>528</v>
      </c>
      <c r="U207" s="26" t="s">
        <v>58</v>
      </c>
      <c r="V207" s="26" t="s">
        <v>516</v>
      </c>
      <c r="W207" s="33">
        <v>11.5</v>
      </c>
      <c r="X207" s="14">
        <v>51</v>
      </c>
      <c r="Y207" s="27">
        <v>43102</v>
      </c>
      <c r="Z207" s="34">
        <v>16583000</v>
      </c>
      <c r="AA207" s="17"/>
      <c r="AB207" s="17">
        <v>4</v>
      </c>
      <c r="AC207" s="30">
        <v>43102</v>
      </c>
      <c r="AD207" s="19">
        <v>16534933.1</v>
      </c>
      <c r="AE207" s="19">
        <f t="shared" si="3"/>
        <v>-9.999999962747097E-2</v>
      </c>
      <c r="AF207" s="14">
        <v>40</v>
      </c>
      <c r="AG207" s="31">
        <v>43116</v>
      </c>
      <c r="AH207" s="19">
        <v>16534933.1</v>
      </c>
      <c r="AI207" s="1" t="s">
        <v>570</v>
      </c>
      <c r="AJ207" s="1">
        <v>36</v>
      </c>
      <c r="AK207" s="19">
        <f t="shared" si="4"/>
        <v>0</v>
      </c>
      <c r="AL207" s="19">
        <v>9901733.0999999996</v>
      </c>
      <c r="AM207" s="19">
        <f t="shared" si="5"/>
        <v>6633200</v>
      </c>
      <c r="AN207" s="14"/>
      <c r="AO207" s="21">
        <f t="shared" si="6"/>
        <v>-9.999999962747097E-2</v>
      </c>
      <c r="AP207" s="14"/>
      <c r="AQ207" s="30">
        <v>43102</v>
      </c>
      <c r="AR207" s="14" t="s">
        <v>520</v>
      </c>
      <c r="AS207" s="30">
        <v>43102</v>
      </c>
      <c r="AT207" s="14" t="s">
        <v>521</v>
      </c>
      <c r="AU207" s="211"/>
    </row>
    <row r="208" spans="1:47" ht="344.25" x14ac:dyDescent="0.2">
      <c r="A208" s="1">
        <f t="shared" si="9"/>
        <v>65</v>
      </c>
      <c r="B208" s="2" t="str">
        <f t="shared" si="7"/>
        <v>208-65</v>
      </c>
      <c r="C208" s="3" t="s">
        <v>484</v>
      </c>
      <c r="D208" s="4" t="s">
        <v>485</v>
      </c>
      <c r="E208" s="5" t="s">
        <v>486</v>
      </c>
      <c r="F208" s="7" t="s">
        <v>511</v>
      </c>
      <c r="G208" s="22" t="s">
        <v>512</v>
      </c>
      <c r="H208" s="7" t="s">
        <v>513</v>
      </c>
      <c r="I208" s="7" t="s">
        <v>54</v>
      </c>
      <c r="J208" s="7" t="s">
        <v>55</v>
      </c>
      <c r="K208" s="1">
        <v>801116</v>
      </c>
      <c r="L208" s="7" t="s">
        <v>492</v>
      </c>
      <c r="M208" s="7" t="s">
        <v>493</v>
      </c>
      <c r="N208" s="7" t="s">
        <v>494</v>
      </c>
      <c r="O208" s="7" t="s">
        <v>504</v>
      </c>
      <c r="P208" s="23" t="s">
        <v>571</v>
      </c>
      <c r="Q208" s="62">
        <f t="shared" si="8"/>
        <v>1236000</v>
      </c>
      <c r="R208" s="24">
        <v>1</v>
      </c>
      <c r="S208" s="63">
        <v>14214000</v>
      </c>
      <c r="T208" s="11" t="s">
        <v>528</v>
      </c>
      <c r="U208" s="26" t="s">
        <v>58</v>
      </c>
      <c r="V208" s="26" t="s">
        <v>516</v>
      </c>
      <c r="W208" s="33">
        <v>11.5</v>
      </c>
      <c r="X208" s="14">
        <v>50</v>
      </c>
      <c r="Y208" s="27">
        <v>43102</v>
      </c>
      <c r="Z208" s="34">
        <v>14214000</v>
      </c>
      <c r="AA208" s="17"/>
      <c r="AB208" s="17">
        <v>55</v>
      </c>
      <c r="AC208" s="30">
        <v>43103</v>
      </c>
      <c r="AD208" s="19">
        <v>14214000</v>
      </c>
      <c r="AE208" s="19">
        <f t="shared" ref="AE208:AE262" si="10">S208-AD208</f>
        <v>0</v>
      </c>
      <c r="AF208" s="14">
        <v>184</v>
      </c>
      <c r="AG208" s="31">
        <v>43118</v>
      </c>
      <c r="AH208" s="19">
        <v>14214000</v>
      </c>
      <c r="AI208" s="1" t="s">
        <v>572</v>
      </c>
      <c r="AJ208" s="1">
        <v>135</v>
      </c>
      <c r="AK208" s="19">
        <f t="shared" ref="AK208:AK271" si="11">AD208-AH208</f>
        <v>0</v>
      </c>
      <c r="AL208" s="19">
        <v>6715599.8999999994</v>
      </c>
      <c r="AM208" s="19">
        <f t="shared" ref="AM208:AM271" si="12">AH208-AL208</f>
        <v>7498400.1000000006</v>
      </c>
      <c r="AN208" s="14"/>
      <c r="AO208" s="21">
        <f t="shared" ref="AO208:AO271" si="13">S208-AH208</f>
        <v>0</v>
      </c>
      <c r="AP208" s="14"/>
      <c r="AQ208" s="30">
        <v>43102</v>
      </c>
      <c r="AR208" s="14" t="s">
        <v>520</v>
      </c>
      <c r="AS208" s="30">
        <v>43102</v>
      </c>
      <c r="AT208" s="14" t="s">
        <v>521</v>
      </c>
      <c r="AU208" s="211"/>
    </row>
    <row r="209" spans="1:47" ht="331.5" x14ac:dyDescent="0.2">
      <c r="A209" s="1">
        <f t="shared" si="9"/>
        <v>66</v>
      </c>
      <c r="B209" s="2" t="str">
        <f t="shared" ref="B209:B263" si="14">+CONCATENATE("208-",A209)</f>
        <v>208-66</v>
      </c>
      <c r="C209" s="3" t="s">
        <v>484</v>
      </c>
      <c r="D209" s="4" t="s">
        <v>485</v>
      </c>
      <c r="E209" s="22" t="s">
        <v>499</v>
      </c>
      <c r="F209" s="7" t="s">
        <v>511</v>
      </c>
      <c r="G209" s="22" t="s">
        <v>512</v>
      </c>
      <c r="H209" s="7" t="s">
        <v>513</v>
      </c>
      <c r="I209" s="7" t="s">
        <v>54</v>
      </c>
      <c r="J209" s="7" t="s">
        <v>55</v>
      </c>
      <c r="K209" s="1">
        <v>801116</v>
      </c>
      <c r="L209" s="7" t="s">
        <v>492</v>
      </c>
      <c r="M209" s="7" t="s">
        <v>493</v>
      </c>
      <c r="N209" s="7" t="s">
        <v>494</v>
      </c>
      <c r="O209" s="7" t="s">
        <v>504</v>
      </c>
      <c r="P209" s="23" t="s">
        <v>571</v>
      </c>
      <c r="Q209" s="62">
        <f t="shared" ref="Q209:Q261" si="15">(S209/W209)/R209</f>
        <v>2884000</v>
      </c>
      <c r="R209" s="24">
        <v>1</v>
      </c>
      <c r="S209" s="63">
        <v>33166000</v>
      </c>
      <c r="T209" s="11" t="s">
        <v>528</v>
      </c>
      <c r="U209" s="26" t="s">
        <v>58</v>
      </c>
      <c r="V209" s="26" t="s">
        <v>516</v>
      </c>
      <c r="W209" s="33">
        <v>11.5</v>
      </c>
      <c r="X209" s="14">
        <v>49</v>
      </c>
      <c r="Y209" s="27">
        <v>43102</v>
      </c>
      <c r="Z209" s="34">
        <v>33166000</v>
      </c>
      <c r="AA209" s="17"/>
      <c r="AB209" s="17">
        <v>55</v>
      </c>
      <c r="AC209" s="30">
        <v>43103</v>
      </c>
      <c r="AD209" s="19">
        <v>33166000</v>
      </c>
      <c r="AE209" s="19">
        <f t="shared" si="10"/>
        <v>0</v>
      </c>
      <c r="AF209" s="14">
        <v>184</v>
      </c>
      <c r="AG209" s="31">
        <v>43118</v>
      </c>
      <c r="AH209" s="19">
        <v>33166000</v>
      </c>
      <c r="AI209" s="1" t="s">
        <v>572</v>
      </c>
      <c r="AJ209" s="1">
        <v>135</v>
      </c>
      <c r="AK209" s="19">
        <f t="shared" si="11"/>
        <v>0</v>
      </c>
      <c r="AL209" s="19">
        <v>15669733.1</v>
      </c>
      <c r="AM209" s="19">
        <f t="shared" si="12"/>
        <v>17496266.899999999</v>
      </c>
      <c r="AN209" s="14"/>
      <c r="AO209" s="21">
        <f t="shared" si="13"/>
        <v>0</v>
      </c>
      <c r="AP209" s="14"/>
      <c r="AQ209" s="30">
        <v>43102</v>
      </c>
      <c r="AR209" s="14" t="s">
        <v>520</v>
      </c>
      <c r="AS209" s="30">
        <v>43102</v>
      </c>
      <c r="AT209" s="14" t="s">
        <v>521</v>
      </c>
      <c r="AU209" s="211"/>
    </row>
    <row r="210" spans="1:47" ht="344.25" x14ac:dyDescent="0.2">
      <c r="A210" s="1">
        <f t="shared" ref="A210:A262" si="16">A209+1</f>
        <v>67</v>
      </c>
      <c r="B210" s="2" t="str">
        <f t="shared" si="14"/>
        <v>208-67</v>
      </c>
      <c r="C210" s="3" t="s">
        <v>484</v>
      </c>
      <c r="D210" s="4" t="s">
        <v>485</v>
      </c>
      <c r="E210" s="5" t="s">
        <v>486</v>
      </c>
      <c r="F210" s="7" t="s">
        <v>511</v>
      </c>
      <c r="G210" s="22" t="s">
        <v>512</v>
      </c>
      <c r="H210" s="7" t="s">
        <v>513</v>
      </c>
      <c r="I210" s="7" t="s">
        <v>54</v>
      </c>
      <c r="J210" s="7" t="s">
        <v>55</v>
      </c>
      <c r="K210" s="1">
        <v>801116</v>
      </c>
      <c r="L210" s="7" t="s">
        <v>492</v>
      </c>
      <c r="M210" s="7" t="s">
        <v>493</v>
      </c>
      <c r="N210" s="7" t="s">
        <v>494</v>
      </c>
      <c r="O210" s="7" t="s">
        <v>504</v>
      </c>
      <c r="P210" s="23" t="s">
        <v>571</v>
      </c>
      <c r="Q210" s="62">
        <f t="shared" si="15"/>
        <v>1066050</v>
      </c>
      <c r="R210" s="24">
        <v>1</v>
      </c>
      <c r="S210" s="63">
        <v>12259575</v>
      </c>
      <c r="T210" s="11" t="s">
        <v>528</v>
      </c>
      <c r="U210" s="26" t="s">
        <v>58</v>
      </c>
      <c r="V210" s="26" t="s">
        <v>516</v>
      </c>
      <c r="W210" s="33">
        <v>11.5</v>
      </c>
      <c r="X210" s="14">
        <v>48</v>
      </c>
      <c r="Y210" s="27">
        <v>43102</v>
      </c>
      <c r="Z210" s="34">
        <v>12259575</v>
      </c>
      <c r="AA210" s="17"/>
      <c r="AB210" s="17">
        <v>54</v>
      </c>
      <c r="AC210" s="30">
        <v>43103</v>
      </c>
      <c r="AD210" s="19">
        <v>12259575</v>
      </c>
      <c r="AE210" s="19">
        <f t="shared" si="10"/>
        <v>0</v>
      </c>
      <c r="AF210" s="14">
        <v>15</v>
      </c>
      <c r="AG210" s="31">
        <v>43112</v>
      </c>
      <c r="AH210" s="19">
        <v>12259575</v>
      </c>
      <c r="AI210" s="1" t="s">
        <v>573</v>
      </c>
      <c r="AJ210" s="1">
        <v>11</v>
      </c>
      <c r="AK210" s="19">
        <f t="shared" si="11"/>
        <v>0</v>
      </c>
      <c r="AL210" s="19">
        <v>5863275</v>
      </c>
      <c r="AM210" s="19">
        <f t="shared" si="12"/>
        <v>6396300</v>
      </c>
      <c r="AN210" s="14"/>
      <c r="AO210" s="21">
        <f t="shared" si="13"/>
        <v>0</v>
      </c>
      <c r="AP210" s="14"/>
      <c r="AQ210" s="30">
        <v>43102</v>
      </c>
      <c r="AR210" s="14" t="s">
        <v>520</v>
      </c>
      <c r="AS210" s="30">
        <v>43102</v>
      </c>
      <c r="AT210" s="14" t="s">
        <v>521</v>
      </c>
      <c r="AU210" s="211"/>
    </row>
    <row r="211" spans="1:47" ht="331.5" x14ac:dyDescent="0.2">
      <c r="A211" s="1">
        <f t="shared" si="16"/>
        <v>68</v>
      </c>
      <c r="B211" s="2" t="str">
        <f t="shared" si="14"/>
        <v>208-68</v>
      </c>
      <c r="C211" s="3" t="s">
        <v>484</v>
      </c>
      <c r="D211" s="4" t="s">
        <v>485</v>
      </c>
      <c r="E211" s="22" t="s">
        <v>499</v>
      </c>
      <c r="F211" s="7" t="s">
        <v>511</v>
      </c>
      <c r="G211" s="22" t="s">
        <v>512</v>
      </c>
      <c r="H211" s="7" t="s">
        <v>513</v>
      </c>
      <c r="I211" s="7" t="s">
        <v>54</v>
      </c>
      <c r="J211" s="7" t="s">
        <v>55</v>
      </c>
      <c r="K211" s="1">
        <v>801116</v>
      </c>
      <c r="L211" s="7" t="s">
        <v>492</v>
      </c>
      <c r="M211" s="7" t="s">
        <v>493</v>
      </c>
      <c r="N211" s="7" t="s">
        <v>494</v>
      </c>
      <c r="O211" s="7" t="s">
        <v>504</v>
      </c>
      <c r="P211" s="23" t="s">
        <v>571</v>
      </c>
      <c r="Q211" s="62">
        <f t="shared" si="15"/>
        <v>2487450</v>
      </c>
      <c r="R211" s="24">
        <v>1</v>
      </c>
      <c r="S211" s="63">
        <v>28605675</v>
      </c>
      <c r="T211" s="11" t="s">
        <v>528</v>
      </c>
      <c r="U211" s="26" t="s">
        <v>58</v>
      </c>
      <c r="V211" s="26" t="s">
        <v>516</v>
      </c>
      <c r="W211" s="33">
        <v>11.5</v>
      </c>
      <c r="X211" s="14">
        <v>47</v>
      </c>
      <c r="Y211" s="27">
        <v>43102</v>
      </c>
      <c r="Z211" s="34">
        <v>28605675</v>
      </c>
      <c r="AA211" s="17"/>
      <c r="AB211" s="17">
        <v>54</v>
      </c>
      <c r="AC211" s="30">
        <v>43103</v>
      </c>
      <c r="AD211" s="19">
        <v>28605675</v>
      </c>
      <c r="AE211" s="19">
        <f t="shared" si="10"/>
        <v>0</v>
      </c>
      <c r="AF211" s="14">
        <v>15</v>
      </c>
      <c r="AG211" s="31">
        <v>43112</v>
      </c>
      <c r="AH211" s="19">
        <v>28605675</v>
      </c>
      <c r="AI211" s="1" t="s">
        <v>573</v>
      </c>
      <c r="AJ211" s="1">
        <v>11</v>
      </c>
      <c r="AK211" s="19">
        <f t="shared" si="11"/>
        <v>0</v>
      </c>
      <c r="AL211" s="19">
        <v>13680975</v>
      </c>
      <c r="AM211" s="19">
        <f t="shared" si="12"/>
        <v>14924700</v>
      </c>
      <c r="AN211" s="14"/>
      <c r="AO211" s="21">
        <f t="shared" si="13"/>
        <v>0</v>
      </c>
      <c r="AP211" s="14"/>
      <c r="AQ211" s="30">
        <v>43102</v>
      </c>
      <c r="AR211" s="14" t="s">
        <v>520</v>
      </c>
      <c r="AS211" s="30">
        <v>43102</v>
      </c>
      <c r="AT211" s="14" t="s">
        <v>521</v>
      </c>
      <c r="AU211" s="211"/>
    </row>
    <row r="212" spans="1:47" ht="344.25" x14ac:dyDescent="0.2">
      <c r="A212" s="1">
        <f t="shared" si="16"/>
        <v>69</v>
      </c>
      <c r="B212" s="2" t="str">
        <f t="shared" si="14"/>
        <v>208-69</v>
      </c>
      <c r="C212" s="3" t="s">
        <v>484</v>
      </c>
      <c r="D212" s="4" t="s">
        <v>485</v>
      </c>
      <c r="E212" s="5" t="s">
        <v>486</v>
      </c>
      <c r="F212" s="7" t="s">
        <v>511</v>
      </c>
      <c r="G212" s="22" t="s">
        <v>512</v>
      </c>
      <c r="H212" s="7" t="s">
        <v>513</v>
      </c>
      <c r="I212" s="7" t="s">
        <v>54</v>
      </c>
      <c r="J212" s="7" t="s">
        <v>55</v>
      </c>
      <c r="K212" s="1">
        <v>801116</v>
      </c>
      <c r="L212" s="7" t="s">
        <v>492</v>
      </c>
      <c r="M212" s="7" t="s">
        <v>493</v>
      </c>
      <c r="N212" s="7" t="s">
        <v>494</v>
      </c>
      <c r="O212" s="7" t="s">
        <v>504</v>
      </c>
      <c r="P212" s="23" t="s">
        <v>571</v>
      </c>
      <c r="Q212" s="62">
        <f t="shared" si="15"/>
        <v>1066050</v>
      </c>
      <c r="R212" s="24">
        <v>1</v>
      </c>
      <c r="S212" s="63">
        <v>12259575</v>
      </c>
      <c r="T212" s="11" t="s">
        <v>528</v>
      </c>
      <c r="U212" s="26" t="s">
        <v>58</v>
      </c>
      <c r="V212" s="26" t="s">
        <v>516</v>
      </c>
      <c r="W212" s="33">
        <v>11.5</v>
      </c>
      <c r="X212" s="14">
        <v>46</v>
      </c>
      <c r="Y212" s="27">
        <v>43102</v>
      </c>
      <c r="Z212" s="34">
        <v>12259575</v>
      </c>
      <c r="AA212" s="17"/>
      <c r="AB212" s="17">
        <v>53</v>
      </c>
      <c r="AC212" s="30">
        <v>43103</v>
      </c>
      <c r="AD212" s="19">
        <v>12259575</v>
      </c>
      <c r="AE212" s="19">
        <f t="shared" si="10"/>
        <v>0</v>
      </c>
      <c r="AF212" s="14">
        <v>183</v>
      </c>
      <c r="AG212" s="31">
        <v>43118</v>
      </c>
      <c r="AH212" s="19">
        <v>12259575</v>
      </c>
      <c r="AI212" s="1" t="s">
        <v>574</v>
      </c>
      <c r="AJ212" s="1">
        <v>137</v>
      </c>
      <c r="AK212" s="19">
        <f t="shared" si="11"/>
        <v>0</v>
      </c>
      <c r="AL212" s="19">
        <v>5792205</v>
      </c>
      <c r="AM212" s="19">
        <f t="shared" si="12"/>
        <v>6467370</v>
      </c>
      <c r="AN212" s="14"/>
      <c r="AO212" s="21">
        <f t="shared" si="13"/>
        <v>0</v>
      </c>
      <c r="AP212" s="14"/>
      <c r="AQ212" s="30">
        <v>43102</v>
      </c>
      <c r="AR212" s="14" t="s">
        <v>520</v>
      </c>
      <c r="AS212" s="30">
        <v>43102</v>
      </c>
      <c r="AT212" s="14" t="s">
        <v>521</v>
      </c>
      <c r="AU212" s="211"/>
    </row>
    <row r="213" spans="1:47" ht="331.5" x14ac:dyDescent="0.2">
      <c r="A213" s="1">
        <f t="shared" si="16"/>
        <v>70</v>
      </c>
      <c r="B213" s="2" t="str">
        <f t="shared" si="14"/>
        <v>208-70</v>
      </c>
      <c r="C213" s="3" t="s">
        <v>484</v>
      </c>
      <c r="D213" s="4" t="s">
        <v>485</v>
      </c>
      <c r="E213" s="22" t="s">
        <v>499</v>
      </c>
      <c r="F213" s="7" t="s">
        <v>511</v>
      </c>
      <c r="G213" s="22" t="s">
        <v>512</v>
      </c>
      <c r="H213" s="7" t="s">
        <v>513</v>
      </c>
      <c r="I213" s="7" t="s">
        <v>54</v>
      </c>
      <c r="J213" s="7" t="s">
        <v>55</v>
      </c>
      <c r="K213" s="1">
        <v>801116</v>
      </c>
      <c r="L213" s="7" t="s">
        <v>492</v>
      </c>
      <c r="M213" s="7" t="s">
        <v>493</v>
      </c>
      <c r="N213" s="7" t="s">
        <v>494</v>
      </c>
      <c r="O213" s="7" t="s">
        <v>504</v>
      </c>
      <c r="P213" s="23" t="s">
        <v>571</v>
      </c>
      <c r="Q213" s="62">
        <f t="shared" si="15"/>
        <v>2487450</v>
      </c>
      <c r="R213" s="24">
        <v>1</v>
      </c>
      <c r="S213" s="63">
        <v>28605675</v>
      </c>
      <c r="T213" s="11" t="s">
        <v>528</v>
      </c>
      <c r="U213" s="26" t="s">
        <v>58</v>
      </c>
      <c r="V213" s="26" t="s">
        <v>516</v>
      </c>
      <c r="W213" s="33">
        <v>11.5</v>
      </c>
      <c r="X213" s="14">
        <v>45</v>
      </c>
      <c r="Y213" s="27">
        <v>43102</v>
      </c>
      <c r="Z213" s="34">
        <v>28605675</v>
      </c>
      <c r="AA213" s="17"/>
      <c r="AB213" s="17">
        <v>53</v>
      </c>
      <c r="AC213" s="30">
        <v>43103</v>
      </c>
      <c r="AD213" s="19">
        <v>28605675</v>
      </c>
      <c r="AE213" s="19">
        <f t="shared" si="10"/>
        <v>0</v>
      </c>
      <c r="AF213" s="14">
        <v>183</v>
      </c>
      <c r="AG213" s="31">
        <v>43118</v>
      </c>
      <c r="AH213" s="19">
        <v>28605675</v>
      </c>
      <c r="AI213" s="1" t="s">
        <v>574</v>
      </c>
      <c r="AJ213" s="1">
        <v>137</v>
      </c>
      <c r="AK213" s="19">
        <f t="shared" si="11"/>
        <v>0</v>
      </c>
      <c r="AL213" s="19">
        <v>13515145</v>
      </c>
      <c r="AM213" s="19">
        <f t="shared" si="12"/>
        <v>15090530</v>
      </c>
      <c r="AN213" s="14"/>
      <c r="AO213" s="21">
        <f t="shared" si="13"/>
        <v>0</v>
      </c>
      <c r="AP213" s="14"/>
      <c r="AQ213" s="30">
        <v>43102</v>
      </c>
      <c r="AR213" s="14" t="s">
        <v>520</v>
      </c>
      <c r="AS213" s="30">
        <v>43102</v>
      </c>
      <c r="AT213" s="14" t="s">
        <v>521</v>
      </c>
      <c r="AU213" s="211"/>
    </row>
    <row r="214" spans="1:47" ht="344.25" x14ac:dyDescent="0.2">
      <c r="A214" s="1">
        <f t="shared" si="16"/>
        <v>71</v>
      </c>
      <c r="B214" s="2" t="str">
        <f t="shared" si="14"/>
        <v>208-71</v>
      </c>
      <c r="C214" s="3" t="s">
        <v>484</v>
      </c>
      <c r="D214" s="4" t="s">
        <v>485</v>
      </c>
      <c r="E214" s="5" t="s">
        <v>486</v>
      </c>
      <c r="F214" s="7" t="s">
        <v>511</v>
      </c>
      <c r="G214" s="22" t="s">
        <v>512</v>
      </c>
      <c r="H214" s="7" t="s">
        <v>513</v>
      </c>
      <c r="I214" s="7" t="s">
        <v>54</v>
      </c>
      <c r="J214" s="7" t="s">
        <v>55</v>
      </c>
      <c r="K214" s="1">
        <v>801116</v>
      </c>
      <c r="L214" s="7" t="s">
        <v>492</v>
      </c>
      <c r="M214" s="7" t="s">
        <v>493</v>
      </c>
      <c r="N214" s="7" t="s">
        <v>494</v>
      </c>
      <c r="O214" s="7" t="s">
        <v>504</v>
      </c>
      <c r="P214" s="23" t="s">
        <v>571</v>
      </c>
      <c r="Q214" s="62">
        <f t="shared" si="15"/>
        <v>1066050</v>
      </c>
      <c r="R214" s="24">
        <v>1</v>
      </c>
      <c r="S214" s="63">
        <v>12259575</v>
      </c>
      <c r="T214" s="11" t="s">
        <v>528</v>
      </c>
      <c r="U214" s="26" t="s">
        <v>58</v>
      </c>
      <c r="V214" s="26" t="s">
        <v>516</v>
      </c>
      <c r="W214" s="33">
        <v>11.5</v>
      </c>
      <c r="X214" s="14">
        <v>44</v>
      </c>
      <c r="Y214" s="27">
        <v>43102</v>
      </c>
      <c r="Z214" s="34">
        <v>12259575</v>
      </c>
      <c r="AA214" s="17"/>
      <c r="AB214" s="17">
        <v>51</v>
      </c>
      <c r="AC214" s="30">
        <v>43103</v>
      </c>
      <c r="AD214" s="19">
        <v>12259575</v>
      </c>
      <c r="AE214" s="19">
        <f t="shared" si="10"/>
        <v>0</v>
      </c>
      <c r="AF214" s="14">
        <v>257</v>
      </c>
      <c r="AG214" s="31">
        <v>43119</v>
      </c>
      <c r="AH214" s="19">
        <v>12259575</v>
      </c>
      <c r="AI214" s="1" t="s">
        <v>575</v>
      </c>
      <c r="AJ214" s="1">
        <v>225</v>
      </c>
      <c r="AK214" s="19">
        <f t="shared" si="11"/>
        <v>0</v>
      </c>
      <c r="AL214" s="19">
        <v>5650065</v>
      </c>
      <c r="AM214" s="19">
        <f t="shared" si="12"/>
        <v>6609510</v>
      </c>
      <c r="AN214" s="14"/>
      <c r="AO214" s="21">
        <f t="shared" si="13"/>
        <v>0</v>
      </c>
      <c r="AP214" s="14"/>
      <c r="AQ214" s="30">
        <v>43102</v>
      </c>
      <c r="AR214" s="14" t="s">
        <v>520</v>
      </c>
      <c r="AS214" s="30">
        <v>43102</v>
      </c>
      <c r="AT214" s="14" t="s">
        <v>521</v>
      </c>
      <c r="AU214" s="211"/>
    </row>
    <row r="215" spans="1:47" ht="331.5" x14ac:dyDescent="0.2">
      <c r="A215" s="1">
        <f t="shared" si="16"/>
        <v>72</v>
      </c>
      <c r="B215" s="2" t="str">
        <f t="shared" si="14"/>
        <v>208-72</v>
      </c>
      <c r="C215" s="3" t="s">
        <v>484</v>
      </c>
      <c r="D215" s="4" t="s">
        <v>485</v>
      </c>
      <c r="E215" s="22" t="s">
        <v>499</v>
      </c>
      <c r="F215" s="7" t="s">
        <v>511</v>
      </c>
      <c r="G215" s="22" t="s">
        <v>512</v>
      </c>
      <c r="H215" s="7" t="s">
        <v>513</v>
      </c>
      <c r="I215" s="7" t="s">
        <v>54</v>
      </c>
      <c r="J215" s="7" t="s">
        <v>55</v>
      </c>
      <c r="K215" s="1">
        <v>801116</v>
      </c>
      <c r="L215" s="7" t="s">
        <v>492</v>
      </c>
      <c r="M215" s="7" t="s">
        <v>493</v>
      </c>
      <c r="N215" s="7" t="s">
        <v>494</v>
      </c>
      <c r="O215" s="7" t="s">
        <v>504</v>
      </c>
      <c r="P215" s="23" t="s">
        <v>571</v>
      </c>
      <c r="Q215" s="62">
        <f t="shared" si="15"/>
        <v>2487450</v>
      </c>
      <c r="R215" s="24">
        <v>1</v>
      </c>
      <c r="S215" s="63">
        <v>28605675</v>
      </c>
      <c r="T215" s="11" t="s">
        <v>528</v>
      </c>
      <c r="U215" s="26" t="s">
        <v>58</v>
      </c>
      <c r="V215" s="26" t="s">
        <v>516</v>
      </c>
      <c r="W215" s="33">
        <v>11.5</v>
      </c>
      <c r="X215" s="14">
        <v>43</v>
      </c>
      <c r="Y215" s="27">
        <v>43102</v>
      </c>
      <c r="Z215" s="34">
        <v>28605675</v>
      </c>
      <c r="AA215" s="17"/>
      <c r="AB215" s="17">
        <v>51</v>
      </c>
      <c r="AC215" s="30">
        <v>43103</v>
      </c>
      <c r="AD215" s="19">
        <v>28605675</v>
      </c>
      <c r="AE215" s="19">
        <f t="shared" si="10"/>
        <v>0</v>
      </c>
      <c r="AF215" s="14">
        <v>257</v>
      </c>
      <c r="AG215" s="31">
        <v>43119</v>
      </c>
      <c r="AH215" s="19">
        <v>28605675</v>
      </c>
      <c r="AI215" s="1" t="s">
        <v>575</v>
      </c>
      <c r="AJ215" s="1">
        <v>225</v>
      </c>
      <c r="AK215" s="19">
        <f t="shared" si="11"/>
        <v>0</v>
      </c>
      <c r="AL215" s="19">
        <v>13183485</v>
      </c>
      <c r="AM215" s="19">
        <f t="shared" si="12"/>
        <v>15422190</v>
      </c>
      <c r="AN215" s="14"/>
      <c r="AO215" s="21">
        <f t="shared" si="13"/>
        <v>0</v>
      </c>
      <c r="AP215" s="14"/>
      <c r="AQ215" s="30">
        <v>43102</v>
      </c>
      <c r="AR215" s="14" t="s">
        <v>520</v>
      </c>
      <c r="AS215" s="30">
        <v>43102</v>
      </c>
      <c r="AT215" s="14" t="s">
        <v>521</v>
      </c>
      <c r="AU215" s="211"/>
    </row>
    <row r="216" spans="1:47" ht="344.25" x14ac:dyDescent="0.2">
      <c r="A216" s="1">
        <f t="shared" si="16"/>
        <v>73</v>
      </c>
      <c r="B216" s="2" t="str">
        <f t="shared" si="14"/>
        <v>208-73</v>
      </c>
      <c r="C216" s="3" t="s">
        <v>484</v>
      </c>
      <c r="D216" s="4" t="s">
        <v>485</v>
      </c>
      <c r="E216" s="5" t="s">
        <v>486</v>
      </c>
      <c r="F216" s="7" t="s">
        <v>511</v>
      </c>
      <c r="G216" s="22" t="s">
        <v>512</v>
      </c>
      <c r="H216" s="7" t="s">
        <v>513</v>
      </c>
      <c r="I216" s="7" t="s">
        <v>54</v>
      </c>
      <c r="J216" s="7" t="s">
        <v>55</v>
      </c>
      <c r="K216" s="1">
        <v>801116</v>
      </c>
      <c r="L216" s="7" t="s">
        <v>492</v>
      </c>
      <c r="M216" s="7" t="s">
        <v>493</v>
      </c>
      <c r="N216" s="7" t="s">
        <v>494</v>
      </c>
      <c r="O216" s="7" t="s">
        <v>504</v>
      </c>
      <c r="P216" s="23" t="s">
        <v>571</v>
      </c>
      <c r="Q216" s="62">
        <f t="shared" si="15"/>
        <v>1019700</v>
      </c>
      <c r="R216" s="24">
        <v>1</v>
      </c>
      <c r="S216" s="63">
        <f>12259575-533025</f>
        <v>11726550</v>
      </c>
      <c r="T216" s="11" t="s">
        <v>528</v>
      </c>
      <c r="U216" s="26" t="s">
        <v>58</v>
      </c>
      <c r="V216" s="26" t="s">
        <v>516</v>
      </c>
      <c r="W216" s="33">
        <v>11.5</v>
      </c>
      <c r="X216" s="14">
        <v>42</v>
      </c>
      <c r="Y216" s="27">
        <v>43102</v>
      </c>
      <c r="Z216" s="34">
        <v>12259575</v>
      </c>
      <c r="AA216" s="17"/>
      <c r="AB216" s="17">
        <v>49</v>
      </c>
      <c r="AC216" s="30">
        <v>43103</v>
      </c>
      <c r="AD216" s="19">
        <v>11726550</v>
      </c>
      <c r="AE216" s="19">
        <f t="shared" si="10"/>
        <v>0</v>
      </c>
      <c r="AF216" s="14">
        <v>499</v>
      </c>
      <c r="AG216" s="31">
        <v>43126</v>
      </c>
      <c r="AH216" s="19">
        <v>11726550</v>
      </c>
      <c r="AI216" s="1" t="s">
        <v>576</v>
      </c>
      <c r="AJ216" s="1">
        <v>409</v>
      </c>
      <c r="AK216" s="19">
        <f t="shared" si="11"/>
        <v>0</v>
      </c>
      <c r="AL216" s="19">
        <v>5401320</v>
      </c>
      <c r="AM216" s="19">
        <f t="shared" si="12"/>
        <v>6325230</v>
      </c>
      <c r="AN216" s="14"/>
      <c r="AO216" s="21">
        <f t="shared" si="13"/>
        <v>0</v>
      </c>
      <c r="AP216" s="14"/>
      <c r="AQ216" s="30">
        <v>43102</v>
      </c>
      <c r="AR216" s="14" t="s">
        <v>520</v>
      </c>
      <c r="AS216" s="30">
        <v>43102</v>
      </c>
      <c r="AT216" s="14" t="s">
        <v>521</v>
      </c>
      <c r="AU216" s="211"/>
    </row>
    <row r="217" spans="1:47" ht="331.5" x14ac:dyDescent="0.2">
      <c r="A217" s="1">
        <f t="shared" si="16"/>
        <v>74</v>
      </c>
      <c r="B217" s="2" t="str">
        <f t="shared" si="14"/>
        <v>208-74</v>
      </c>
      <c r="C217" s="3" t="s">
        <v>484</v>
      </c>
      <c r="D217" s="4" t="s">
        <v>485</v>
      </c>
      <c r="E217" s="22" t="s">
        <v>499</v>
      </c>
      <c r="F217" s="7" t="s">
        <v>511</v>
      </c>
      <c r="G217" s="22" t="s">
        <v>512</v>
      </c>
      <c r="H217" s="7" t="s">
        <v>513</v>
      </c>
      <c r="I217" s="7" t="s">
        <v>54</v>
      </c>
      <c r="J217" s="7" t="s">
        <v>55</v>
      </c>
      <c r="K217" s="1">
        <v>801116</v>
      </c>
      <c r="L217" s="7" t="s">
        <v>492</v>
      </c>
      <c r="M217" s="7" t="s">
        <v>493</v>
      </c>
      <c r="N217" s="7" t="s">
        <v>494</v>
      </c>
      <c r="O217" s="7" t="s">
        <v>504</v>
      </c>
      <c r="P217" s="23" t="s">
        <v>571</v>
      </c>
      <c r="Q217" s="62">
        <f t="shared" si="15"/>
        <v>2379300</v>
      </c>
      <c r="R217" s="24">
        <v>1</v>
      </c>
      <c r="S217" s="63">
        <f>28605675-1243725</f>
        <v>27361950</v>
      </c>
      <c r="T217" s="11" t="s">
        <v>528</v>
      </c>
      <c r="U217" s="26" t="s">
        <v>58</v>
      </c>
      <c r="V217" s="26" t="s">
        <v>516</v>
      </c>
      <c r="W217" s="33">
        <v>11.5</v>
      </c>
      <c r="X217" s="14">
        <v>41</v>
      </c>
      <c r="Y217" s="27">
        <v>43102</v>
      </c>
      <c r="Z217" s="34">
        <v>28605675</v>
      </c>
      <c r="AA217" s="17"/>
      <c r="AB217" s="17">
        <v>49</v>
      </c>
      <c r="AC217" s="30">
        <v>43103</v>
      </c>
      <c r="AD217" s="19">
        <v>27361950</v>
      </c>
      <c r="AE217" s="19">
        <f t="shared" si="10"/>
        <v>0</v>
      </c>
      <c r="AF217" s="14">
        <v>499</v>
      </c>
      <c r="AG217" s="31">
        <v>43126</v>
      </c>
      <c r="AH217" s="19">
        <v>27361950</v>
      </c>
      <c r="AI217" s="1" t="s">
        <v>576</v>
      </c>
      <c r="AJ217" s="1">
        <v>409</v>
      </c>
      <c r="AK217" s="19">
        <f t="shared" si="11"/>
        <v>0</v>
      </c>
      <c r="AL217" s="19">
        <v>12603080</v>
      </c>
      <c r="AM217" s="19">
        <f t="shared" si="12"/>
        <v>14758870</v>
      </c>
      <c r="AN217" s="14"/>
      <c r="AO217" s="21">
        <f t="shared" si="13"/>
        <v>0</v>
      </c>
      <c r="AP217" s="14"/>
      <c r="AQ217" s="30">
        <v>43102</v>
      </c>
      <c r="AR217" s="14" t="s">
        <v>520</v>
      </c>
      <c r="AS217" s="30">
        <v>43102</v>
      </c>
      <c r="AT217" s="14" t="s">
        <v>521</v>
      </c>
      <c r="AU217" s="211"/>
    </row>
    <row r="218" spans="1:47" ht="344.25" x14ac:dyDescent="0.2">
      <c r="A218" s="1">
        <f t="shared" si="16"/>
        <v>75</v>
      </c>
      <c r="B218" s="2" t="str">
        <f t="shared" si="14"/>
        <v>208-75</v>
      </c>
      <c r="C218" s="3" t="s">
        <v>484</v>
      </c>
      <c r="D218" s="4" t="s">
        <v>485</v>
      </c>
      <c r="E218" s="5" t="s">
        <v>486</v>
      </c>
      <c r="F218" s="7" t="s">
        <v>511</v>
      </c>
      <c r="G218" s="22" t="s">
        <v>512</v>
      </c>
      <c r="H218" s="7" t="s">
        <v>513</v>
      </c>
      <c r="I218" s="7" t="s">
        <v>54</v>
      </c>
      <c r="J218" s="7" t="s">
        <v>55</v>
      </c>
      <c r="K218" s="1">
        <v>801116</v>
      </c>
      <c r="L218" s="7" t="s">
        <v>492</v>
      </c>
      <c r="M218" s="7" t="s">
        <v>493</v>
      </c>
      <c r="N218" s="7" t="s">
        <v>494</v>
      </c>
      <c r="O218" s="7" t="s">
        <v>504</v>
      </c>
      <c r="P218" s="23" t="s">
        <v>577</v>
      </c>
      <c r="Q218" s="62">
        <f t="shared" si="15"/>
        <v>1359600</v>
      </c>
      <c r="R218" s="24">
        <v>1</v>
      </c>
      <c r="S218" s="63">
        <v>15635400</v>
      </c>
      <c r="T218" s="11" t="s">
        <v>528</v>
      </c>
      <c r="U218" s="26" t="s">
        <v>58</v>
      </c>
      <c r="V218" s="26" t="s">
        <v>516</v>
      </c>
      <c r="W218" s="33">
        <v>11.5</v>
      </c>
      <c r="X218" s="14">
        <v>40</v>
      </c>
      <c r="Y218" s="27">
        <v>43102</v>
      </c>
      <c r="Z218" s="34">
        <v>15635400</v>
      </c>
      <c r="AA218" s="17"/>
      <c r="AB218" s="17">
        <v>46</v>
      </c>
      <c r="AC218" s="30">
        <v>43103</v>
      </c>
      <c r="AD218" s="19">
        <v>15635400</v>
      </c>
      <c r="AE218" s="19">
        <f t="shared" si="10"/>
        <v>0</v>
      </c>
      <c r="AF218" s="14">
        <v>10</v>
      </c>
      <c r="AG218" s="31">
        <v>43112</v>
      </c>
      <c r="AH218" s="19">
        <v>15635400</v>
      </c>
      <c r="AI218" s="1" t="s">
        <v>578</v>
      </c>
      <c r="AJ218" s="1">
        <v>10</v>
      </c>
      <c r="AK218" s="19">
        <f t="shared" si="11"/>
        <v>0</v>
      </c>
      <c r="AL218" s="19">
        <v>7477800</v>
      </c>
      <c r="AM218" s="19">
        <f t="shared" si="12"/>
        <v>8157600</v>
      </c>
      <c r="AN218" s="14"/>
      <c r="AO218" s="21">
        <f t="shared" si="13"/>
        <v>0</v>
      </c>
      <c r="AP218" s="14"/>
      <c r="AQ218" s="30">
        <v>43102</v>
      </c>
      <c r="AR218" s="14" t="s">
        <v>520</v>
      </c>
      <c r="AS218" s="30">
        <v>43102</v>
      </c>
      <c r="AT218" s="14" t="s">
        <v>521</v>
      </c>
      <c r="AU218" s="211"/>
    </row>
    <row r="219" spans="1:47" ht="331.5" x14ac:dyDescent="0.2">
      <c r="A219" s="1">
        <f t="shared" si="16"/>
        <v>76</v>
      </c>
      <c r="B219" s="2" t="str">
        <f t="shared" si="14"/>
        <v>208-76</v>
      </c>
      <c r="C219" s="3" t="s">
        <v>484</v>
      </c>
      <c r="D219" s="4" t="s">
        <v>485</v>
      </c>
      <c r="E219" s="22" t="s">
        <v>499</v>
      </c>
      <c r="F219" s="7" t="s">
        <v>511</v>
      </c>
      <c r="G219" s="22" t="s">
        <v>512</v>
      </c>
      <c r="H219" s="7" t="s">
        <v>513</v>
      </c>
      <c r="I219" s="7" t="s">
        <v>54</v>
      </c>
      <c r="J219" s="7" t="s">
        <v>55</v>
      </c>
      <c r="K219" s="1">
        <v>801116</v>
      </c>
      <c r="L219" s="7" t="s">
        <v>492</v>
      </c>
      <c r="M219" s="7" t="s">
        <v>493</v>
      </c>
      <c r="N219" s="7" t="s">
        <v>494</v>
      </c>
      <c r="O219" s="7" t="s">
        <v>504</v>
      </c>
      <c r="P219" s="23" t="s">
        <v>577</v>
      </c>
      <c r="Q219" s="62">
        <f t="shared" si="15"/>
        <v>3172400</v>
      </c>
      <c r="R219" s="24">
        <v>1</v>
      </c>
      <c r="S219" s="63">
        <v>36482600</v>
      </c>
      <c r="T219" s="11" t="s">
        <v>528</v>
      </c>
      <c r="U219" s="26" t="s">
        <v>58</v>
      </c>
      <c r="V219" s="26" t="s">
        <v>516</v>
      </c>
      <c r="W219" s="33">
        <v>11.5</v>
      </c>
      <c r="X219" s="14">
        <v>39</v>
      </c>
      <c r="Y219" s="27">
        <v>43102</v>
      </c>
      <c r="Z219" s="34">
        <v>36482600</v>
      </c>
      <c r="AA219" s="17"/>
      <c r="AB219" s="17">
        <v>46</v>
      </c>
      <c r="AC219" s="30">
        <v>43103</v>
      </c>
      <c r="AD219" s="19">
        <v>36482600</v>
      </c>
      <c r="AE219" s="19">
        <f t="shared" si="10"/>
        <v>0</v>
      </c>
      <c r="AF219" s="14">
        <v>10</v>
      </c>
      <c r="AG219" s="31">
        <v>43112</v>
      </c>
      <c r="AH219" s="19">
        <v>36482600</v>
      </c>
      <c r="AI219" s="1" t="s">
        <v>578</v>
      </c>
      <c r="AJ219" s="1">
        <v>10</v>
      </c>
      <c r="AK219" s="19">
        <f t="shared" si="11"/>
        <v>0</v>
      </c>
      <c r="AL219" s="19">
        <v>17448200</v>
      </c>
      <c r="AM219" s="19">
        <f t="shared" si="12"/>
        <v>19034400</v>
      </c>
      <c r="AN219" s="14"/>
      <c r="AO219" s="21">
        <f t="shared" si="13"/>
        <v>0</v>
      </c>
      <c r="AP219" s="14"/>
      <c r="AQ219" s="30">
        <v>43102</v>
      </c>
      <c r="AR219" s="14" t="s">
        <v>520</v>
      </c>
      <c r="AS219" s="30">
        <v>43102</v>
      </c>
      <c r="AT219" s="14" t="s">
        <v>521</v>
      </c>
      <c r="AU219" s="211"/>
    </row>
    <row r="220" spans="1:47" ht="369.75" x14ac:dyDescent="0.2">
      <c r="A220" s="1">
        <f t="shared" si="16"/>
        <v>77</v>
      </c>
      <c r="B220" s="2" t="str">
        <f t="shared" si="14"/>
        <v>208-77</v>
      </c>
      <c r="C220" s="3" t="s">
        <v>484</v>
      </c>
      <c r="D220" s="4" t="s">
        <v>485</v>
      </c>
      <c r="E220" s="5" t="s">
        <v>486</v>
      </c>
      <c r="F220" s="7" t="s">
        <v>511</v>
      </c>
      <c r="G220" s="22" t="s">
        <v>512</v>
      </c>
      <c r="H220" s="7" t="s">
        <v>513</v>
      </c>
      <c r="I220" s="7" t="s">
        <v>54</v>
      </c>
      <c r="J220" s="7" t="s">
        <v>55</v>
      </c>
      <c r="K220" s="1">
        <v>801116</v>
      </c>
      <c r="L220" s="7" t="s">
        <v>492</v>
      </c>
      <c r="M220" s="7" t="s">
        <v>493</v>
      </c>
      <c r="N220" s="7" t="s">
        <v>494</v>
      </c>
      <c r="O220" s="7" t="s">
        <v>504</v>
      </c>
      <c r="P220" s="23" t="s">
        <v>579</v>
      </c>
      <c r="Q220" s="62">
        <f t="shared" si="15"/>
        <v>927000</v>
      </c>
      <c r="R220" s="24">
        <v>1</v>
      </c>
      <c r="S220" s="63">
        <v>10660500</v>
      </c>
      <c r="T220" s="11" t="s">
        <v>528</v>
      </c>
      <c r="U220" s="26" t="s">
        <v>58</v>
      </c>
      <c r="V220" s="26" t="s">
        <v>516</v>
      </c>
      <c r="W220" s="33">
        <v>11.5</v>
      </c>
      <c r="X220" s="14">
        <v>38</v>
      </c>
      <c r="Y220" s="27">
        <v>43102</v>
      </c>
      <c r="Z220" s="34">
        <v>10660500</v>
      </c>
      <c r="AA220" s="17"/>
      <c r="AB220" s="17">
        <v>44</v>
      </c>
      <c r="AC220" s="30">
        <v>43103</v>
      </c>
      <c r="AD220" s="19">
        <v>10660500</v>
      </c>
      <c r="AE220" s="19">
        <f t="shared" si="10"/>
        <v>0</v>
      </c>
      <c r="AF220" s="14">
        <v>159</v>
      </c>
      <c r="AG220" s="31">
        <v>43118</v>
      </c>
      <c r="AH220" s="19">
        <v>10660500</v>
      </c>
      <c r="AI220" s="1"/>
      <c r="AJ220" s="1"/>
      <c r="AK220" s="19">
        <f t="shared" si="11"/>
        <v>0</v>
      </c>
      <c r="AL220" s="19">
        <v>5036700</v>
      </c>
      <c r="AM220" s="19">
        <f t="shared" si="12"/>
        <v>5623800</v>
      </c>
      <c r="AN220" s="14"/>
      <c r="AO220" s="21">
        <f t="shared" si="13"/>
        <v>0</v>
      </c>
      <c r="AP220" s="14"/>
      <c r="AQ220" s="30">
        <v>43102</v>
      </c>
      <c r="AR220" s="14" t="s">
        <v>520</v>
      </c>
      <c r="AS220" s="30">
        <v>43102</v>
      </c>
      <c r="AT220" s="14" t="s">
        <v>521</v>
      </c>
      <c r="AU220" s="211"/>
    </row>
    <row r="221" spans="1:47" ht="369.75" x14ac:dyDescent="0.2">
      <c r="A221" s="1">
        <f t="shared" si="16"/>
        <v>78</v>
      </c>
      <c r="B221" s="2" t="str">
        <f t="shared" si="14"/>
        <v>208-78</v>
      </c>
      <c r="C221" s="3" t="s">
        <v>484</v>
      </c>
      <c r="D221" s="4" t="s">
        <v>485</v>
      </c>
      <c r="E221" s="22" t="s">
        <v>499</v>
      </c>
      <c r="F221" s="7" t="s">
        <v>511</v>
      </c>
      <c r="G221" s="22" t="s">
        <v>512</v>
      </c>
      <c r="H221" s="7" t="s">
        <v>513</v>
      </c>
      <c r="I221" s="7" t="s">
        <v>54</v>
      </c>
      <c r="J221" s="7" t="s">
        <v>55</v>
      </c>
      <c r="K221" s="1">
        <v>801116</v>
      </c>
      <c r="L221" s="7" t="s">
        <v>492</v>
      </c>
      <c r="M221" s="7" t="s">
        <v>493</v>
      </c>
      <c r="N221" s="7" t="s">
        <v>494</v>
      </c>
      <c r="O221" s="7" t="s">
        <v>504</v>
      </c>
      <c r="P221" s="23" t="s">
        <v>579</v>
      </c>
      <c r="Q221" s="62">
        <f t="shared" si="15"/>
        <v>2163000</v>
      </c>
      <c r="R221" s="24">
        <v>1</v>
      </c>
      <c r="S221" s="63">
        <v>24874500</v>
      </c>
      <c r="T221" s="11" t="s">
        <v>528</v>
      </c>
      <c r="U221" s="26" t="s">
        <v>58</v>
      </c>
      <c r="V221" s="26" t="s">
        <v>516</v>
      </c>
      <c r="W221" s="33">
        <v>11.5</v>
      </c>
      <c r="X221" s="14">
        <v>37</v>
      </c>
      <c r="Y221" s="27">
        <v>43102</v>
      </c>
      <c r="Z221" s="34">
        <v>24874500</v>
      </c>
      <c r="AA221" s="17"/>
      <c r="AB221" s="17">
        <v>44</v>
      </c>
      <c r="AC221" s="30">
        <v>43103</v>
      </c>
      <c r="AD221" s="19">
        <v>24874500</v>
      </c>
      <c r="AE221" s="19">
        <f t="shared" si="10"/>
        <v>0</v>
      </c>
      <c r="AF221" s="14">
        <v>159</v>
      </c>
      <c r="AG221" s="31">
        <v>43118</v>
      </c>
      <c r="AH221" s="19">
        <v>24874500</v>
      </c>
      <c r="AI221" s="1"/>
      <c r="AJ221" s="1"/>
      <c r="AK221" s="19">
        <f t="shared" si="11"/>
        <v>0</v>
      </c>
      <c r="AL221" s="19">
        <v>11752300</v>
      </c>
      <c r="AM221" s="19">
        <f t="shared" si="12"/>
        <v>13122200</v>
      </c>
      <c r="AN221" s="14"/>
      <c r="AO221" s="21">
        <f t="shared" si="13"/>
        <v>0</v>
      </c>
      <c r="AP221" s="14"/>
      <c r="AQ221" s="30">
        <v>43102</v>
      </c>
      <c r="AR221" s="14" t="s">
        <v>520</v>
      </c>
      <c r="AS221" s="30">
        <v>43102</v>
      </c>
      <c r="AT221" s="14" t="s">
        <v>521</v>
      </c>
      <c r="AU221" s="211"/>
    </row>
    <row r="222" spans="1:47" ht="344.25" x14ac:dyDescent="0.2">
      <c r="A222" s="1">
        <f t="shared" si="16"/>
        <v>79</v>
      </c>
      <c r="B222" s="2" t="str">
        <f t="shared" si="14"/>
        <v>208-79</v>
      </c>
      <c r="C222" s="3" t="s">
        <v>484</v>
      </c>
      <c r="D222" s="4" t="s">
        <v>485</v>
      </c>
      <c r="E222" s="5" t="s">
        <v>486</v>
      </c>
      <c r="F222" s="7" t="s">
        <v>511</v>
      </c>
      <c r="G222" s="22" t="s">
        <v>512</v>
      </c>
      <c r="H222" s="7" t="s">
        <v>513</v>
      </c>
      <c r="I222" s="7" t="s">
        <v>54</v>
      </c>
      <c r="J222" s="7" t="s">
        <v>55</v>
      </c>
      <c r="K222" s="1">
        <v>801116</v>
      </c>
      <c r="L222" s="7" t="s">
        <v>492</v>
      </c>
      <c r="M222" s="7" t="s">
        <v>493</v>
      </c>
      <c r="N222" s="7" t="s">
        <v>494</v>
      </c>
      <c r="O222" s="7" t="s">
        <v>504</v>
      </c>
      <c r="P222" s="23" t="s">
        <v>577</v>
      </c>
      <c r="Q222" s="62">
        <f t="shared" si="15"/>
        <v>1854000</v>
      </c>
      <c r="R222" s="24">
        <v>1</v>
      </c>
      <c r="S222" s="63">
        <v>21321000</v>
      </c>
      <c r="T222" s="11" t="s">
        <v>528</v>
      </c>
      <c r="U222" s="26" t="s">
        <v>58</v>
      </c>
      <c r="V222" s="26" t="s">
        <v>516</v>
      </c>
      <c r="W222" s="33">
        <v>11.5</v>
      </c>
      <c r="X222" s="14">
        <v>36</v>
      </c>
      <c r="Y222" s="27">
        <v>43102</v>
      </c>
      <c r="Z222" s="34">
        <v>21321000</v>
      </c>
      <c r="AA222" s="17"/>
      <c r="AB222" s="17">
        <v>40</v>
      </c>
      <c r="AC222" s="30">
        <v>43103</v>
      </c>
      <c r="AD222" s="19">
        <v>21321000</v>
      </c>
      <c r="AE222" s="19">
        <f t="shared" si="10"/>
        <v>0</v>
      </c>
      <c r="AF222" s="14">
        <v>142</v>
      </c>
      <c r="AG222" s="31">
        <v>43117</v>
      </c>
      <c r="AH222" s="19">
        <v>21321000</v>
      </c>
      <c r="AI222" s="1"/>
      <c r="AJ222" s="1"/>
      <c r="AK222" s="19">
        <f t="shared" si="11"/>
        <v>0</v>
      </c>
      <c r="AL222" s="19">
        <v>10073400</v>
      </c>
      <c r="AM222" s="19">
        <f t="shared" si="12"/>
        <v>11247600</v>
      </c>
      <c r="AN222" s="14"/>
      <c r="AO222" s="21">
        <f t="shared" si="13"/>
        <v>0</v>
      </c>
      <c r="AP222" s="14"/>
      <c r="AQ222" s="30">
        <v>43102</v>
      </c>
      <c r="AR222" s="14" t="s">
        <v>520</v>
      </c>
      <c r="AS222" s="30">
        <v>43102</v>
      </c>
      <c r="AT222" s="14" t="s">
        <v>521</v>
      </c>
      <c r="AU222" s="211"/>
    </row>
    <row r="223" spans="1:47" ht="331.5" x14ac:dyDescent="0.2">
      <c r="A223" s="1">
        <f t="shared" si="16"/>
        <v>80</v>
      </c>
      <c r="B223" s="2" t="str">
        <f t="shared" si="14"/>
        <v>208-80</v>
      </c>
      <c r="C223" s="3" t="s">
        <v>484</v>
      </c>
      <c r="D223" s="4" t="s">
        <v>485</v>
      </c>
      <c r="E223" s="22" t="s">
        <v>499</v>
      </c>
      <c r="F223" s="7" t="s">
        <v>511</v>
      </c>
      <c r="G223" s="22" t="s">
        <v>512</v>
      </c>
      <c r="H223" s="7" t="s">
        <v>513</v>
      </c>
      <c r="I223" s="7" t="s">
        <v>54</v>
      </c>
      <c r="J223" s="7" t="s">
        <v>55</v>
      </c>
      <c r="K223" s="1">
        <v>801116</v>
      </c>
      <c r="L223" s="7" t="s">
        <v>492</v>
      </c>
      <c r="M223" s="7" t="s">
        <v>493</v>
      </c>
      <c r="N223" s="7" t="s">
        <v>494</v>
      </c>
      <c r="O223" s="7" t="s">
        <v>504</v>
      </c>
      <c r="P223" s="23" t="s">
        <v>577</v>
      </c>
      <c r="Q223" s="62">
        <f t="shared" si="15"/>
        <v>4326000</v>
      </c>
      <c r="R223" s="24">
        <v>1</v>
      </c>
      <c r="S223" s="63">
        <v>49749000</v>
      </c>
      <c r="T223" s="11" t="s">
        <v>528</v>
      </c>
      <c r="U223" s="26" t="s">
        <v>58</v>
      </c>
      <c r="V223" s="26" t="s">
        <v>516</v>
      </c>
      <c r="W223" s="33">
        <v>11.5</v>
      </c>
      <c r="X223" s="14">
        <v>35</v>
      </c>
      <c r="Y223" s="27">
        <v>43102</v>
      </c>
      <c r="Z223" s="34">
        <v>49749000</v>
      </c>
      <c r="AA223" s="17"/>
      <c r="AB223" s="17">
        <v>40</v>
      </c>
      <c r="AC223" s="30">
        <v>43103</v>
      </c>
      <c r="AD223" s="19">
        <v>49749000</v>
      </c>
      <c r="AE223" s="19">
        <f t="shared" si="10"/>
        <v>0</v>
      </c>
      <c r="AF223" s="14">
        <v>142</v>
      </c>
      <c r="AG223" s="31">
        <v>43117</v>
      </c>
      <c r="AH223" s="19">
        <v>49749000</v>
      </c>
      <c r="AI223" s="1"/>
      <c r="AJ223" s="1"/>
      <c r="AK223" s="19">
        <f t="shared" si="11"/>
        <v>0</v>
      </c>
      <c r="AL223" s="19">
        <v>23504600</v>
      </c>
      <c r="AM223" s="19">
        <f t="shared" si="12"/>
        <v>26244400</v>
      </c>
      <c r="AN223" s="14"/>
      <c r="AO223" s="21">
        <f t="shared" si="13"/>
        <v>0</v>
      </c>
      <c r="AP223" s="14"/>
      <c r="AQ223" s="30">
        <v>43102</v>
      </c>
      <c r="AR223" s="14" t="s">
        <v>520</v>
      </c>
      <c r="AS223" s="30">
        <v>43102</v>
      </c>
      <c r="AT223" s="14" t="s">
        <v>521</v>
      </c>
      <c r="AU223" s="211"/>
    </row>
    <row r="224" spans="1:47" ht="344.25" x14ac:dyDescent="0.2">
      <c r="A224" s="1">
        <f t="shared" si="16"/>
        <v>81</v>
      </c>
      <c r="B224" s="2" t="str">
        <f t="shared" si="14"/>
        <v>208-81</v>
      </c>
      <c r="C224" s="3" t="s">
        <v>484</v>
      </c>
      <c r="D224" s="4" t="s">
        <v>485</v>
      </c>
      <c r="E224" s="5" t="s">
        <v>486</v>
      </c>
      <c r="F224" s="7" t="s">
        <v>511</v>
      </c>
      <c r="G224" s="22" t="s">
        <v>512</v>
      </c>
      <c r="H224" s="7" t="s">
        <v>513</v>
      </c>
      <c r="I224" s="7" t="s">
        <v>54</v>
      </c>
      <c r="J224" s="7" t="s">
        <v>55</v>
      </c>
      <c r="K224" s="1">
        <v>801116</v>
      </c>
      <c r="L224" s="7" t="s">
        <v>492</v>
      </c>
      <c r="M224" s="7" t="s">
        <v>493</v>
      </c>
      <c r="N224" s="7" t="s">
        <v>494</v>
      </c>
      <c r="O224" s="7" t="s">
        <v>504</v>
      </c>
      <c r="P224" s="23" t="s">
        <v>577</v>
      </c>
      <c r="Q224" s="62">
        <f t="shared" si="15"/>
        <v>0</v>
      </c>
      <c r="R224" s="24">
        <v>1</v>
      </c>
      <c r="S224" s="63">
        <f>11726550-11726550</f>
        <v>0</v>
      </c>
      <c r="T224" s="11" t="s">
        <v>528</v>
      </c>
      <c r="U224" s="26" t="s">
        <v>58</v>
      </c>
      <c r="V224" s="26" t="s">
        <v>516</v>
      </c>
      <c r="W224" s="33">
        <v>11.5</v>
      </c>
      <c r="X224" s="14" t="s">
        <v>580</v>
      </c>
      <c r="Y224" s="27"/>
      <c r="Z224" s="34"/>
      <c r="AA224" s="17"/>
      <c r="AB224" s="17"/>
      <c r="AC224" s="18"/>
      <c r="AD224" s="19"/>
      <c r="AE224" s="19">
        <f t="shared" si="10"/>
        <v>0</v>
      </c>
      <c r="AF224" s="14"/>
      <c r="AG224" s="20"/>
      <c r="AH224" s="19"/>
      <c r="AI224" s="1"/>
      <c r="AJ224" s="1"/>
      <c r="AK224" s="19">
        <f t="shared" si="11"/>
        <v>0</v>
      </c>
      <c r="AL224" s="19"/>
      <c r="AM224" s="19">
        <f t="shared" si="12"/>
        <v>0</v>
      </c>
      <c r="AN224" s="14"/>
      <c r="AO224" s="21">
        <f t="shared" si="13"/>
        <v>0</v>
      </c>
      <c r="AP224" s="14"/>
      <c r="AQ224" s="30"/>
      <c r="AR224" s="14"/>
      <c r="AS224" s="30"/>
      <c r="AT224" s="14"/>
      <c r="AU224" s="211"/>
    </row>
    <row r="225" spans="1:47" ht="331.5" x14ac:dyDescent="0.2">
      <c r="A225" s="1">
        <f t="shared" si="16"/>
        <v>82</v>
      </c>
      <c r="B225" s="2" t="str">
        <f t="shared" si="14"/>
        <v>208-82</v>
      </c>
      <c r="C225" s="3" t="s">
        <v>484</v>
      </c>
      <c r="D225" s="4" t="s">
        <v>485</v>
      </c>
      <c r="E225" s="22" t="s">
        <v>499</v>
      </c>
      <c r="F225" s="7" t="s">
        <v>511</v>
      </c>
      <c r="G225" s="22" t="s">
        <v>512</v>
      </c>
      <c r="H225" s="7" t="s">
        <v>513</v>
      </c>
      <c r="I225" s="7" t="s">
        <v>54</v>
      </c>
      <c r="J225" s="7" t="s">
        <v>55</v>
      </c>
      <c r="K225" s="1">
        <v>801116</v>
      </c>
      <c r="L225" s="7" t="s">
        <v>492</v>
      </c>
      <c r="M225" s="7" t="s">
        <v>493</v>
      </c>
      <c r="N225" s="7" t="s">
        <v>494</v>
      </c>
      <c r="O225" s="7" t="s">
        <v>504</v>
      </c>
      <c r="P225" s="23" t="s">
        <v>577</v>
      </c>
      <c r="Q225" s="62">
        <f t="shared" si="15"/>
        <v>0</v>
      </c>
      <c r="R225" s="24">
        <v>1</v>
      </c>
      <c r="S225" s="63">
        <f>27361950-27361950</f>
        <v>0</v>
      </c>
      <c r="T225" s="11" t="s">
        <v>528</v>
      </c>
      <c r="U225" s="26" t="s">
        <v>58</v>
      </c>
      <c r="V225" s="26" t="s">
        <v>516</v>
      </c>
      <c r="W225" s="33">
        <v>11.5</v>
      </c>
      <c r="X225" s="14" t="s">
        <v>581</v>
      </c>
      <c r="Y225" s="27"/>
      <c r="Z225" s="34"/>
      <c r="AA225" s="17"/>
      <c r="AB225" s="17"/>
      <c r="AC225" s="18"/>
      <c r="AD225" s="19"/>
      <c r="AE225" s="19">
        <f t="shared" si="10"/>
        <v>0</v>
      </c>
      <c r="AF225" s="14"/>
      <c r="AG225" s="20"/>
      <c r="AH225" s="19"/>
      <c r="AI225" s="1"/>
      <c r="AJ225" s="1"/>
      <c r="AK225" s="19">
        <f t="shared" si="11"/>
        <v>0</v>
      </c>
      <c r="AL225" s="19"/>
      <c r="AM225" s="19">
        <f t="shared" si="12"/>
        <v>0</v>
      </c>
      <c r="AN225" s="14"/>
      <c r="AO225" s="21">
        <f t="shared" si="13"/>
        <v>0</v>
      </c>
      <c r="AP225" s="14"/>
      <c r="AQ225" s="30"/>
      <c r="AR225" s="14"/>
      <c r="AS225" s="30"/>
      <c r="AT225" s="14"/>
      <c r="AU225" s="211"/>
    </row>
    <row r="226" spans="1:47" ht="344.25" x14ac:dyDescent="0.2">
      <c r="A226" s="1">
        <f t="shared" si="16"/>
        <v>83</v>
      </c>
      <c r="B226" s="2" t="str">
        <f t="shared" si="14"/>
        <v>208-83</v>
      </c>
      <c r="C226" s="3" t="s">
        <v>484</v>
      </c>
      <c r="D226" s="4" t="s">
        <v>485</v>
      </c>
      <c r="E226" s="5" t="s">
        <v>486</v>
      </c>
      <c r="F226" s="7" t="s">
        <v>511</v>
      </c>
      <c r="G226" s="22" t="s">
        <v>512</v>
      </c>
      <c r="H226" s="7" t="s">
        <v>513</v>
      </c>
      <c r="I226" s="7" t="s">
        <v>54</v>
      </c>
      <c r="J226" s="7" t="s">
        <v>55</v>
      </c>
      <c r="K226" s="1">
        <v>801116</v>
      </c>
      <c r="L226" s="7" t="s">
        <v>492</v>
      </c>
      <c r="M226" s="7" t="s">
        <v>493</v>
      </c>
      <c r="N226" s="7" t="s">
        <v>494</v>
      </c>
      <c r="O226" s="7" t="s">
        <v>504</v>
      </c>
      <c r="P226" s="23" t="s">
        <v>577</v>
      </c>
      <c r="Q226" s="62">
        <f t="shared" si="15"/>
        <v>1699500</v>
      </c>
      <c r="R226" s="24">
        <v>1</v>
      </c>
      <c r="S226" s="63">
        <v>19544250</v>
      </c>
      <c r="T226" s="11" t="s">
        <v>528</v>
      </c>
      <c r="U226" s="26" t="s">
        <v>58</v>
      </c>
      <c r="V226" s="26" t="s">
        <v>516</v>
      </c>
      <c r="W226" s="33">
        <v>11.5</v>
      </c>
      <c r="X226" s="14">
        <v>32</v>
      </c>
      <c r="Y226" s="27">
        <v>43102</v>
      </c>
      <c r="Z226" s="34">
        <v>19544250</v>
      </c>
      <c r="AA226" s="17"/>
      <c r="AB226" s="17">
        <v>34</v>
      </c>
      <c r="AC226" s="30">
        <v>43103</v>
      </c>
      <c r="AD226" s="19">
        <v>19544250</v>
      </c>
      <c r="AE226" s="19">
        <f t="shared" si="10"/>
        <v>0</v>
      </c>
      <c r="AF226" s="14">
        <v>186</v>
      </c>
      <c r="AG226" s="31">
        <v>43118</v>
      </c>
      <c r="AH226" s="19">
        <v>19544250</v>
      </c>
      <c r="AI226" s="1" t="s">
        <v>582</v>
      </c>
      <c r="AJ226" s="1">
        <v>149</v>
      </c>
      <c r="AK226" s="19">
        <f t="shared" si="11"/>
        <v>0</v>
      </c>
      <c r="AL226" s="19">
        <v>9007350</v>
      </c>
      <c r="AM226" s="19">
        <f t="shared" si="12"/>
        <v>10536900</v>
      </c>
      <c r="AN226" s="14"/>
      <c r="AO226" s="21">
        <f t="shared" si="13"/>
        <v>0</v>
      </c>
      <c r="AP226" s="14"/>
      <c r="AQ226" s="30">
        <v>43102</v>
      </c>
      <c r="AR226" s="14" t="s">
        <v>520</v>
      </c>
      <c r="AS226" s="30">
        <v>43102</v>
      </c>
      <c r="AT226" s="14" t="s">
        <v>521</v>
      </c>
      <c r="AU226" s="211"/>
    </row>
    <row r="227" spans="1:47" ht="331.5" x14ac:dyDescent="0.2">
      <c r="A227" s="1">
        <f t="shared" si="16"/>
        <v>84</v>
      </c>
      <c r="B227" s="2" t="str">
        <f t="shared" si="14"/>
        <v>208-84</v>
      </c>
      <c r="C227" s="3" t="s">
        <v>484</v>
      </c>
      <c r="D227" s="4" t="s">
        <v>485</v>
      </c>
      <c r="E227" s="22" t="s">
        <v>499</v>
      </c>
      <c r="F227" s="7" t="s">
        <v>511</v>
      </c>
      <c r="G227" s="22" t="s">
        <v>512</v>
      </c>
      <c r="H227" s="7" t="s">
        <v>513</v>
      </c>
      <c r="I227" s="7" t="s">
        <v>54</v>
      </c>
      <c r="J227" s="7" t="s">
        <v>55</v>
      </c>
      <c r="K227" s="1">
        <v>801116</v>
      </c>
      <c r="L227" s="7" t="s">
        <v>492</v>
      </c>
      <c r="M227" s="7" t="s">
        <v>493</v>
      </c>
      <c r="N227" s="7" t="s">
        <v>494</v>
      </c>
      <c r="O227" s="7" t="s">
        <v>504</v>
      </c>
      <c r="P227" s="23" t="s">
        <v>577</v>
      </c>
      <c r="Q227" s="62">
        <f t="shared" si="15"/>
        <v>3965499.9999999995</v>
      </c>
      <c r="R227" s="24">
        <v>1</v>
      </c>
      <c r="S227" s="63">
        <v>45603249.999999993</v>
      </c>
      <c r="T227" s="11" t="s">
        <v>528</v>
      </c>
      <c r="U227" s="26" t="s">
        <v>58</v>
      </c>
      <c r="V227" s="26" t="s">
        <v>516</v>
      </c>
      <c r="W227" s="33">
        <v>11.5</v>
      </c>
      <c r="X227" s="14">
        <v>31</v>
      </c>
      <c r="Y227" s="27">
        <v>43102</v>
      </c>
      <c r="Z227" s="34">
        <v>45603249.999999993</v>
      </c>
      <c r="AA227" s="17"/>
      <c r="AB227" s="17">
        <v>34</v>
      </c>
      <c r="AC227" s="30">
        <v>43103</v>
      </c>
      <c r="AD227" s="19">
        <v>45603249.999999993</v>
      </c>
      <c r="AE227" s="19">
        <f t="shared" si="10"/>
        <v>0</v>
      </c>
      <c r="AF227" s="14">
        <v>186</v>
      </c>
      <c r="AG227" s="31">
        <v>43118</v>
      </c>
      <c r="AH227" s="19">
        <v>45603249.999999993</v>
      </c>
      <c r="AI227" s="1" t="s">
        <v>582</v>
      </c>
      <c r="AJ227" s="1">
        <v>149</v>
      </c>
      <c r="AK227" s="19">
        <f t="shared" si="11"/>
        <v>0</v>
      </c>
      <c r="AL227" s="19">
        <v>21017150</v>
      </c>
      <c r="AM227" s="19">
        <f t="shared" si="12"/>
        <v>24586099.999999993</v>
      </c>
      <c r="AN227" s="14"/>
      <c r="AO227" s="21">
        <f t="shared" si="13"/>
        <v>0</v>
      </c>
      <c r="AP227" s="14"/>
      <c r="AQ227" s="30">
        <v>43102</v>
      </c>
      <c r="AR227" s="14" t="s">
        <v>520</v>
      </c>
      <c r="AS227" s="30">
        <v>43102</v>
      </c>
      <c r="AT227" s="14" t="s">
        <v>521</v>
      </c>
      <c r="AU227" s="211"/>
    </row>
    <row r="228" spans="1:47" ht="344.25" x14ac:dyDescent="0.2">
      <c r="A228" s="1">
        <f t="shared" si="16"/>
        <v>85</v>
      </c>
      <c r="B228" s="2" t="str">
        <f t="shared" si="14"/>
        <v>208-85</v>
      </c>
      <c r="C228" s="3" t="s">
        <v>484</v>
      </c>
      <c r="D228" s="4" t="s">
        <v>485</v>
      </c>
      <c r="E228" s="5" t="s">
        <v>486</v>
      </c>
      <c r="F228" s="7" t="s">
        <v>511</v>
      </c>
      <c r="G228" s="22" t="s">
        <v>512</v>
      </c>
      <c r="H228" s="7" t="s">
        <v>513</v>
      </c>
      <c r="I228" s="7" t="s">
        <v>54</v>
      </c>
      <c r="J228" s="7" t="s">
        <v>55</v>
      </c>
      <c r="K228" s="1">
        <v>801116</v>
      </c>
      <c r="L228" s="7" t="s">
        <v>492</v>
      </c>
      <c r="M228" s="7" t="s">
        <v>493</v>
      </c>
      <c r="N228" s="7" t="s">
        <v>494</v>
      </c>
      <c r="O228" s="7" t="s">
        <v>504</v>
      </c>
      <c r="P228" s="23" t="s">
        <v>577</v>
      </c>
      <c r="Q228" s="62">
        <f t="shared" si="15"/>
        <v>1699500</v>
      </c>
      <c r="R228" s="24">
        <v>1</v>
      </c>
      <c r="S228" s="63">
        <v>19544250</v>
      </c>
      <c r="T228" s="11" t="s">
        <v>528</v>
      </c>
      <c r="U228" s="26" t="s">
        <v>58</v>
      </c>
      <c r="V228" s="26" t="s">
        <v>516</v>
      </c>
      <c r="W228" s="33">
        <v>11.5</v>
      </c>
      <c r="X228" s="14">
        <v>30</v>
      </c>
      <c r="Y228" s="27">
        <v>43102</v>
      </c>
      <c r="Z228" s="34">
        <v>19544250</v>
      </c>
      <c r="AA228" s="17"/>
      <c r="AB228" s="17">
        <v>33</v>
      </c>
      <c r="AC228" s="30">
        <v>43102</v>
      </c>
      <c r="AD228" s="19">
        <v>19544250</v>
      </c>
      <c r="AE228" s="19">
        <f t="shared" si="10"/>
        <v>0</v>
      </c>
      <c r="AF228" s="14">
        <v>173</v>
      </c>
      <c r="AG228" s="31">
        <v>43118</v>
      </c>
      <c r="AH228" s="19">
        <v>19544250</v>
      </c>
      <c r="AI228" s="1" t="s">
        <v>583</v>
      </c>
      <c r="AJ228" s="1">
        <v>138</v>
      </c>
      <c r="AK228" s="19">
        <f t="shared" si="11"/>
        <v>0</v>
      </c>
      <c r="AL228" s="19">
        <v>9233949.9000000004</v>
      </c>
      <c r="AM228" s="19">
        <f t="shared" si="12"/>
        <v>10310300.1</v>
      </c>
      <c r="AN228" s="14"/>
      <c r="AO228" s="21">
        <f t="shared" si="13"/>
        <v>0</v>
      </c>
      <c r="AP228" s="14"/>
      <c r="AQ228" s="30">
        <v>43102</v>
      </c>
      <c r="AR228" s="14" t="s">
        <v>520</v>
      </c>
      <c r="AS228" s="30">
        <v>43102</v>
      </c>
      <c r="AT228" s="14" t="s">
        <v>521</v>
      </c>
      <c r="AU228" s="211"/>
    </row>
    <row r="229" spans="1:47" ht="331.5" x14ac:dyDescent="0.2">
      <c r="A229" s="1">
        <f t="shared" si="16"/>
        <v>86</v>
      </c>
      <c r="B229" s="2" t="str">
        <f t="shared" si="14"/>
        <v>208-86</v>
      </c>
      <c r="C229" s="3" t="s">
        <v>484</v>
      </c>
      <c r="D229" s="4" t="s">
        <v>485</v>
      </c>
      <c r="E229" s="22" t="s">
        <v>499</v>
      </c>
      <c r="F229" s="7" t="s">
        <v>511</v>
      </c>
      <c r="G229" s="22" t="s">
        <v>512</v>
      </c>
      <c r="H229" s="7" t="s">
        <v>513</v>
      </c>
      <c r="I229" s="7" t="s">
        <v>54</v>
      </c>
      <c r="J229" s="7" t="s">
        <v>55</v>
      </c>
      <c r="K229" s="1">
        <v>801116</v>
      </c>
      <c r="L229" s="7" t="s">
        <v>492</v>
      </c>
      <c r="M229" s="7" t="s">
        <v>493</v>
      </c>
      <c r="N229" s="7" t="s">
        <v>494</v>
      </c>
      <c r="O229" s="7" t="s">
        <v>504</v>
      </c>
      <c r="P229" s="23" t="s">
        <v>577</v>
      </c>
      <c r="Q229" s="62">
        <f t="shared" si="15"/>
        <v>3965499.9999999995</v>
      </c>
      <c r="R229" s="24">
        <v>1</v>
      </c>
      <c r="S229" s="63">
        <v>45603249.999999993</v>
      </c>
      <c r="T229" s="11" t="s">
        <v>528</v>
      </c>
      <c r="U229" s="26" t="s">
        <v>58</v>
      </c>
      <c r="V229" s="26" t="s">
        <v>516</v>
      </c>
      <c r="W229" s="33">
        <v>11.5</v>
      </c>
      <c r="X229" s="14">
        <v>29</v>
      </c>
      <c r="Y229" s="27">
        <v>43102</v>
      </c>
      <c r="Z229" s="34">
        <v>45603249.999999993</v>
      </c>
      <c r="AA229" s="17"/>
      <c r="AB229" s="17">
        <v>33</v>
      </c>
      <c r="AC229" s="30">
        <v>43102</v>
      </c>
      <c r="AD229" s="19">
        <v>45603249.999999993</v>
      </c>
      <c r="AE229" s="19">
        <f t="shared" si="10"/>
        <v>0</v>
      </c>
      <c r="AF229" s="14">
        <v>173</v>
      </c>
      <c r="AG229" s="31">
        <v>43118</v>
      </c>
      <c r="AH229" s="19">
        <v>45603249.999999993</v>
      </c>
      <c r="AI229" s="1" t="s">
        <v>583</v>
      </c>
      <c r="AJ229" s="1">
        <v>138</v>
      </c>
      <c r="AK229" s="19">
        <f t="shared" si="11"/>
        <v>0</v>
      </c>
      <c r="AL229" s="19">
        <v>21545883.099999998</v>
      </c>
      <c r="AM229" s="19">
        <f t="shared" si="12"/>
        <v>24057366.899999995</v>
      </c>
      <c r="AN229" s="14"/>
      <c r="AO229" s="21">
        <f t="shared" si="13"/>
        <v>0</v>
      </c>
      <c r="AP229" s="14"/>
      <c r="AQ229" s="30">
        <v>43102</v>
      </c>
      <c r="AR229" s="14" t="s">
        <v>520</v>
      </c>
      <c r="AS229" s="30">
        <v>43102</v>
      </c>
      <c r="AT229" s="14" t="s">
        <v>521</v>
      </c>
      <c r="AU229" s="211"/>
    </row>
    <row r="230" spans="1:47" ht="344.25" x14ac:dyDescent="0.2">
      <c r="A230" s="1">
        <f t="shared" si="16"/>
        <v>87</v>
      </c>
      <c r="B230" s="2" t="str">
        <f t="shared" si="14"/>
        <v>208-87</v>
      </c>
      <c r="C230" s="3" t="s">
        <v>484</v>
      </c>
      <c r="D230" s="4" t="s">
        <v>485</v>
      </c>
      <c r="E230" s="5" t="s">
        <v>486</v>
      </c>
      <c r="F230" s="7" t="s">
        <v>511</v>
      </c>
      <c r="G230" s="22" t="s">
        <v>512</v>
      </c>
      <c r="H230" s="7" t="s">
        <v>513</v>
      </c>
      <c r="I230" s="7" t="s">
        <v>54</v>
      </c>
      <c r="J230" s="7" t="s">
        <v>55</v>
      </c>
      <c r="K230" s="1">
        <v>801116</v>
      </c>
      <c r="L230" s="7" t="s">
        <v>492</v>
      </c>
      <c r="M230" s="7" t="s">
        <v>493</v>
      </c>
      <c r="N230" s="7" t="s">
        <v>494</v>
      </c>
      <c r="O230" s="7" t="s">
        <v>504</v>
      </c>
      <c r="P230" s="23" t="s">
        <v>584</v>
      </c>
      <c r="Q230" s="62">
        <f t="shared" si="15"/>
        <v>2008500</v>
      </c>
      <c r="R230" s="24">
        <v>1</v>
      </c>
      <c r="S230" s="63">
        <f>17376615+4716885</f>
        <v>22093500</v>
      </c>
      <c r="T230" s="11" t="s">
        <v>528</v>
      </c>
      <c r="U230" s="26" t="s">
        <v>58</v>
      </c>
      <c r="V230" s="26" t="s">
        <v>516</v>
      </c>
      <c r="W230" s="33">
        <v>11</v>
      </c>
      <c r="X230" s="14" t="s">
        <v>585</v>
      </c>
      <c r="Y230" s="27">
        <v>43123</v>
      </c>
      <c r="Z230" s="34">
        <v>22093500</v>
      </c>
      <c r="AA230" s="17"/>
      <c r="AB230" s="17">
        <v>559</v>
      </c>
      <c r="AC230" s="30">
        <v>43123</v>
      </c>
      <c r="AD230" s="63">
        <f>17376615+4716885</f>
        <v>22093500</v>
      </c>
      <c r="AE230" s="19">
        <f t="shared" si="10"/>
        <v>0</v>
      </c>
      <c r="AF230" s="14">
        <v>483</v>
      </c>
      <c r="AG230" s="31">
        <v>43126</v>
      </c>
      <c r="AH230" s="63">
        <f>17376615+4716885</f>
        <v>22093500</v>
      </c>
      <c r="AI230" s="1" t="s">
        <v>586</v>
      </c>
      <c r="AJ230" s="1">
        <v>405</v>
      </c>
      <c r="AK230" s="19">
        <f t="shared" si="11"/>
        <v>0</v>
      </c>
      <c r="AL230" s="19">
        <v>10176399.9</v>
      </c>
      <c r="AM230" s="19">
        <f t="shared" si="12"/>
        <v>11917100.1</v>
      </c>
      <c r="AN230" s="14"/>
      <c r="AO230" s="21">
        <f t="shared" si="13"/>
        <v>0</v>
      </c>
      <c r="AP230" s="14"/>
      <c r="AQ230" s="30">
        <v>43123</v>
      </c>
      <c r="AR230" s="14" t="s">
        <v>520</v>
      </c>
      <c r="AS230" s="30">
        <v>43123</v>
      </c>
      <c r="AT230" s="14" t="s">
        <v>521</v>
      </c>
      <c r="AU230" s="211"/>
    </row>
    <row r="231" spans="1:47" ht="331.5" x14ac:dyDescent="0.2">
      <c r="A231" s="1">
        <f t="shared" si="16"/>
        <v>88</v>
      </c>
      <c r="B231" s="2" t="str">
        <f t="shared" si="14"/>
        <v>208-88</v>
      </c>
      <c r="C231" s="3" t="s">
        <v>484</v>
      </c>
      <c r="D231" s="4" t="s">
        <v>485</v>
      </c>
      <c r="E231" s="22" t="s">
        <v>499</v>
      </c>
      <c r="F231" s="7" t="s">
        <v>511</v>
      </c>
      <c r="G231" s="22" t="s">
        <v>512</v>
      </c>
      <c r="H231" s="7" t="s">
        <v>513</v>
      </c>
      <c r="I231" s="7" t="s">
        <v>54</v>
      </c>
      <c r="J231" s="7" t="s">
        <v>55</v>
      </c>
      <c r="K231" s="1">
        <v>801116</v>
      </c>
      <c r="L231" s="7" t="s">
        <v>492</v>
      </c>
      <c r="M231" s="7" t="s">
        <v>493</v>
      </c>
      <c r="N231" s="7" t="s">
        <v>494</v>
      </c>
      <c r="O231" s="7" t="s">
        <v>504</v>
      </c>
      <c r="P231" s="23" t="s">
        <v>584</v>
      </c>
      <c r="Q231" s="62">
        <f t="shared" si="15"/>
        <v>4686500</v>
      </c>
      <c r="R231" s="24">
        <v>1</v>
      </c>
      <c r="S231" s="63">
        <f>40545435+11006065</f>
        <v>51551500</v>
      </c>
      <c r="T231" s="11" t="s">
        <v>528</v>
      </c>
      <c r="U231" s="26" t="s">
        <v>58</v>
      </c>
      <c r="V231" s="26" t="s">
        <v>516</v>
      </c>
      <c r="W231" s="33">
        <v>11</v>
      </c>
      <c r="X231" s="14" t="s">
        <v>587</v>
      </c>
      <c r="Y231" s="27">
        <v>43123</v>
      </c>
      <c r="Z231" s="34">
        <v>51551500</v>
      </c>
      <c r="AA231" s="17"/>
      <c r="AB231" s="17">
        <v>559</v>
      </c>
      <c r="AC231" s="30">
        <v>43123</v>
      </c>
      <c r="AD231" s="63">
        <f>40545435+11006065</f>
        <v>51551500</v>
      </c>
      <c r="AE231" s="19">
        <f t="shared" si="10"/>
        <v>0</v>
      </c>
      <c r="AF231" s="14">
        <v>483</v>
      </c>
      <c r="AG231" s="31">
        <v>43126</v>
      </c>
      <c r="AH231" s="63">
        <f>40545435+11006065</f>
        <v>51551500</v>
      </c>
      <c r="AI231" s="1" t="s">
        <v>586</v>
      </c>
      <c r="AJ231" s="1">
        <v>405</v>
      </c>
      <c r="AK231" s="19">
        <f t="shared" si="11"/>
        <v>0</v>
      </c>
      <c r="AL231" s="19">
        <v>23744933.099999998</v>
      </c>
      <c r="AM231" s="19">
        <f t="shared" si="12"/>
        <v>27806566.900000002</v>
      </c>
      <c r="AN231" s="14"/>
      <c r="AO231" s="21">
        <f t="shared" si="13"/>
        <v>0</v>
      </c>
      <c r="AP231" s="14"/>
      <c r="AQ231" s="30">
        <v>43123</v>
      </c>
      <c r="AR231" s="14" t="s">
        <v>520</v>
      </c>
      <c r="AS231" s="30">
        <v>43123</v>
      </c>
      <c r="AT231" s="14" t="s">
        <v>521</v>
      </c>
      <c r="AU231" s="211"/>
    </row>
    <row r="232" spans="1:47" ht="344.25" x14ac:dyDescent="0.2">
      <c r="A232" s="1">
        <f t="shared" si="16"/>
        <v>89</v>
      </c>
      <c r="B232" s="2" t="str">
        <f t="shared" si="14"/>
        <v>208-89</v>
      </c>
      <c r="C232" s="3" t="s">
        <v>484</v>
      </c>
      <c r="D232" s="4" t="s">
        <v>485</v>
      </c>
      <c r="E232" s="5" t="s">
        <v>486</v>
      </c>
      <c r="F232" s="7" t="s">
        <v>511</v>
      </c>
      <c r="G232" s="22" t="s">
        <v>512</v>
      </c>
      <c r="H232" s="7" t="s">
        <v>513</v>
      </c>
      <c r="I232" s="7" t="s">
        <v>54</v>
      </c>
      <c r="J232" s="7" t="s">
        <v>55</v>
      </c>
      <c r="K232" s="1">
        <v>801116</v>
      </c>
      <c r="L232" s="7" t="s">
        <v>492</v>
      </c>
      <c r="M232" s="7" t="s">
        <v>493</v>
      </c>
      <c r="N232" s="7" t="s">
        <v>494</v>
      </c>
      <c r="O232" s="7" t="s">
        <v>504</v>
      </c>
      <c r="P232" s="23" t="s">
        <v>588</v>
      </c>
      <c r="Q232" s="62">
        <f t="shared" si="15"/>
        <v>998070</v>
      </c>
      <c r="R232" s="24">
        <v>1</v>
      </c>
      <c r="S232" s="63">
        <f>14214000-2736195</f>
        <v>11477805</v>
      </c>
      <c r="T232" s="11" t="s">
        <v>528</v>
      </c>
      <c r="U232" s="26" t="s">
        <v>58</v>
      </c>
      <c r="V232" s="26" t="s">
        <v>516</v>
      </c>
      <c r="W232" s="33">
        <v>11.5</v>
      </c>
      <c r="X232" s="14" t="s">
        <v>589</v>
      </c>
      <c r="Y232" s="31">
        <v>43115</v>
      </c>
      <c r="Z232" s="34">
        <v>11477805</v>
      </c>
      <c r="AA232" s="17"/>
      <c r="AB232" s="17">
        <v>509</v>
      </c>
      <c r="AC232" s="30">
        <v>43116</v>
      </c>
      <c r="AD232" s="19">
        <f>14214000-2736195</f>
        <v>11477805</v>
      </c>
      <c r="AE232" s="19">
        <f t="shared" si="10"/>
        <v>0</v>
      </c>
      <c r="AF232" s="14">
        <v>260</v>
      </c>
      <c r="AG232" s="31">
        <v>43119</v>
      </c>
      <c r="AH232" s="19">
        <f>14214000-2736195</f>
        <v>11477805</v>
      </c>
      <c r="AI232" s="1" t="s">
        <v>590</v>
      </c>
      <c r="AJ232" s="1">
        <v>234</v>
      </c>
      <c r="AK232" s="19">
        <f t="shared" si="11"/>
        <v>0</v>
      </c>
      <c r="AL232" s="19">
        <v>5256501.8999999994</v>
      </c>
      <c r="AM232" s="19">
        <f t="shared" si="12"/>
        <v>6221303.1000000006</v>
      </c>
      <c r="AN232" s="14"/>
      <c r="AO232" s="21">
        <f t="shared" si="13"/>
        <v>0</v>
      </c>
      <c r="AP232" s="14"/>
      <c r="AQ232" s="30"/>
      <c r="AR232" s="14"/>
      <c r="AS232" s="30"/>
      <c r="AT232" s="14"/>
      <c r="AU232" s="211"/>
    </row>
    <row r="233" spans="1:47" ht="344.25" x14ac:dyDescent="0.2">
      <c r="A233" s="1">
        <f t="shared" si="16"/>
        <v>90</v>
      </c>
      <c r="B233" s="2" t="str">
        <f t="shared" si="14"/>
        <v>208-90</v>
      </c>
      <c r="C233" s="3" t="s">
        <v>484</v>
      </c>
      <c r="D233" s="4" t="s">
        <v>485</v>
      </c>
      <c r="E233" s="22" t="s">
        <v>499</v>
      </c>
      <c r="F233" s="7" t="s">
        <v>511</v>
      </c>
      <c r="G233" s="22" t="s">
        <v>512</v>
      </c>
      <c r="H233" s="7" t="s">
        <v>513</v>
      </c>
      <c r="I233" s="7" t="s">
        <v>54</v>
      </c>
      <c r="J233" s="7" t="s">
        <v>55</v>
      </c>
      <c r="K233" s="1">
        <v>801116</v>
      </c>
      <c r="L233" s="7" t="s">
        <v>492</v>
      </c>
      <c r="M233" s="7" t="s">
        <v>493</v>
      </c>
      <c r="N233" s="7" t="s">
        <v>494</v>
      </c>
      <c r="O233" s="7" t="s">
        <v>504</v>
      </c>
      <c r="P233" s="23" t="s">
        <v>588</v>
      </c>
      <c r="Q233" s="62">
        <f t="shared" si="15"/>
        <v>2328830</v>
      </c>
      <c r="R233" s="24">
        <v>1</v>
      </c>
      <c r="S233" s="63">
        <f>33166000-6384455</f>
        <v>26781545</v>
      </c>
      <c r="T233" s="11" t="s">
        <v>528</v>
      </c>
      <c r="U233" s="26" t="s">
        <v>58</v>
      </c>
      <c r="V233" s="26" t="s">
        <v>516</v>
      </c>
      <c r="W233" s="33">
        <v>11.5</v>
      </c>
      <c r="X233" s="14" t="s">
        <v>591</v>
      </c>
      <c r="Y233" s="31">
        <v>43115</v>
      </c>
      <c r="Z233" s="34">
        <v>26781545</v>
      </c>
      <c r="AA233" s="17"/>
      <c r="AB233" s="17">
        <v>509</v>
      </c>
      <c r="AC233" s="30">
        <v>43116</v>
      </c>
      <c r="AD233" s="19">
        <f>33166000-6384455</f>
        <v>26781545</v>
      </c>
      <c r="AE233" s="19">
        <f t="shared" si="10"/>
        <v>0</v>
      </c>
      <c r="AF233" s="14">
        <v>260</v>
      </c>
      <c r="AG233" s="31">
        <v>43119</v>
      </c>
      <c r="AH233" s="19">
        <f>33166000-6384455</f>
        <v>26781545</v>
      </c>
      <c r="AI233" s="1" t="s">
        <v>590</v>
      </c>
      <c r="AJ233" s="1">
        <v>234</v>
      </c>
      <c r="AK233" s="19">
        <f t="shared" si="11"/>
        <v>0</v>
      </c>
      <c r="AL233" s="19">
        <v>12265171.1</v>
      </c>
      <c r="AM233" s="19">
        <f t="shared" si="12"/>
        <v>14516373.9</v>
      </c>
      <c r="AN233" s="14"/>
      <c r="AO233" s="21">
        <f t="shared" si="13"/>
        <v>0</v>
      </c>
      <c r="AP233" s="14"/>
      <c r="AQ233" s="30"/>
      <c r="AR233" s="14"/>
      <c r="AS233" s="30"/>
      <c r="AT233" s="14"/>
      <c r="AU233" s="211"/>
    </row>
    <row r="234" spans="1:47" ht="344.25" x14ac:dyDescent="0.2">
      <c r="A234" s="1">
        <f t="shared" si="16"/>
        <v>91</v>
      </c>
      <c r="B234" s="2" t="str">
        <f t="shared" si="14"/>
        <v>208-91</v>
      </c>
      <c r="C234" s="3" t="s">
        <v>484</v>
      </c>
      <c r="D234" s="4" t="s">
        <v>485</v>
      </c>
      <c r="E234" s="5" t="s">
        <v>486</v>
      </c>
      <c r="F234" s="7" t="s">
        <v>511</v>
      </c>
      <c r="G234" s="22" t="s">
        <v>512</v>
      </c>
      <c r="H234" s="7" t="s">
        <v>513</v>
      </c>
      <c r="I234" s="7" t="s">
        <v>54</v>
      </c>
      <c r="J234" s="7" t="s">
        <v>55</v>
      </c>
      <c r="K234" s="1">
        <v>801116</v>
      </c>
      <c r="L234" s="7" t="s">
        <v>492</v>
      </c>
      <c r="M234" s="7" t="s">
        <v>493</v>
      </c>
      <c r="N234" s="7" t="s">
        <v>494</v>
      </c>
      <c r="O234" s="7" t="s">
        <v>504</v>
      </c>
      <c r="P234" s="23" t="s">
        <v>577</v>
      </c>
      <c r="Q234" s="62">
        <f t="shared" si="15"/>
        <v>1575900</v>
      </c>
      <c r="R234" s="24">
        <v>1</v>
      </c>
      <c r="S234" s="63">
        <v>18122850</v>
      </c>
      <c r="T234" s="11" t="s">
        <v>528</v>
      </c>
      <c r="U234" s="26" t="s">
        <v>58</v>
      </c>
      <c r="V234" s="26" t="s">
        <v>516</v>
      </c>
      <c r="W234" s="33">
        <v>11.5</v>
      </c>
      <c r="X234" s="14">
        <v>24</v>
      </c>
      <c r="Y234" s="27">
        <v>43102</v>
      </c>
      <c r="Z234" s="34">
        <v>18122850</v>
      </c>
      <c r="AA234" s="17"/>
      <c r="AB234" s="17">
        <v>30</v>
      </c>
      <c r="AC234" s="30">
        <v>43102</v>
      </c>
      <c r="AD234" s="19">
        <v>18122850</v>
      </c>
      <c r="AE234" s="19">
        <f t="shared" si="10"/>
        <v>0</v>
      </c>
      <c r="AF234" s="14">
        <v>11</v>
      </c>
      <c r="AG234" s="31">
        <v>43112</v>
      </c>
      <c r="AH234" s="19">
        <v>18122850</v>
      </c>
      <c r="AI234" s="1" t="s">
        <v>592</v>
      </c>
      <c r="AJ234" s="1">
        <v>14</v>
      </c>
      <c r="AK234" s="19">
        <f t="shared" si="11"/>
        <v>0</v>
      </c>
      <c r="AL234" s="19">
        <v>8667450</v>
      </c>
      <c r="AM234" s="19">
        <f t="shared" si="12"/>
        <v>9455400</v>
      </c>
      <c r="AN234" s="14"/>
      <c r="AO234" s="21">
        <f t="shared" si="13"/>
        <v>0</v>
      </c>
      <c r="AP234" s="14"/>
      <c r="AQ234" s="30">
        <v>43102</v>
      </c>
      <c r="AR234" s="14" t="s">
        <v>520</v>
      </c>
      <c r="AS234" s="30">
        <v>43102</v>
      </c>
      <c r="AT234" s="14" t="s">
        <v>521</v>
      </c>
      <c r="AU234" s="211"/>
    </row>
    <row r="235" spans="1:47" ht="331.5" x14ac:dyDescent="0.2">
      <c r="A235" s="1">
        <f t="shared" si="16"/>
        <v>92</v>
      </c>
      <c r="B235" s="2" t="str">
        <f t="shared" si="14"/>
        <v>208-92</v>
      </c>
      <c r="C235" s="3" t="s">
        <v>484</v>
      </c>
      <c r="D235" s="4" t="s">
        <v>485</v>
      </c>
      <c r="E235" s="22" t="s">
        <v>499</v>
      </c>
      <c r="F235" s="7" t="s">
        <v>511</v>
      </c>
      <c r="G235" s="22" t="s">
        <v>512</v>
      </c>
      <c r="H235" s="7" t="s">
        <v>513</v>
      </c>
      <c r="I235" s="7" t="s">
        <v>54</v>
      </c>
      <c r="J235" s="7" t="s">
        <v>55</v>
      </c>
      <c r="K235" s="1">
        <v>801116</v>
      </c>
      <c r="L235" s="7" t="s">
        <v>492</v>
      </c>
      <c r="M235" s="7" t="s">
        <v>493</v>
      </c>
      <c r="N235" s="7" t="s">
        <v>494</v>
      </c>
      <c r="O235" s="7" t="s">
        <v>504</v>
      </c>
      <c r="P235" s="23" t="s">
        <v>577</v>
      </c>
      <c r="Q235" s="62">
        <f t="shared" si="15"/>
        <v>3677099.9999999995</v>
      </c>
      <c r="R235" s="24">
        <v>1</v>
      </c>
      <c r="S235" s="63">
        <v>42286649.999999993</v>
      </c>
      <c r="T235" s="11" t="s">
        <v>528</v>
      </c>
      <c r="U235" s="26" t="s">
        <v>58</v>
      </c>
      <c r="V235" s="26" t="s">
        <v>516</v>
      </c>
      <c r="W235" s="33">
        <v>11.5</v>
      </c>
      <c r="X235" s="14">
        <v>23</v>
      </c>
      <c r="Y235" s="27">
        <v>43102</v>
      </c>
      <c r="Z235" s="34">
        <v>42286649.999999993</v>
      </c>
      <c r="AA235" s="17"/>
      <c r="AB235" s="17">
        <v>30</v>
      </c>
      <c r="AC235" s="30">
        <v>43102</v>
      </c>
      <c r="AD235" s="19">
        <v>42286649.999999993</v>
      </c>
      <c r="AE235" s="19">
        <f t="shared" si="10"/>
        <v>0</v>
      </c>
      <c r="AF235" s="14">
        <v>11</v>
      </c>
      <c r="AG235" s="31">
        <v>43112</v>
      </c>
      <c r="AH235" s="19">
        <v>42286649.999999993</v>
      </c>
      <c r="AI235" s="1" t="s">
        <v>592</v>
      </c>
      <c r="AJ235" s="1">
        <v>14</v>
      </c>
      <c r="AK235" s="19">
        <f t="shared" si="11"/>
        <v>0</v>
      </c>
      <c r="AL235" s="19">
        <v>20224050</v>
      </c>
      <c r="AM235" s="19">
        <f t="shared" si="12"/>
        <v>22062599.999999993</v>
      </c>
      <c r="AN235" s="14"/>
      <c r="AO235" s="21">
        <f t="shared" si="13"/>
        <v>0</v>
      </c>
      <c r="AP235" s="14"/>
      <c r="AQ235" s="30">
        <v>43102</v>
      </c>
      <c r="AR235" s="14" t="s">
        <v>520</v>
      </c>
      <c r="AS235" s="30">
        <v>43102</v>
      </c>
      <c r="AT235" s="14" t="s">
        <v>521</v>
      </c>
      <c r="AU235" s="211"/>
    </row>
    <row r="236" spans="1:47" ht="344.25" x14ac:dyDescent="0.2">
      <c r="A236" s="1">
        <f t="shared" si="16"/>
        <v>93</v>
      </c>
      <c r="B236" s="2" t="str">
        <f t="shared" si="14"/>
        <v>208-93</v>
      </c>
      <c r="C236" s="3" t="s">
        <v>484</v>
      </c>
      <c r="D236" s="4" t="s">
        <v>485</v>
      </c>
      <c r="E236" s="5" t="s">
        <v>486</v>
      </c>
      <c r="F236" s="7" t="s">
        <v>511</v>
      </c>
      <c r="G236" s="22" t="s">
        <v>512</v>
      </c>
      <c r="H236" s="7" t="s">
        <v>513</v>
      </c>
      <c r="I236" s="7" t="s">
        <v>54</v>
      </c>
      <c r="J236" s="7" t="s">
        <v>55</v>
      </c>
      <c r="K236" s="1">
        <v>801116</v>
      </c>
      <c r="L236" s="7" t="s">
        <v>492</v>
      </c>
      <c r="M236" s="7" t="s">
        <v>493</v>
      </c>
      <c r="N236" s="7" t="s">
        <v>494</v>
      </c>
      <c r="O236" s="7" t="s">
        <v>504</v>
      </c>
      <c r="P236" s="23" t="s">
        <v>577</v>
      </c>
      <c r="Q236" s="62">
        <f t="shared" si="15"/>
        <v>1511010</v>
      </c>
      <c r="R236" s="24">
        <v>1</v>
      </c>
      <c r="S236" s="63">
        <v>17376615</v>
      </c>
      <c r="T236" s="11" t="s">
        <v>528</v>
      </c>
      <c r="U236" s="26" t="s">
        <v>58</v>
      </c>
      <c r="V236" s="26" t="s">
        <v>516</v>
      </c>
      <c r="W236" s="33">
        <v>11.5</v>
      </c>
      <c r="X236" s="14">
        <v>22</v>
      </c>
      <c r="Y236" s="27">
        <v>43102</v>
      </c>
      <c r="Z236" s="34">
        <v>17376615</v>
      </c>
      <c r="AA236" s="17"/>
      <c r="AB236" s="17">
        <v>32</v>
      </c>
      <c r="AC236" s="30">
        <v>43102</v>
      </c>
      <c r="AD236" s="63">
        <v>17376615</v>
      </c>
      <c r="AE236" s="19">
        <f t="shared" si="10"/>
        <v>0</v>
      </c>
      <c r="AF236" s="14">
        <v>504</v>
      </c>
      <c r="AG236" s="31">
        <v>43126</v>
      </c>
      <c r="AH236" s="63">
        <v>17376615</v>
      </c>
      <c r="AI236" s="1" t="s">
        <v>593</v>
      </c>
      <c r="AJ236" s="1">
        <v>414</v>
      </c>
      <c r="AK236" s="19">
        <f t="shared" si="11"/>
        <v>0</v>
      </c>
      <c r="AL236" s="19">
        <v>7655784</v>
      </c>
      <c r="AM236" s="19">
        <f t="shared" si="12"/>
        <v>9720831</v>
      </c>
      <c r="AN236" s="14"/>
      <c r="AO236" s="21">
        <f t="shared" si="13"/>
        <v>0</v>
      </c>
      <c r="AP236" s="14"/>
      <c r="AQ236" s="30">
        <v>43102</v>
      </c>
      <c r="AR236" s="14" t="s">
        <v>520</v>
      </c>
      <c r="AS236" s="30">
        <v>43102</v>
      </c>
      <c r="AT236" s="14" t="s">
        <v>521</v>
      </c>
      <c r="AU236" s="211"/>
    </row>
    <row r="237" spans="1:47" ht="331.5" x14ac:dyDescent="0.2">
      <c r="A237" s="1">
        <f t="shared" si="16"/>
        <v>94</v>
      </c>
      <c r="B237" s="2" t="str">
        <f t="shared" si="14"/>
        <v>208-94</v>
      </c>
      <c r="C237" s="3" t="s">
        <v>484</v>
      </c>
      <c r="D237" s="4" t="s">
        <v>485</v>
      </c>
      <c r="E237" s="22" t="s">
        <v>499</v>
      </c>
      <c r="F237" s="7" t="s">
        <v>511</v>
      </c>
      <c r="G237" s="22" t="s">
        <v>512</v>
      </c>
      <c r="H237" s="7" t="s">
        <v>513</v>
      </c>
      <c r="I237" s="7" t="s">
        <v>54</v>
      </c>
      <c r="J237" s="7" t="s">
        <v>55</v>
      </c>
      <c r="K237" s="1">
        <v>801116</v>
      </c>
      <c r="L237" s="7" t="s">
        <v>492</v>
      </c>
      <c r="M237" s="7" t="s">
        <v>493</v>
      </c>
      <c r="N237" s="7" t="s">
        <v>494</v>
      </c>
      <c r="O237" s="7" t="s">
        <v>504</v>
      </c>
      <c r="P237" s="23" t="s">
        <v>577</v>
      </c>
      <c r="Q237" s="62">
        <f t="shared" si="15"/>
        <v>3525690</v>
      </c>
      <c r="R237" s="24">
        <v>1</v>
      </c>
      <c r="S237" s="63">
        <v>40545435</v>
      </c>
      <c r="T237" s="11" t="s">
        <v>528</v>
      </c>
      <c r="U237" s="26" t="s">
        <v>58</v>
      </c>
      <c r="V237" s="26" t="s">
        <v>516</v>
      </c>
      <c r="W237" s="33">
        <v>11.5</v>
      </c>
      <c r="X237" s="14">
        <v>21</v>
      </c>
      <c r="Y237" s="27">
        <v>43102</v>
      </c>
      <c r="Z237" s="34">
        <v>40545435</v>
      </c>
      <c r="AA237" s="17"/>
      <c r="AB237" s="17">
        <v>32</v>
      </c>
      <c r="AC237" s="30">
        <v>43102</v>
      </c>
      <c r="AD237" s="63">
        <v>40545435</v>
      </c>
      <c r="AE237" s="19">
        <f t="shared" si="10"/>
        <v>0</v>
      </c>
      <c r="AF237" s="14">
        <v>504</v>
      </c>
      <c r="AG237" s="31">
        <v>43126</v>
      </c>
      <c r="AH237" s="63">
        <v>40545435</v>
      </c>
      <c r="AI237" s="1" t="s">
        <v>593</v>
      </c>
      <c r="AJ237" s="1">
        <v>414</v>
      </c>
      <c r="AK237" s="19">
        <f t="shared" si="11"/>
        <v>0</v>
      </c>
      <c r="AL237" s="19">
        <v>17863496</v>
      </c>
      <c r="AM237" s="19">
        <f t="shared" si="12"/>
        <v>22681939</v>
      </c>
      <c r="AN237" s="14"/>
      <c r="AO237" s="21">
        <f t="shared" si="13"/>
        <v>0</v>
      </c>
      <c r="AP237" s="14"/>
      <c r="AQ237" s="30">
        <v>43102</v>
      </c>
      <c r="AR237" s="14" t="s">
        <v>520</v>
      </c>
      <c r="AS237" s="30">
        <v>43102</v>
      </c>
      <c r="AT237" s="14" t="s">
        <v>521</v>
      </c>
      <c r="AU237" s="211"/>
    </row>
    <row r="238" spans="1:47" ht="344.25" x14ac:dyDescent="0.2">
      <c r="A238" s="1">
        <f t="shared" si="16"/>
        <v>95</v>
      </c>
      <c r="B238" s="2" t="str">
        <f t="shared" si="14"/>
        <v>208-95</v>
      </c>
      <c r="C238" s="3" t="s">
        <v>484</v>
      </c>
      <c r="D238" s="4" t="s">
        <v>485</v>
      </c>
      <c r="E238" s="5" t="s">
        <v>486</v>
      </c>
      <c r="F238" s="7" t="s">
        <v>511</v>
      </c>
      <c r="G238" s="22" t="s">
        <v>512</v>
      </c>
      <c r="H238" s="7" t="s">
        <v>513</v>
      </c>
      <c r="I238" s="7" t="s">
        <v>54</v>
      </c>
      <c r="J238" s="7" t="s">
        <v>55</v>
      </c>
      <c r="K238" s="1">
        <v>801116</v>
      </c>
      <c r="L238" s="7" t="s">
        <v>492</v>
      </c>
      <c r="M238" s="7" t="s">
        <v>493</v>
      </c>
      <c r="N238" s="7" t="s">
        <v>494</v>
      </c>
      <c r="O238" s="7" t="s">
        <v>504</v>
      </c>
      <c r="P238" s="23" t="s">
        <v>584</v>
      </c>
      <c r="Q238" s="62">
        <f t="shared" si="15"/>
        <v>0</v>
      </c>
      <c r="R238" s="24">
        <v>1</v>
      </c>
      <c r="S238" s="63">
        <f>23097750-23097750</f>
        <v>0</v>
      </c>
      <c r="T238" s="11" t="s">
        <v>528</v>
      </c>
      <c r="U238" s="26" t="s">
        <v>58</v>
      </c>
      <c r="V238" s="26" t="s">
        <v>516</v>
      </c>
      <c r="W238" s="33">
        <v>11.5</v>
      </c>
      <c r="X238" s="14" t="s">
        <v>594</v>
      </c>
      <c r="Y238" s="27"/>
      <c r="Z238" s="34"/>
      <c r="AA238" s="17"/>
      <c r="AB238" s="17"/>
      <c r="AC238" s="18"/>
      <c r="AD238" s="19"/>
      <c r="AE238" s="19">
        <f t="shared" si="10"/>
        <v>0</v>
      </c>
      <c r="AF238" s="14"/>
      <c r="AG238" s="20"/>
      <c r="AH238" s="19"/>
      <c r="AI238" s="1"/>
      <c r="AJ238" s="1"/>
      <c r="AK238" s="19">
        <f t="shared" si="11"/>
        <v>0</v>
      </c>
      <c r="AL238" s="19"/>
      <c r="AM238" s="19">
        <f t="shared" si="12"/>
        <v>0</v>
      </c>
      <c r="AN238" s="14"/>
      <c r="AO238" s="21">
        <f t="shared" si="13"/>
        <v>0</v>
      </c>
      <c r="AP238" s="14"/>
      <c r="AQ238" s="30"/>
      <c r="AR238" s="14"/>
      <c r="AS238" s="30"/>
      <c r="AT238" s="14"/>
      <c r="AU238" s="211"/>
    </row>
    <row r="239" spans="1:47" ht="331.5" x14ac:dyDescent="0.2">
      <c r="A239" s="1">
        <f t="shared" si="16"/>
        <v>96</v>
      </c>
      <c r="B239" s="2" t="str">
        <f t="shared" si="14"/>
        <v>208-96</v>
      </c>
      <c r="C239" s="3" t="s">
        <v>484</v>
      </c>
      <c r="D239" s="4" t="s">
        <v>485</v>
      </c>
      <c r="E239" s="22" t="s">
        <v>499</v>
      </c>
      <c r="F239" s="7" t="s">
        <v>511</v>
      </c>
      <c r="G239" s="22" t="s">
        <v>512</v>
      </c>
      <c r="H239" s="7" t="s">
        <v>513</v>
      </c>
      <c r="I239" s="7" t="s">
        <v>54</v>
      </c>
      <c r="J239" s="7" t="s">
        <v>55</v>
      </c>
      <c r="K239" s="1">
        <v>801116</v>
      </c>
      <c r="L239" s="7" t="s">
        <v>492</v>
      </c>
      <c r="M239" s="7" t="s">
        <v>493</v>
      </c>
      <c r="N239" s="7" t="s">
        <v>494</v>
      </c>
      <c r="O239" s="7" t="s">
        <v>504</v>
      </c>
      <c r="P239" s="23" t="s">
        <v>584</v>
      </c>
      <c r="Q239" s="62">
        <f t="shared" si="15"/>
        <v>0</v>
      </c>
      <c r="R239" s="24">
        <v>1</v>
      </c>
      <c r="S239" s="63">
        <f>53894750-53894750</f>
        <v>0</v>
      </c>
      <c r="T239" s="11" t="s">
        <v>528</v>
      </c>
      <c r="U239" s="26" t="s">
        <v>58</v>
      </c>
      <c r="V239" s="26" t="s">
        <v>516</v>
      </c>
      <c r="W239" s="33">
        <v>11.5</v>
      </c>
      <c r="X239" s="14" t="s">
        <v>595</v>
      </c>
      <c r="Y239" s="27"/>
      <c r="Z239" s="34"/>
      <c r="AA239" s="17"/>
      <c r="AB239" s="17"/>
      <c r="AC239" s="18"/>
      <c r="AD239" s="19"/>
      <c r="AE239" s="19">
        <f t="shared" si="10"/>
        <v>0</v>
      </c>
      <c r="AF239" s="14"/>
      <c r="AG239" s="20"/>
      <c r="AH239" s="19"/>
      <c r="AI239" s="1"/>
      <c r="AJ239" s="1"/>
      <c r="AK239" s="19">
        <f t="shared" si="11"/>
        <v>0</v>
      </c>
      <c r="AL239" s="19"/>
      <c r="AM239" s="19">
        <f t="shared" si="12"/>
        <v>0</v>
      </c>
      <c r="AN239" s="14"/>
      <c r="AO239" s="21">
        <f t="shared" si="13"/>
        <v>0</v>
      </c>
      <c r="AP239" s="14"/>
      <c r="AQ239" s="30"/>
      <c r="AR239" s="14"/>
      <c r="AS239" s="30"/>
      <c r="AT239" s="14"/>
      <c r="AU239" s="211"/>
    </row>
    <row r="240" spans="1:47" ht="344.25" x14ac:dyDescent="0.2">
      <c r="A240" s="1">
        <f t="shared" si="16"/>
        <v>97</v>
      </c>
      <c r="B240" s="2" t="str">
        <f t="shared" si="14"/>
        <v>208-97</v>
      </c>
      <c r="C240" s="3" t="s">
        <v>484</v>
      </c>
      <c r="D240" s="4" t="s">
        <v>485</v>
      </c>
      <c r="E240" s="5" t="s">
        <v>486</v>
      </c>
      <c r="F240" s="7" t="s">
        <v>511</v>
      </c>
      <c r="G240" s="22" t="s">
        <v>512</v>
      </c>
      <c r="H240" s="7" t="s">
        <v>513</v>
      </c>
      <c r="I240" s="7" t="s">
        <v>54</v>
      </c>
      <c r="J240" s="7" t="s">
        <v>55</v>
      </c>
      <c r="K240" s="1">
        <v>801116</v>
      </c>
      <c r="L240" s="7" t="s">
        <v>492</v>
      </c>
      <c r="M240" s="7" t="s">
        <v>493</v>
      </c>
      <c r="N240" s="7" t="s">
        <v>494</v>
      </c>
      <c r="O240" s="7" t="s">
        <v>504</v>
      </c>
      <c r="P240" s="23" t="s">
        <v>596</v>
      </c>
      <c r="Q240" s="62">
        <f t="shared" si="15"/>
        <v>1147826.0869565217</v>
      </c>
      <c r="R240" s="24">
        <v>1</v>
      </c>
      <c r="S240" s="63">
        <f>14214000-1014000</f>
        <v>13200000</v>
      </c>
      <c r="T240" s="11" t="s">
        <v>528</v>
      </c>
      <c r="U240" s="26" t="s">
        <v>58</v>
      </c>
      <c r="V240" s="26" t="s">
        <v>516</v>
      </c>
      <c r="W240" s="33">
        <v>11.5</v>
      </c>
      <c r="X240" s="14">
        <v>18</v>
      </c>
      <c r="Y240" s="27">
        <v>43102</v>
      </c>
      <c r="Z240" s="34">
        <v>14214000</v>
      </c>
      <c r="AA240" s="17"/>
      <c r="AB240" s="17">
        <v>25</v>
      </c>
      <c r="AC240" s="30">
        <v>43102</v>
      </c>
      <c r="AD240" s="19">
        <v>13200000</v>
      </c>
      <c r="AE240" s="19">
        <f t="shared" si="10"/>
        <v>0</v>
      </c>
      <c r="AF240" s="14">
        <v>444</v>
      </c>
      <c r="AG240" s="31">
        <v>43125</v>
      </c>
      <c r="AH240" s="19">
        <v>13200000</v>
      </c>
      <c r="AI240" s="1" t="s">
        <v>115</v>
      </c>
      <c r="AJ240" s="1">
        <v>379</v>
      </c>
      <c r="AK240" s="19">
        <f t="shared" si="11"/>
        <v>0</v>
      </c>
      <c r="AL240" s="19">
        <v>6200000.0999999996</v>
      </c>
      <c r="AM240" s="19">
        <f t="shared" si="12"/>
        <v>6999999.9000000004</v>
      </c>
      <c r="AN240" s="14"/>
      <c r="AO240" s="21">
        <f t="shared" si="13"/>
        <v>0</v>
      </c>
      <c r="AP240" s="14"/>
      <c r="AQ240" s="30">
        <v>43102</v>
      </c>
      <c r="AR240" s="14" t="s">
        <v>520</v>
      </c>
      <c r="AS240" s="30">
        <v>43102</v>
      </c>
      <c r="AT240" s="14" t="s">
        <v>521</v>
      </c>
      <c r="AU240" s="211"/>
    </row>
    <row r="241" spans="1:47" ht="331.5" x14ac:dyDescent="0.2">
      <c r="A241" s="1">
        <f t="shared" si="16"/>
        <v>98</v>
      </c>
      <c r="B241" s="2" t="str">
        <f t="shared" si="14"/>
        <v>208-98</v>
      </c>
      <c r="C241" s="3" t="s">
        <v>484</v>
      </c>
      <c r="D241" s="4" t="s">
        <v>485</v>
      </c>
      <c r="E241" s="22" t="s">
        <v>499</v>
      </c>
      <c r="F241" s="7" t="s">
        <v>511</v>
      </c>
      <c r="G241" s="22" t="s">
        <v>512</v>
      </c>
      <c r="H241" s="7" t="s">
        <v>513</v>
      </c>
      <c r="I241" s="7" t="s">
        <v>54</v>
      </c>
      <c r="J241" s="7" t="s">
        <v>55</v>
      </c>
      <c r="K241" s="1">
        <v>801116</v>
      </c>
      <c r="L241" s="7" t="s">
        <v>492</v>
      </c>
      <c r="M241" s="7" t="s">
        <v>493</v>
      </c>
      <c r="N241" s="7" t="s">
        <v>494</v>
      </c>
      <c r="O241" s="7" t="s">
        <v>504</v>
      </c>
      <c r="P241" s="23" t="s">
        <v>596</v>
      </c>
      <c r="Q241" s="62">
        <f t="shared" si="15"/>
        <v>2678260.8695652173</v>
      </c>
      <c r="R241" s="24">
        <v>1</v>
      </c>
      <c r="S241" s="63">
        <f>33166000-2366000</f>
        <v>30800000</v>
      </c>
      <c r="T241" s="11" t="s">
        <v>528</v>
      </c>
      <c r="U241" s="26" t="s">
        <v>58</v>
      </c>
      <c r="V241" s="26" t="s">
        <v>516</v>
      </c>
      <c r="W241" s="33">
        <v>11.5</v>
      </c>
      <c r="X241" s="14">
        <v>17</v>
      </c>
      <c r="Y241" s="27">
        <v>43102</v>
      </c>
      <c r="Z241" s="34">
        <v>33166000</v>
      </c>
      <c r="AA241" s="17"/>
      <c r="AB241" s="17">
        <v>25</v>
      </c>
      <c r="AC241" s="30">
        <v>43102</v>
      </c>
      <c r="AD241" s="19">
        <v>30799999.999999996</v>
      </c>
      <c r="AE241" s="19">
        <f t="shared" si="10"/>
        <v>0</v>
      </c>
      <c r="AF241" s="14">
        <v>444</v>
      </c>
      <c r="AG241" s="31">
        <v>43125</v>
      </c>
      <c r="AH241" s="19">
        <v>30799999.999999996</v>
      </c>
      <c r="AI241" s="1" t="s">
        <v>115</v>
      </c>
      <c r="AJ241" s="1">
        <v>379</v>
      </c>
      <c r="AK241" s="19">
        <f t="shared" si="11"/>
        <v>0</v>
      </c>
      <c r="AL241" s="19">
        <v>14466666.899999999</v>
      </c>
      <c r="AM241" s="19">
        <f t="shared" si="12"/>
        <v>16333333.099999998</v>
      </c>
      <c r="AN241" s="14"/>
      <c r="AO241" s="21">
        <f t="shared" si="13"/>
        <v>0</v>
      </c>
      <c r="AP241" s="14"/>
      <c r="AQ241" s="30">
        <v>43102</v>
      </c>
      <c r="AR241" s="14" t="s">
        <v>520</v>
      </c>
      <c r="AS241" s="30">
        <v>43102</v>
      </c>
      <c r="AT241" s="14" t="s">
        <v>521</v>
      </c>
      <c r="AU241" s="211"/>
    </row>
    <row r="242" spans="1:47" ht="409.5" x14ac:dyDescent="0.2">
      <c r="A242" s="1">
        <f t="shared" si="16"/>
        <v>99</v>
      </c>
      <c r="B242" s="2" t="str">
        <f t="shared" si="14"/>
        <v>208-99</v>
      </c>
      <c r="C242" s="3" t="s">
        <v>484</v>
      </c>
      <c r="D242" s="4" t="s">
        <v>485</v>
      </c>
      <c r="E242" s="5" t="s">
        <v>486</v>
      </c>
      <c r="F242" s="7" t="s">
        <v>511</v>
      </c>
      <c r="G242" s="22" t="s">
        <v>512</v>
      </c>
      <c r="H242" s="7" t="s">
        <v>513</v>
      </c>
      <c r="I242" s="7" t="s">
        <v>54</v>
      </c>
      <c r="J242" s="7" t="s">
        <v>55</v>
      </c>
      <c r="K242" s="1">
        <v>801116</v>
      </c>
      <c r="L242" s="7" t="s">
        <v>492</v>
      </c>
      <c r="M242" s="7" t="s">
        <v>493</v>
      </c>
      <c r="N242" s="7" t="s">
        <v>494</v>
      </c>
      <c r="O242" s="7" t="s">
        <v>504</v>
      </c>
      <c r="P242" s="23" t="s">
        <v>597</v>
      </c>
      <c r="Q242" s="62">
        <f t="shared" si="15"/>
        <v>709356.52173913049</v>
      </c>
      <c r="R242" s="24">
        <v>1</v>
      </c>
      <c r="S242" s="63">
        <f>15635400-7477800</f>
        <v>8157600</v>
      </c>
      <c r="T242" s="11" t="s">
        <v>528</v>
      </c>
      <c r="U242" s="26" t="s">
        <v>58</v>
      </c>
      <c r="V242" s="26" t="s">
        <v>516</v>
      </c>
      <c r="W242" s="33">
        <v>11.5</v>
      </c>
      <c r="X242" s="14">
        <v>16</v>
      </c>
      <c r="Y242" s="27">
        <v>43102</v>
      </c>
      <c r="Z242" s="34">
        <v>15635400</v>
      </c>
      <c r="AA242" s="17"/>
      <c r="AB242" s="17">
        <v>21</v>
      </c>
      <c r="AC242" s="30">
        <v>43102</v>
      </c>
      <c r="AD242" s="19">
        <v>8157600</v>
      </c>
      <c r="AE242" s="19">
        <f t="shared" si="10"/>
        <v>0</v>
      </c>
      <c r="AF242" s="14">
        <v>312</v>
      </c>
      <c r="AG242" s="31">
        <v>43122</v>
      </c>
      <c r="AH242" s="19">
        <v>8157600</v>
      </c>
      <c r="AI242" s="1" t="s">
        <v>598</v>
      </c>
      <c r="AJ242" s="1">
        <v>226</v>
      </c>
      <c r="AK242" s="19">
        <f t="shared" si="11"/>
        <v>0</v>
      </c>
      <c r="AL242" s="19">
        <v>7251200.0999999996</v>
      </c>
      <c r="AM242" s="19">
        <f t="shared" si="12"/>
        <v>906399.90000000037</v>
      </c>
      <c r="AN242" s="14"/>
      <c r="AO242" s="21">
        <f t="shared" si="13"/>
        <v>0</v>
      </c>
      <c r="AP242" s="14"/>
      <c r="AQ242" s="30">
        <v>43102</v>
      </c>
      <c r="AR242" s="14" t="s">
        <v>520</v>
      </c>
      <c r="AS242" s="30">
        <v>43102</v>
      </c>
      <c r="AT242" s="14" t="s">
        <v>521</v>
      </c>
      <c r="AU242" s="211"/>
    </row>
    <row r="243" spans="1:47" ht="409.5" x14ac:dyDescent="0.2">
      <c r="A243" s="1">
        <f t="shared" si="16"/>
        <v>100</v>
      </c>
      <c r="B243" s="2" t="str">
        <f t="shared" si="14"/>
        <v>208-100</v>
      </c>
      <c r="C243" s="3" t="s">
        <v>484</v>
      </c>
      <c r="D243" s="4" t="s">
        <v>485</v>
      </c>
      <c r="E243" s="22" t="s">
        <v>499</v>
      </c>
      <c r="F243" s="7" t="s">
        <v>511</v>
      </c>
      <c r="G243" s="22" t="s">
        <v>512</v>
      </c>
      <c r="H243" s="7" t="s">
        <v>513</v>
      </c>
      <c r="I243" s="7" t="s">
        <v>54</v>
      </c>
      <c r="J243" s="7" t="s">
        <v>55</v>
      </c>
      <c r="K243" s="1">
        <v>801116</v>
      </c>
      <c r="L243" s="7" t="s">
        <v>492</v>
      </c>
      <c r="M243" s="7" t="s">
        <v>493</v>
      </c>
      <c r="N243" s="7" t="s">
        <v>494</v>
      </c>
      <c r="O243" s="7" t="s">
        <v>504</v>
      </c>
      <c r="P243" s="23" t="s">
        <v>597</v>
      </c>
      <c r="Q243" s="62">
        <f t="shared" si="15"/>
        <v>1655165.2173913044</v>
      </c>
      <c r="R243" s="24">
        <v>1</v>
      </c>
      <c r="S243" s="63">
        <f>36482600-17448200</f>
        <v>19034400</v>
      </c>
      <c r="T243" s="11" t="s">
        <v>528</v>
      </c>
      <c r="U243" s="26" t="s">
        <v>58</v>
      </c>
      <c r="V243" s="26" t="s">
        <v>516</v>
      </c>
      <c r="W243" s="33">
        <v>11.5</v>
      </c>
      <c r="X243" s="14">
        <v>15</v>
      </c>
      <c r="Y243" s="27">
        <v>43102</v>
      </c>
      <c r="Z243" s="34">
        <v>36482600</v>
      </c>
      <c r="AA243" s="17"/>
      <c r="AB243" s="17">
        <v>21</v>
      </c>
      <c r="AC243" s="30">
        <v>43102</v>
      </c>
      <c r="AD243" s="19">
        <v>19034400</v>
      </c>
      <c r="AE243" s="19">
        <f t="shared" si="10"/>
        <v>0</v>
      </c>
      <c r="AF243" s="14">
        <v>312</v>
      </c>
      <c r="AG243" s="31">
        <v>43122</v>
      </c>
      <c r="AH243" s="19">
        <v>19034400</v>
      </c>
      <c r="AI243" s="1" t="s">
        <v>598</v>
      </c>
      <c r="AJ243" s="1">
        <v>226</v>
      </c>
      <c r="AK243" s="19">
        <f t="shared" si="11"/>
        <v>0</v>
      </c>
      <c r="AL243" s="19">
        <v>16919466.899999999</v>
      </c>
      <c r="AM243" s="19">
        <f t="shared" si="12"/>
        <v>2114933.1000000015</v>
      </c>
      <c r="AN243" s="14"/>
      <c r="AO243" s="21">
        <f t="shared" si="13"/>
        <v>0</v>
      </c>
      <c r="AP243" s="14"/>
      <c r="AQ243" s="30">
        <v>43102</v>
      </c>
      <c r="AR243" s="14" t="s">
        <v>520</v>
      </c>
      <c r="AS243" s="30">
        <v>43102</v>
      </c>
      <c r="AT243" s="14" t="s">
        <v>521</v>
      </c>
      <c r="AU243" s="211"/>
    </row>
    <row r="244" spans="1:47" ht="344.25" x14ac:dyDescent="0.2">
      <c r="A244" s="1">
        <f t="shared" si="16"/>
        <v>101</v>
      </c>
      <c r="B244" s="2" t="str">
        <f t="shared" si="14"/>
        <v>208-101</v>
      </c>
      <c r="C244" s="3" t="s">
        <v>484</v>
      </c>
      <c r="D244" s="4" t="s">
        <v>485</v>
      </c>
      <c r="E244" s="5" t="s">
        <v>486</v>
      </c>
      <c r="F244" s="7" t="s">
        <v>511</v>
      </c>
      <c r="G244" s="22" t="s">
        <v>512</v>
      </c>
      <c r="H244" s="7" t="s">
        <v>513</v>
      </c>
      <c r="I244" s="7" t="s">
        <v>54</v>
      </c>
      <c r="J244" s="7" t="s">
        <v>55</v>
      </c>
      <c r="K244" s="1">
        <v>801116</v>
      </c>
      <c r="L244" s="7" t="s">
        <v>492</v>
      </c>
      <c r="M244" s="7" t="s">
        <v>493</v>
      </c>
      <c r="N244" s="7" t="s">
        <v>494</v>
      </c>
      <c r="O244" s="7" t="s">
        <v>504</v>
      </c>
      <c r="P244" s="23" t="s">
        <v>599</v>
      </c>
      <c r="Q244" s="62">
        <f t="shared" si="15"/>
        <v>2364521.7391304346</v>
      </c>
      <c r="R244" s="24">
        <v>1</v>
      </c>
      <c r="S244" s="63">
        <f>28428000-1236000</f>
        <v>27192000</v>
      </c>
      <c r="T244" s="11" t="s">
        <v>528</v>
      </c>
      <c r="U244" s="26" t="s">
        <v>58</v>
      </c>
      <c r="V244" s="26" t="s">
        <v>516</v>
      </c>
      <c r="W244" s="33">
        <v>11.5</v>
      </c>
      <c r="X244" s="14">
        <v>14</v>
      </c>
      <c r="Y244" s="27">
        <v>43102</v>
      </c>
      <c r="Z244" s="34">
        <v>28428000</v>
      </c>
      <c r="AA244" s="17"/>
      <c r="AB244" s="17">
        <v>18</v>
      </c>
      <c r="AC244" s="30">
        <v>43102</v>
      </c>
      <c r="AD244" s="19">
        <v>27192000</v>
      </c>
      <c r="AE244" s="19">
        <f t="shared" si="10"/>
        <v>0</v>
      </c>
      <c r="AF244" s="14">
        <v>465</v>
      </c>
      <c r="AG244" s="31">
        <v>43126</v>
      </c>
      <c r="AH244" s="19">
        <v>27192000</v>
      </c>
      <c r="AI244" s="1" t="s">
        <v>600</v>
      </c>
      <c r="AJ244" s="1">
        <v>392</v>
      </c>
      <c r="AK244" s="19">
        <f t="shared" si="11"/>
        <v>0</v>
      </c>
      <c r="AL244" s="19">
        <v>12771999.9</v>
      </c>
      <c r="AM244" s="19">
        <f t="shared" si="12"/>
        <v>14420000.1</v>
      </c>
      <c r="AN244" s="14"/>
      <c r="AO244" s="21">
        <f t="shared" si="13"/>
        <v>0</v>
      </c>
      <c r="AP244" s="14"/>
      <c r="AQ244" s="30">
        <v>43102</v>
      </c>
      <c r="AR244" s="14" t="s">
        <v>520</v>
      </c>
      <c r="AS244" s="30">
        <v>43102</v>
      </c>
      <c r="AT244" s="14" t="s">
        <v>521</v>
      </c>
      <c r="AU244" s="211"/>
    </row>
    <row r="245" spans="1:47" ht="331.5" x14ac:dyDescent="0.2">
      <c r="A245" s="1">
        <f t="shared" si="16"/>
        <v>102</v>
      </c>
      <c r="B245" s="2" t="str">
        <f t="shared" si="14"/>
        <v>208-102</v>
      </c>
      <c r="C245" s="3" t="s">
        <v>484</v>
      </c>
      <c r="D245" s="4" t="s">
        <v>485</v>
      </c>
      <c r="E245" s="22" t="s">
        <v>499</v>
      </c>
      <c r="F245" s="7" t="s">
        <v>511</v>
      </c>
      <c r="G245" s="22" t="s">
        <v>512</v>
      </c>
      <c r="H245" s="7" t="s">
        <v>513</v>
      </c>
      <c r="I245" s="7" t="s">
        <v>54</v>
      </c>
      <c r="J245" s="7" t="s">
        <v>55</v>
      </c>
      <c r="K245" s="1">
        <v>801116</v>
      </c>
      <c r="L245" s="7" t="s">
        <v>492</v>
      </c>
      <c r="M245" s="7" t="s">
        <v>493</v>
      </c>
      <c r="N245" s="7" t="s">
        <v>494</v>
      </c>
      <c r="O245" s="7" t="s">
        <v>504</v>
      </c>
      <c r="P245" s="23" t="s">
        <v>599</v>
      </c>
      <c r="Q245" s="62">
        <f t="shared" si="15"/>
        <v>5517217.3913043477</v>
      </c>
      <c r="R245" s="24">
        <v>1</v>
      </c>
      <c r="S245" s="63">
        <f>66332000-2884000</f>
        <v>63448000</v>
      </c>
      <c r="T245" s="11" t="s">
        <v>528</v>
      </c>
      <c r="U245" s="26" t="s">
        <v>58</v>
      </c>
      <c r="V245" s="26" t="s">
        <v>516</v>
      </c>
      <c r="W245" s="33">
        <v>11.5</v>
      </c>
      <c r="X245" s="14">
        <v>13</v>
      </c>
      <c r="Y245" s="27">
        <v>43102</v>
      </c>
      <c r="Z245" s="34">
        <v>66332000</v>
      </c>
      <c r="AA245" s="17"/>
      <c r="AB245" s="17">
        <v>18</v>
      </c>
      <c r="AC245" s="30">
        <v>43102</v>
      </c>
      <c r="AD245" s="19">
        <v>63447999.999999993</v>
      </c>
      <c r="AE245" s="19">
        <f t="shared" si="10"/>
        <v>0</v>
      </c>
      <c r="AF245" s="14">
        <v>465</v>
      </c>
      <c r="AG245" s="31">
        <v>43126</v>
      </c>
      <c r="AH245" s="19">
        <v>63447999.999999993</v>
      </c>
      <c r="AI245" s="1" t="s">
        <v>600</v>
      </c>
      <c r="AJ245" s="1">
        <v>392</v>
      </c>
      <c r="AK245" s="19">
        <f t="shared" si="11"/>
        <v>0</v>
      </c>
      <c r="AL245" s="19">
        <v>29801333.099999998</v>
      </c>
      <c r="AM245" s="19">
        <f t="shared" si="12"/>
        <v>33646666.899999991</v>
      </c>
      <c r="AN245" s="14"/>
      <c r="AO245" s="21">
        <f t="shared" si="13"/>
        <v>0</v>
      </c>
      <c r="AP245" s="14"/>
      <c r="AQ245" s="30">
        <v>43102</v>
      </c>
      <c r="AR245" s="14" t="s">
        <v>520</v>
      </c>
      <c r="AS245" s="30">
        <v>43102</v>
      </c>
      <c r="AT245" s="14" t="s">
        <v>521</v>
      </c>
      <c r="AU245" s="211"/>
    </row>
    <row r="246" spans="1:47" ht="344.25" x14ac:dyDescent="0.2">
      <c r="A246" s="1">
        <f t="shared" si="16"/>
        <v>103</v>
      </c>
      <c r="B246" s="2" t="str">
        <f t="shared" si="14"/>
        <v>208-103</v>
      </c>
      <c r="C246" s="3" t="s">
        <v>484</v>
      </c>
      <c r="D246" s="4" t="s">
        <v>485</v>
      </c>
      <c r="E246" s="5" t="s">
        <v>486</v>
      </c>
      <c r="F246" s="7" t="s">
        <v>511</v>
      </c>
      <c r="G246" s="22" t="s">
        <v>512</v>
      </c>
      <c r="H246" s="7" t="s">
        <v>513</v>
      </c>
      <c r="I246" s="7" t="s">
        <v>54</v>
      </c>
      <c r="J246" s="7" t="s">
        <v>55</v>
      </c>
      <c r="K246" s="1">
        <v>801116</v>
      </c>
      <c r="L246" s="7" t="s">
        <v>492</v>
      </c>
      <c r="M246" s="7" t="s">
        <v>493</v>
      </c>
      <c r="N246" s="7" t="s">
        <v>494</v>
      </c>
      <c r="O246" s="7" t="s">
        <v>504</v>
      </c>
      <c r="P246" s="23" t="s">
        <v>577</v>
      </c>
      <c r="Q246" s="62">
        <f t="shared" si="15"/>
        <v>1066050</v>
      </c>
      <c r="R246" s="24">
        <v>1</v>
      </c>
      <c r="S246" s="63">
        <v>12259575</v>
      </c>
      <c r="T246" s="11" t="s">
        <v>528</v>
      </c>
      <c r="U246" s="26" t="s">
        <v>58</v>
      </c>
      <c r="V246" s="26" t="s">
        <v>516</v>
      </c>
      <c r="W246" s="33">
        <v>11.5</v>
      </c>
      <c r="X246" s="14">
        <v>12</v>
      </c>
      <c r="Y246" s="27">
        <v>43102</v>
      </c>
      <c r="Z246" s="34">
        <v>12259575</v>
      </c>
      <c r="AA246" s="17"/>
      <c r="AB246" s="17">
        <v>16</v>
      </c>
      <c r="AC246" s="30">
        <v>43102</v>
      </c>
      <c r="AD246" s="19">
        <v>12259575</v>
      </c>
      <c r="AE246" s="19">
        <f t="shared" si="10"/>
        <v>0</v>
      </c>
      <c r="AF246" s="14">
        <v>496</v>
      </c>
      <c r="AG246" s="31">
        <v>43126</v>
      </c>
      <c r="AH246" s="19">
        <v>12259575</v>
      </c>
      <c r="AI246" s="1" t="s">
        <v>601</v>
      </c>
      <c r="AJ246" s="1">
        <v>425</v>
      </c>
      <c r="AK246" s="19">
        <f t="shared" si="11"/>
        <v>0</v>
      </c>
      <c r="AL246" s="19">
        <v>5401320</v>
      </c>
      <c r="AM246" s="19">
        <f t="shared" si="12"/>
        <v>6858255</v>
      </c>
      <c r="AN246" s="14"/>
      <c r="AO246" s="21">
        <f t="shared" si="13"/>
        <v>0</v>
      </c>
      <c r="AP246" s="14"/>
      <c r="AQ246" s="30">
        <v>43102</v>
      </c>
      <c r="AR246" s="14" t="s">
        <v>520</v>
      </c>
      <c r="AS246" s="30">
        <v>43102</v>
      </c>
      <c r="AT246" s="14" t="s">
        <v>521</v>
      </c>
      <c r="AU246" s="211"/>
    </row>
    <row r="247" spans="1:47" ht="331.5" x14ac:dyDescent="0.2">
      <c r="A247" s="1">
        <f t="shared" si="16"/>
        <v>104</v>
      </c>
      <c r="B247" s="2" t="str">
        <f t="shared" si="14"/>
        <v>208-104</v>
      </c>
      <c r="C247" s="3" t="s">
        <v>484</v>
      </c>
      <c r="D247" s="4" t="s">
        <v>485</v>
      </c>
      <c r="E247" s="22" t="s">
        <v>499</v>
      </c>
      <c r="F247" s="7" t="s">
        <v>511</v>
      </c>
      <c r="G247" s="22" t="s">
        <v>512</v>
      </c>
      <c r="H247" s="7" t="s">
        <v>513</v>
      </c>
      <c r="I247" s="7" t="s">
        <v>54</v>
      </c>
      <c r="J247" s="7" t="s">
        <v>55</v>
      </c>
      <c r="K247" s="1">
        <v>801116</v>
      </c>
      <c r="L247" s="7" t="s">
        <v>492</v>
      </c>
      <c r="M247" s="7" t="s">
        <v>493</v>
      </c>
      <c r="N247" s="7" t="s">
        <v>494</v>
      </c>
      <c r="O247" s="7" t="s">
        <v>504</v>
      </c>
      <c r="P247" s="23" t="s">
        <v>577</v>
      </c>
      <c r="Q247" s="62">
        <f t="shared" si="15"/>
        <v>2487450</v>
      </c>
      <c r="R247" s="24">
        <v>1</v>
      </c>
      <c r="S247" s="63">
        <v>28605675</v>
      </c>
      <c r="T247" s="11" t="s">
        <v>528</v>
      </c>
      <c r="U247" s="26" t="s">
        <v>58</v>
      </c>
      <c r="V247" s="26" t="s">
        <v>516</v>
      </c>
      <c r="W247" s="33">
        <v>11.5</v>
      </c>
      <c r="X247" s="14">
        <v>11</v>
      </c>
      <c r="Y247" s="27">
        <v>43102</v>
      </c>
      <c r="Z247" s="34">
        <v>28605675</v>
      </c>
      <c r="AA247" s="17"/>
      <c r="AB247" s="17">
        <v>16</v>
      </c>
      <c r="AC247" s="30">
        <v>43102</v>
      </c>
      <c r="AD247" s="19">
        <v>28605675</v>
      </c>
      <c r="AE247" s="19">
        <f t="shared" si="10"/>
        <v>0</v>
      </c>
      <c r="AF247" s="14">
        <v>496</v>
      </c>
      <c r="AG247" s="31">
        <v>43126</v>
      </c>
      <c r="AH247" s="19">
        <v>28605675</v>
      </c>
      <c r="AI247" s="1" t="s">
        <v>601</v>
      </c>
      <c r="AJ247" s="1">
        <v>425</v>
      </c>
      <c r="AK247" s="19">
        <f t="shared" si="11"/>
        <v>0</v>
      </c>
      <c r="AL247" s="19">
        <v>12603080</v>
      </c>
      <c r="AM247" s="19">
        <f t="shared" si="12"/>
        <v>16002595</v>
      </c>
      <c r="AN247" s="14"/>
      <c r="AO247" s="21">
        <f t="shared" si="13"/>
        <v>0</v>
      </c>
      <c r="AP247" s="14"/>
      <c r="AQ247" s="30">
        <v>43102</v>
      </c>
      <c r="AR247" s="14" t="s">
        <v>520</v>
      </c>
      <c r="AS247" s="30">
        <v>43102</v>
      </c>
      <c r="AT247" s="14" t="s">
        <v>521</v>
      </c>
      <c r="AU247" s="211"/>
    </row>
    <row r="248" spans="1:47" ht="344.25" x14ac:dyDescent="0.2">
      <c r="A248" s="1">
        <f t="shared" si="16"/>
        <v>105</v>
      </c>
      <c r="B248" s="2" t="str">
        <f t="shared" si="14"/>
        <v>208-105</v>
      </c>
      <c r="C248" s="3" t="s">
        <v>484</v>
      </c>
      <c r="D248" s="4" t="s">
        <v>485</v>
      </c>
      <c r="E248" s="5" t="s">
        <v>486</v>
      </c>
      <c r="F248" s="7" t="s">
        <v>511</v>
      </c>
      <c r="G248" s="22" t="s">
        <v>512</v>
      </c>
      <c r="H248" s="7" t="s">
        <v>513</v>
      </c>
      <c r="I248" s="7" t="s">
        <v>54</v>
      </c>
      <c r="J248" s="7" t="s">
        <v>55</v>
      </c>
      <c r="K248" s="1">
        <v>801116</v>
      </c>
      <c r="L248" s="7" t="s">
        <v>492</v>
      </c>
      <c r="M248" s="7" t="s">
        <v>493</v>
      </c>
      <c r="N248" s="7" t="s">
        <v>494</v>
      </c>
      <c r="O248" s="7" t="s">
        <v>504</v>
      </c>
      <c r="P248" s="23" t="s">
        <v>602</v>
      </c>
      <c r="Q248" s="62">
        <f t="shared" si="15"/>
        <v>998070</v>
      </c>
      <c r="R248" s="24">
        <v>1</v>
      </c>
      <c r="S248" s="63">
        <v>11477805</v>
      </c>
      <c r="T248" s="11" t="s">
        <v>528</v>
      </c>
      <c r="U248" s="26" t="s">
        <v>58</v>
      </c>
      <c r="V248" s="26" t="s">
        <v>516</v>
      </c>
      <c r="W248" s="33">
        <v>11.5</v>
      </c>
      <c r="X248" s="14">
        <v>10</v>
      </c>
      <c r="Y248" s="27">
        <v>43102</v>
      </c>
      <c r="Z248" s="34">
        <v>11477805</v>
      </c>
      <c r="AA248" s="17"/>
      <c r="AB248" s="17">
        <v>93</v>
      </c>
      <c r="AC248" s="30">
        <v>43103</v>
      </c>
      <c r="AD248" s="19">
        <v>11477805</v>
      </c>
      <c r="AE248" s="19">
        <f t="shared" si="10"/>
        <v>0</v>
      </c>
      <c r="AF248" s="14">
        <v>4</v>
      </c>
      <c r="AG248" s="31">
        <v>43112</v>
      </c>
      <c r="AH248" s="19">
        <v>11477805</v>
      </c>
      <c r="AI248" s="1" t="s">
        <v>603</v>
      </c>
      <c r="AJ248" s="1">
        <v>7</v>
      </c>
      <c r="AK248" s="19">
        <f t="shared" si="11"/>
        <v>0</v>
      </c>
      <c r="AL248" s="19">
        <v>5522654.0999999996</v>
      </c>
      <c r="AM248" s="19">
        <f t="shared" si="12"/>
        <v>5955150.9000000004</v>
      </c>
      <c r="AN248" s="14"/>
      <c r="AO248" s="21">
        <f t="shared" si="13"/>
        <v>0</v>
      </c>
      <c r="AP248" s="14"/>
      <c r="AQ248" s="30">
        <v>43102</v>
      </c>
      <c r="AR248" s="14" t="s">
        <v>520</v>
      </c>
      <c r="AS248" s="30">
        <v>43102</v>
      </c>
      <c r="AT248" s="14" t="s">
        <v>521</v>
      </c>
      <c r="AU248" s="211"/>
    </row>
    <row r="249" spans="1:47" ht="331.5" x14ac:dyDescent="0.2">
      <c r="A249" s="1">
        <f t="shared" si="16"/>
        <v>106</v>
      </c>
      <c r="B249" s="2" t="str">
        <f t="shared" si="14"/>
        <v>208-106</v>
      </c>
      <c r="C249" s="3" t="s">
        <v>484</v>
      </c>
      <c r="D249" s="4" t="s">
        <v>485</v>
      </c>
      <c r="E249" s="22" t="s">
        <v>499</v>
      </c>
      <c r="F249" s="7" t="s">
        <v>511</v>
      </c>
      <c r="G249" s="22" t="s">
        <v>512</v>
      </c>
      <c r="H249" s="7" t="s">
        <v>513</v>
      </c>
      <c r="I249" s="7" t="s">
        <v>54</v>
      </c>
      <c r="J249" s="7" t="s">
        <v>55</v>
      </c>
      <c r="K249" s="1">
        <v>801116</v>
      </c>
      <c r="L249" s="7" t="s">
        <v>492</v>
      </c>
      <c r="M249" s="7" t="s">
        <v>493</v>
      </c>
      <c r="N249" s="7" t="s">
        <v>494</v>
      </c>
      <c r="O249" s="7" t="s">
        <v>504</v>
      </c>
      <c r="P249" s="23" t="s">
        <v>602</v>
      </c>
      <c r="Q249" s="62">
        <f t="shared" si="15"/>
        <v>2328830</v>
      </c>
      <c r="R249" s="24">
        <v>1</v>
      </c>
      <c r="S249" s="63">
        <v>26781545</v>
      </c>
      <c r="T249" s="11" t="s">
        <v>528</v>
      </c>
      <c r="U249" s="26" t="s">
        <v>58</v>
      </c>
      <c r="V249" s="26" t="s">
        <v>516</v>
      </c>
      <c r="W249" s="33">
        <v>11.5</v>
      </c>
      <c r="X249" s="14">
        <v>9</v>
      </c>
      <c r="Y249" s="27">
        <v>43102</v>
      </c>
      <c r="Z249" s="34">
        <v>26781545</v>
      </c>
      <c r="AA249" s="17"/>
      <c r="AB249" s="17">
        <v>93</v>
      </c>
      <c r="AC249" s="30">
        <v>43103</v>
      </c>
      <c r="AD249" s="19">
        <v>26781545</v>
      </c>
      <c r="AE249" s="19">
        <f t="shared" si="10"/>
        <v>0</v>
      </c>
      <c r="AF249" s="14">
        <v>4</v>
      </c>
      <c r="AG249" s="31">
        <v>43112</v>
      </c>
      <c r="AH249" s="19">
        <v>26781545</v>
      </c>
      <c r="AI249" s="1" t="s">
        <v>603</v>
      </c>
      <c r="AJ249" s="1">
        <v>7</v>
      </c>
      <c r="AK249" s="19">
        <f t="shared" si="11"/>
        <v>0</v>
      </c>
      <c r="AL249" s="19">
        <v>12886192.899999999</v>
      </c>
      <c r="AM249" s="19">
        <f t="shared" si="12"/>
        <v>13895352.100000001</v>
      </c>
      <c r="AN249" s="14"/>
      <c r="AO249" s="21">
        <f t="shared" si="13"/>
        <v>0</v>
      </c>
      <c r="AP249" s="14"/>
      <c r="AQ249" s="30">
        <v>43102</v>
      </c>
      <c r="AR249" s="14" t="s">
        <v>520</v>
      </c>
      <c r="AS249" s="30">
        <v>43102</v>
      </c>
      <c r="AT249" s="14" t="s">
        <v>521</v>
      </c>
      <c r="AU249" s="211"/>
    </row>
    <row r="250" spans="1:47" ht="395.25" x14ac:dyDescent="0.2">
      <c r="A250" s="1">
        <f t="shared" si="16"/>
        <v>107</v>
      </c>
      <c r="B250" s="2" t="str">
        <f t="shared" si="14"/>
        <v>208-107</v>
      </c>
      <c r="C250" s="3" t="s">
        <v>484</v>
      </c>
      <c r="D250" s="4" t="s">
        <v>485</v>
      </c>
      <c r="E250" s="5" t="s">
        <v>486</v>
      </c>
      <c r="F250" s="7" t="s">
        <v>511</v>
      </c>
      <c r="G250" s="22" t="s">
        <v>512</v>
      </c>
      <c r="H250" s="7" t="s">
        <v>513</v>
      </c>
      <c r="I250" s="7" t="s">
        <v>54</v>
      </c>
      <c r="J250" s="7" t="s">
        <v>55</v>
      </c>
      <c r="K250" s="29">
        <v>801116</v>
      </c>
      <c r="L250" s="7" t="s">
        <v>492</v>
      </c>
      <c r="M250" s="7" t="s">
        <v>493</v>
      </c>
      <c r="N250" s="7" t="s">
        <v>494</v>
      </c>
      <c r="O250" s="7" t="s">
        <v>504</v>
      </c>
      <c r="P250" s="23" t="s">
        <v>604</v>
      </c>
      <c r="Q250" s="62">
        <f t="shared" si="15"/>
        <v>361328.4347826087</v>
      </c>
      <c r="R250" s="24">
        <v>1</v>
      </c>
      <c r="S250" s="63">
        <f>4344171-188894</f>
        <v>4155277</v>
      </c>
      <c r="T250" s="11" t="s">
        <v>528</v>
      </c>
      <c r="U250" s="26" t="s">
        <v>58</v>
      </c>
      <c r="V250" s="26" t="s">
        <v>516</v>
      </c>
      <c r="W250" s="33">
        <v>11.5</v>
      </c>
      <c r="X250" s="14">
        <v>8</v>
      </c>
      <c r="Y250" s="27">
        <v>43102</v>
      </c>
      <c r="Z250" s="34">
        <v>4344171</v>
      </c>
      <c r="AA250" s="17"/>
      <c r="AB250" s="17">
        <v>11</v>
      </c>
      <c r="AC250" s="30">
        <v>43102</v>
      </c>
      <c r="AD250" s="36">
        <v>4155277</v>
      </c>
      <c r="AE250" s="19">
        <f t="shared" si="10"/>
        <v>0</v>
      </c>
      <c r="AF250" s="14">
        <v>177</v>
      </c>
      <c r="AG250" s="31">
        <v>43118</v>
      </c>
      <c r="AH250" s="19">
        <v>4155277.5</v>
      </c>
      <c r="AI250" s="1" t="s">
        <v>605</v>
      </c>
      <c r="AJ250" s="1">
        <v>160</v>
      </c>
      <c r="AK250" s="19">
        <f t="shared" si="11"/>
        <v>-0.5</v>
      </c>
      <c r="AL250" s="19">
        <v>2052455.0999999999</v>
      </c>
      <c r="AM250" s="19">
        <f t="shared" si="12"/>
        <v>2102822.4000000004</v>
      </c>
      <c r="AN250" s="14"/>
      <c r="AO250" s="21">
        <f t="shared" si="13"/>
        <v>-0.5</v>
      </c>
      <c r="AP250" s="14"/>
      <c r="AQ250" s="30">
        <v>43102</v>
      </c>
      <c r="AR250" s="14" t="s">
        <v>520</v>
      </c>
      <c r="AS250" s="30">
        <v>43102</v>
      </c>
      <c r="AT250" s="14" t="s">
        <v>521</v>
      </c>
      <c r="AU250" s="211"/>
    </row>
    <row r="251" spans="1:47" ht="395.25" x14ac:dyDescent="0.2">
      <c r="A251" s="1">
        <f t="shared" si="16"/>
        <v>108</v>
      </c>
      <c r="B251" s="2" t="str">
        <f t="shared" si="14"/>
        <v>208-108</v>
      </c>
      <c r="C251" s="3" t="s">
        <v>484</v>
      </c>
      <c r="D251" s="4" t="s">
        <v>485</v>
      </c>
      <c r="E251" s="22" t="s">
        <v>499</v>
      </c>
      <c r="F251" s="7" t="s">
        <v>511</v>
      </c>
      <c r="G251" s="22" t="s">
        <v>512</v>
      </c>
      <c r="H251" s="7" t="s">
        <v>513</v>
      </c>
      <c r="I251" s="7" t="s">
        <v>54</v>
      </c>
      <c r="J251" s="7" t="s">
        <v>55</v>
      </c>
      <c r="K251" s="29">
        <v>801116</v>
      </c>
      <c r="L251" s="7" t="s">
        <v>492</v>
      </c>
      <c r="M251" s="7" t="s">
        <v>493</v>
      </c>
      <c r="N251" s="7" t="s">
        <v>494</v>
      </c>
      <c r="O251" s="7" t="s">
        <v>504</v>
      </c>
      <c r="P251" s="23" t="s">
        <v>604</v>
      </c>
      <c r="Q251" s="62">
        <f t="shared" si="15"/>
        <v>843099.82608695654</v>
      </c>
      <c r="R251" s="24">
        <v>1</v>
      </c>
      <c r="S251" s="63">
        <f>10136399-440751</f>
        <v>9695648</v>
      </c>
      <c r="T251" s="11" t="s">
        <v>528</v>
      </c>
      <c r="U251" s="26" t="s">
        <v>58</v>
      </c>
      <c r="V251" s="26" t="s">
        <v>516</v>
      </c>
      <c r="W251" s="33">
        <v>11.5</v>
      </c>
      <c r="X251" s="14">
        <v>7</v>
      </c>
      <c r="Y251" s="27">
        <v>43102</v>
      </c>
      <c r="Z251" s="34">
        <v>10136399</v>
      </c>
      <c r="AA251" s="17"/>
      <c r="AB251" s="17">
        <v>11</v>
      </c>
      <c r="AC251" s="30">
        <v>43102</v>
      </c>
      <c r="AD251" s="36">
        <v>9695648</v>
      </c>
      <c r="AE251" s="19">
        <f t="shared" si="10"/>
        <v>0</v>
      </c>
      <c r="AF251" s="14">
        <v>177</v>
      </c>
      <c r="AG251" s="31">
        <v>43118</v>
      </c>
      <c r="AH251" s="19">
        <v>9695647.5</v>
      </c>
      <c r="AI251" s="1" t="s">
        <v>605</v>
      </c>
      <c r="AJ251" s="1">
        <v>160</v>
      </c>
      <c r="AK251" s="19">
        <f t="shared" si="11"/>
        <v>0.5</v>
      </c>
      <c r="AL251" s="19">
        <v>4789061.8999999994</v>
      </c>
      <c r="AM251" s="19">
        <f t="shared" si="12"/>
        <v>4906585.6000000006</v>
      </c>
      <c r="AN251" s="14"/>
      <c r="AO251" s="21">
        <f t="shared" si="13"/>
        <v>0.5</v>
      </c>
      <c r="AP251" s="14"/>
      <c r="AQ251" s="30">
        <v>43102</v>
      </c>
      <c r="AR251" s="14" t="s">
        <v>520</v>
      </c>
      <c r="AS251" s="30">
        <v>43102</v>
      </c>
      <c r="AT251" s="14" t="s">
        <v>521</v>
      </c>
      <c r="AU251" s="211"/>
    </row>
    <row r="252" spans="1:47" ht="344.25" x14ac:dyDescent="0.2">
      <c r="A252" s="1">
        <f t="shared" si="16"/>
        <v>109</v>
      </c>
      <c r="B252" s="2" t="str">
        <f t="shared" si="14"/>
        <v>208-109</v>
      </c>
      <c r="C252" s="3" t="s">
        <v>484</v>
      </c>
      <c r="D252" s="4" t="s">
        <v>485</v>
      </c>
      <c r="E252" s="5" t="s">
        <v>486</v>
      </c>
      <c r="F252" s="7" t="s">
        <v>511</v>
      </c>
      <c r="G252" s="22" t="s">
        <v>512</v>
      </c>
      <c r="H252" s="7" t="s">
        <v>513</v>
      </c>
      <c r="I252" s="7" t="s">
        <v>54</v>
      </c>
      <c r="J252" s="7" t="s">
        <v>55</v>
      </c>
      <c r="K252" s="1">
        <v>801116</v>
      </c>
      <c r="L252" s="7" t="s">
        <v>492</v>
      </c>
      <c r="M252" s="7" t="s">
        <v>493</v>
      </c>
      <c r="N252" s="7" t="s">
        <v>494</v>
      </c>
      <c r="O252" s="7" t="s">
        <v>504</v>
      </c>
      <c r="P252" s="23" t="s">
        <v>606</v>
      </c>
      <c r="Q252" s="62">
        <f t="shared" si="15"/>
        <v>295565.21739130432</v>
      </c>
      <c r="R252" s="24">
        <v>1</v>
      </c>
      <c r="S252" s="63">
        <f>3553500-154500</f>
        <v>3399000</v>
      </c>
      <c r="T252" s="11" t="s">
        <v>528</v>
      </c>
      <c r="U252" s="26" t="s">
        <v>58</v>
      </c>
      <c r="V252" s="26" t="s">
        <v>516</v>
      </c>
      <c r="W252" s="33">
        <v>11.5</v>
      </c>
      <c r="X252" s="14" t="s">
        <v>607</v>
      </c>
      <c r="Y252" s="31">
        <v>43115</v>
      </c>
      <c r="Z252" s="34">
        <v>3553500</v>
      </c>
      <c r="AA252" s="17"/>
      <c r="AB252" s="17">
        <v>502</v>
      </c>
      <c r="AC252" s="30">
        <v>43116</v>
      </c>
      <c r="AD252" s="19">
        <v>3399000</v>
      </c>
      <c r="AE252" s="19">
        <f t="shared" si="10"/>
        <v>0</v>
      </c>
      <c r="AF252" s="14">
        <v>404</v>
      </c>
      <c r="AG252" s="31">
        <v>43124</v>
      </c>
      <c r="AH252" s="19">
        <v>3399000</v>
      </c>
      <c r="AI252" s="1" t="s">
        <v>608</v>
      </c>
      <c r="AJ252" s="1">
        <v>304</v>
      </c>
      <c r="AK252" s="19">
        <f t="shared" si="11"/>
        <v>0</v>
      </c>
      <c r="AL252" s="19">
        <v>1617099.9</v>
      </c>
      <c r="AM252" s="19">
        <f t="shared" si="12"/>
        <v>1781900.1</v>
      </c>
      <c r="AN252" s="14"/>
      <c r="AO252" s="21">
        <f t="shared" si="13"/>
        <v>0</v>
      </c>
      <c r="AP252" s="14"/>
      <c r="AQ252" s="1" t="s">
        <v>609</v>
      </c>
      <c r="AR252" s="14" t="s">
        <v>520</v>
      </c>
      <c r="AS252" s="1" t="s">
        <v>609</v>
      </c>
      <c r="AT252" s="14" t="s">
        <v>521</v>
      </c>
      <c r="AU252" s="211"/>
    </row>
    <row r="253" spans="1:47" ht="331.5" x14ac:dyDescent="0.2">
      <c r="A253" s="1">
        <f t="shared" si="16"/>
        <v>110</v>
      </c>
      <c r="B253" s="2" t="str">
        <f t="shared" si="14"/>
        <v>208-110</v>
      </c>
      <c r="C253" s="3" t="s">
        <v>484</v>
      </c>
      <c r="D253" s="4" t="s">
        <v>485</v>
      </c>
      <c r="E253" s="22" t="s">
        <v>499</v>
      </c>
      <c r="F253" s="7" t="s">
        <v>511</v>
      </c>
      <c r="G253" s="22" t="s">
        <v>512</v>
      </c>
      <c r="H253" s="7" t="s">
        <v>513</v>
      </c>
      <c r="I253" s="7" t="s">
        <v>54</v>
      </c>
      <c r="J253" s="7" t="s">
        <v>55</v>
      </c>
      <c r="K253" s="1">
        <v>801116</v>
      </c>
      <c r="L253" s="7" t="s">
        <v>492</v>
      </c>
      <c r="M253" s="7" t="s">
        <v>493</v>
      </c>
      <c r="N253" s="7" t="s">
        <v>494</v>
      </c>
      <c r="O253" s="7" t="s">
        <v>504</v>
      </c>
      <c r="P253" s="23" t="s">
        <v>606</v>
      </c>
      <c r="Q253" s="62">
        <f t="shared" si="15"/>
        <v>689652.17391304346</v>
      </c>
      <c r="R253" s="24">
        <v>1</v>
      </c>
      <c r="S253" s="63">
        <f>8291500-360500</f>
        <v>7931000</v>
      </c>
      <c r="T253" s="11" t="s">
        <v>528</v>
      </c>
      <c r="U253" s="26" t="s">
        <v>58</v>
      </c>
      <c r="V253" s="26" t="s">
        <v>516</v>
      </c>
      <c r="W253" s="33">
        <v>11.5</v>
      </c>
      <c r="X253" s="14" t="s">
        <v>610</v>
      </c>
      <c r="Y253" s="31">
        <v>43115</v>
      </c>
      <c r="Z253" s="34">
        <v>8291500</v>
      </c>
      <c r="AA253" s="17"/>
      <c r="AB253" s="17">
        <v>502</v>
      </c>
      <c r="AC253" s="30">
        <v>43116</v>
      </c>
      <c r="AD253" s="19">
        <v>7930999.9999999991</v>
      </c>
      <c r="AE253" s="19">
        <f t="shared" si="10"/>
        <v>0</v>
      </c>
      <c r="AF253" s="14">
        <v>404</v>
      </c>
      <c r="AG253" s="31">
        <v>43124</v>
      </c>
      <c r="AH253" s="19">
        <v>7930999.9999999991</v>
      </c>
      <c r="AI253" s="1" t="s">
        <v>608</v>
      </c>
      <c r="AJ253" s="1">
        <v>304</v>
      </c>
      <c r="AK253" s="19">
        <f t="shared" si="11"/>
        <v>0</v>
      </c>
      <c r="AL253" s="19">
        <v>3773233.0999999996</v>
      </c>
      <c r="AM253" s="19">
        <f t="shared" si="12"/>
        <v>4157766.8999999994</v>
      </c>
      <c r="AN253" s="14"/>
      <c r="AO253" s="21">
        <f t="shared" si="13"/>
        <v>0</v>
      </c>
      <c r="AP253" s="14"/>
      <c r="AQ253" s="1" t="s">
        <v>609</v>
      </c>
      <c r="AR253" s="14" t="s">
        <v>520</v>
      </c>
      <c r="AS253" s="1" t="s">
        <v>609</v>
      </c>
      <c r="AT253" s="14" t="s">
        <v>521</v>
      </c>
      <c r="AU253" s="211"/>
    </row>
    <row r="254" spans="1:47" ht="409.5" x14ac:dyDescent="0.2">
      <c r="A254" s="1">
        <f t="shared" si="16"/>
        <v>111</v>
      </c>
      <c r="B254" s="2" t="str">
        <f t="shared" si="14"/>
        <v>208-111</v>
      </c>
      <c r="C254" s="3" t="s">
        <v>484</v>
      </c>
      <c r="D254" s="4" t="s">
        <v>485</v>
      </c>
      <c r="E254" s="5" t="s">
        <v>486</v>
      </c>
      <c r="F254" s="7" t="s">
        <v>511</v>
      </c>
      <c r="G254" s="22" t="s">
        <v>512</v>
      </c>
      <c r="H254" s="7" t="s">
        <v>513</v>
      </c>
      <c r="I254" s="7" t="s">
        <v>54</v>
      </c>
      <c r="J254" s="7" t="s">
        <v>55</v>
      </c>
      <c r="K254" s="29">
        <v>801116</v>
      </c>
      <c r="L254" s="7" t="s">
        <v>492</v>
      </c>
      <c r="M254" s="7" t="s">
        <v>493</v>
      </c>
      <c r="N254" s="7" t="s">
        <v>494</v>
      </c>
      <c r="O254" s="7" t="s">
        <v>504</v>
      </c>
      <c r="P254" s="23" t="s">
        <v>611</v>
      </c>
      <c r="Q254" s="62">
        <f t="shared" si="15"/>
        <v>254924.95652173914</v>
      </c>
      <c r="R254" s="24">
        <v>1</v>
      </c>
      <c r="S254" s="63">
        <f>3064911-133274</f>
        <v>2931637</v>
      </c>
      <c r="T254" s="11" t="s">
        <v>528</v>
      </c>
      <c r="U254" s="26" t="s">
        <v>58</v>
      </c>
      <c r="V254" s="26" t="s">
        <v>516</v>
      </c>
      <c r="W254" s="33">
        <v>11.5</v>
      </c>
      <c r="X254" s="14">
        <v>4</v>
      </c>
      <c r="Y254" s="27">
        <v>43102</v>
      </c>
      <c r="Z254" s="34">
        <v>3064911</v>
      </c>
      <c r="AA254" s="17"/>
      <c r="AB254" s="17">
        <v>5</v>
      </c>
      <c r="AC254" s="30">
        <v>43102</v>
      </c>
      <c r="AD254" s="63">
        <v>2931637</v>
      </c>
      <c r="AE254" s="19">
        <f t="shared" si="10"/>
        <v>0</v>
      </c>
      <c r="AF254" s="14">
        <v>293</v>
      </c>
      <c r="AG254" s="31">
        <v>43122</v>
      </c>
      <c r="AH254" s="63">
        <v>2931637.5</v>
      </c>
      <c r="AI254" s="1" t="s">
        <v>612</v>
      </c>
      <c r="AJ254" s="1">
        <v>261</v>
      </c>
      <c r="AK254" s="19">
        <f t="shared" si="11"/>
        <v>-0.5</v>
      </c>
      <c r="AL254" s="19">
        <v>1412516.0999999999</v>
      </c>
      <c r="AM254" s="19">
        <f t="shared" si="12"/>
        <v>1519121.4000000001</v>
      </c>
      <c r="AN254" s="14"/>
      <c r="AO254" s="21">
        <f t="shared" si="13"/>
        <v>-0.5</v>
      </c>
      <c r="AP254" s="14"/>
      <c r="AQ254" s="30">
        <v>43102</v>
      </c>
      <c r="AR254" s="14" t="s">
        <v>520</v>
      </c>
      <c r="AS254" s="30">
        <v>43102</v>
      </c>
      <c r="AT254" s="14" t="s">
        <v>521</v>
      </c>
      <c r="AU254" s="211"/>
    </row>
    <row r="255" spans="1:47" ht="409.5" x14ac:dyDescent="0.2">
      <c r="A255" s="1">
        <f t="shared" si="16"/>
        <v>112</v>
      </c>
      <c r="B255" s="2" t="str">
        <f t="shared" si="14"/>
        <v>208-112</v>
      </c>
      <c r="C255" s="3" t="s">
        <v>484</v>
      </c>
      <c r="D255" s="4" t="s">
        <v>485</v>
      </c>
      <c r="E255" s="22" t="s">
        <v>499</v>
      </c>
      <c r="F255" s="7" t="s">
        <v>511</v>
      </c>
      <c r="G255" s="22" t="s">
        <v>512</v>
      </c>
      <c r="H255" s="7" t="s">
        <v>513</v>
      </c>
      <c r="I255" s="7" t="s">
        <v>54</v>
      </c>
      <c r="J255" s="7" t="s">
        <v>55</v>
      </c>
      <c r="K255" s="29">
        <v>801116</v>
      </c>
      <c r="L255" s="7" t="s">
        <v>492</v>
      </c>
      <c r="M255" s="7" t="s">
        <v>493</v>
      </c>
      <c r="N255" s="7" t="s">
        <v>494</v>
      </c>
      <c r="O255" s="7" t="s">
        <v>504</v>
      </c>
      <c r="P255" s="23" t="s">
        <v>611</v>
      </c>
      <c r="Q255" s="62">
        <f t="shared" si="15"/>
        <v>594825.04347826086</v>
      </c>
      <c r="R255" s="24">
        <v>1</v>
      </c>
      <c r="S255" s="63">
        <f>7151459-310971</f>
        <v>6840488</v>
      </c>
      <c r="T255" s="11" t="s">
        <v>528</v>
      </c>
      <c r="U255" s="26" t="s">
        <v>58</v>
      </c>
      <c r="V255" s="26" t="s">
        <v>516</v>
      </c>
      <c r="W255" s="33">
        <v>11.5</v>
      </c>
      <c r="X255" s="14">
        <v>3</v>
      </c>
      <c r="Y255" s="27">
        <v>43102</v>
      </c>
      <c r="Z255" s="34">
        <v>7151459</v>
      </c>
      <c r="AA255" s="17"/>
      <c r="AB255" s="17">
        <v>5</v>
      </c>
      <c r="AC255" s="30">
        <v>43102</v>
      </c>
      <c r="AD255" s="63">
        <v>6840488</v>
      </c>
      <c r="AE255" s="19">
        <f t="shared" si="10"/>
        <v>0</v>
      </c>
      <c r="AF255" s="14">
        <v>293</v>
      </c>
      <c r="AG255" s="31">
        <v>43122</v>
      </c>
      <c r="AH255" s="63">
        <v>6840487.5</v>
      </c>
      <c r="AI255" s="1" t="s">
        <v>612</v>
      </c>
      <c r="AJ255" s="1">
        <v>261</v>
      </c>
      <c r="AK255" s="19">
        <f>AD255-AH255</f>
        <v>0.5</v>
      </c>
      <c r="AL255" s="19">
        <v>3295870.9</v>
      </c>
      <c r="AM255" s="19">
        <f t="shared" si="12"/>
        <v>3544616.6</v>
      </c>
      <c r="AN255" s="14"/>
      <c r="AO255" s="21">
        <f t="shared" si="13"/>
        <v>0.5</v>
      </c>
      <c r="AP255" s="14"/>
      <c r="AQ255" s="30">
        <v>43102</v>
      </c>
      <c r="AR255" s="14" t="s">
        <v>520</v>
      </c>
      <c r="AS255" s="30">
        <v>43102</v>
      </c>
      <c r="AT255" s="14" t="s">
        <v>521</v>
      </c>
      <c r="AU255" s="211"/>
    </row>
    <row r="256" spans="1:47" ht="344.25" x14ac:dyDescent="0.2">
      <c r="A256" s="1">
        <f t="shared" si="16"/>
        <v>113</v>
      </c>
      <c r="B256" s="2" t="str">
        <f t="shared" si="14"/>
        <v>208-113</v>
      </c>
      <c r="C256" s="3" t="s">
        <v>484</v>
      </c>
      <c r="D256" s="4" t="s">
        <v>485</v>
      </c>
      <c r="E256" s="5" t="s">
        <v>486</v>
      </c>
      <c r="F256" s="7" t="s">
        <v>511</v>
      </c>
      <c r="G256" s="22" t="s">
        <v>512</v>
      </c>
      <c r="H256" s="7" t="s">
        <v>513</v>
      </c>
      <c r="I256" s="7" t="s">
        <v>54</v>
      </c>
      <c r="J256" s="7" t="s">
        <v>55</v>
      </c>
      <c r="K256" s="1">
        <v>801116</v>
      </c>
      <c r="L256" s="7" t="s">
        <v>492</v>
      </c>
      <c r="M256" s="7" t="s">
        <v>493</v>
      </c>
      <c r="N256" s="7" t="s">
        <v>494</v>
      </c>
      <c r="O256" s="7" t="s">
        <v>504</v>
      </c>
      <c r="P256" s="23" t="s">
        <v>613</v>
      </c>
      <c r="Q256" s="62">
        <f t="shared" si="15"/>
        <v>618000</v>
      </c>
      <c r="R256" s="24">
        <v>1</v>
      </c>
      <c r="S256" s="63">
        <v>7107000</v>
      </c>
      <c r="T256" s="11" t="s">
        <v>528</v>
      </c>
      <c r="U256" s="26" t="s">
        <v>58</v>
      </c>
      <c r="V256" s="26" t="s">
        <v>516</v>
      </c>
      <c r="W256" s="33">
        <v>11.5</v>
      </c>
      <c r="X256" s="14">
        <v>2</v>
      </c>
      <c r="Y256" s="27">
        <v>43102</v>
      </c>
      <c r="Z256" s="34">
        <v>7107000</v>
      </c>
      <c r="AA256" s="17"/>
      <c r="AB256" s="17">
        <v>3</v>
      </c>
      <c r="AC256" s="30">
        <v>43102</v>
      </c>
      <c r="AD256" s="19">
        <v>7107000</v>
      </c>
      <c r="AE256" s="19">
        <f t="shared" si="10"/>
        <v>0</v>
      </c>
      <c r="AF256" s="14">
        <v>152</v>
      </c>
      <c r="AG256" s="31">
        <v>43117</v>
      </c>
      <c r="AH256" s="19">
        <v>7107000</v>
      </c>
      <c r="AI256" s="1" t="s">
        <v>614</v>
      </c>
      <c r="AJ256" s="1">
        <v>155</v>
      </c>
      <c r="AK256" s="19">
        <f t="shared" si="11"/>
        <v>0</v>
      </c>
      <c r="AL256" s="19">
        <v>3357800.6999999997</v>
      </c>
      <c r="AM256" s="19">
        <f t="shared" si="12"/>
        <v>3749199.3000000003</v>
      </c>
      <c r="AN256" s="14"/>
      <c r="AO256" s="21">
        <f t="shared" si="13"/>
        <v>0</v>
      </c>
      <c r="AP256" s="14"/>
      <c r="AQ256" s="30">
        <v>43102</v>
      </c>
      <c r="AR256" s="14" t="s">
        <v>520</v>
      </c>
      <c r="AS256" s="30">
        <v>43102</v>
      </c>
      <c r="AT256" s="14" t="s">
        <v>521</v>
      </c>
      <c r="AU256" s="211"/>
    </row>
    <row r="257" spans="1:47" ht="331.5" x14ac:dyDescent="0.2">
      <c r="A257" s="1">
        <f t="shared" si="16"/>
        <v>114</v>
      </c>
      <c r="B257" s="2" t="str">
        <f t="shared" si="14"/>
        <v>208-114</v>
      </c>
      <c r="C257" s="3" t="s">
        <v>484</v>
      </c>
      <c r="D257" s="4" t="s">
        <v>485</v>
      </c>
      <c r="E257" s="22" t="s">
        <v>499</v>
      </c>
      <c r="F257" s="7" t="s">
        <v>511</v>
      </c>
      <c r="G257" s="22" t="s">
        <v>512</v>
      </c>
      <c r="H257" s="7" t="s">
        <v>513</v>
      </c>
      <c r="I257" s="7" t="s">
        <v>54</v>
      </c>
      <c r="J257" s="7" t="s">
        <v>55</v>
      </c>
      <c r="K257" s="1">
        <v>801116</v>
      </c>
      <c r="L257" s="7" t="s">
        <v>492</v>
      </c>
      <c r="M257" s="7" t="s">
        <v>493</v>
      </c>
      <c r="N257" s="7" t="s">
        <v>494</v>
      </c>
      <c r="O257" s="7" t="s">
        <v>504</v>
      </c>
      <c r="P257" s="23" t="s">
        <v>613</v>
      </c>
      <c r="Q257" s="62">
        <f t="shared" si="15"/>
        <v>1442000</v>
      </c>
      <c r="R257" s="24">
        <v>1</v>
      </c>
      <c r="S257" s="63">
        <v>16583000</v>
      </c>
      <c r="T257" s="11" t="s">
        <v>528</v>
      </c>
      <c r="U257" s="26" t="s">
        <v>58</v>
      </c>
      <c r="V257" s="26" t="s">
        <v>516</v>
      </c>
      <c r="W257" s="33">
        <v>11.5</v>
      </c>
      <c r="X257" s="14">
        <v>1</v>
      </c>
      <c r="Y257" s="27">
        <v>43102</v>
      </c>
      <c r="Z257" s="34">
        <v>16583000</v>
      </c>
      <c r="AA257" s="17"/>
      <c r="AB257" s="17">
        <v>3</v>
      </c>
      <c r="AC257" s="30">
        <v>43102</v>
      </c>
      <c r="AD257" s="19">
        <v>16583000</v>
      </c>
      <c r="AE257" s="19">
        <f t="shared" si="10"/>
        <v>0</v>
      </c>
      <c r="AF257" s="14">
        <v>152</v>
      </c>
      <c r="AG257" s="31">
        <v>43117</v>
      </c>
      <c r="AH257" s="19">
        <v>16583000</v>
      </c>
      <c r="AI257" s="1" t="s">
        <v>614</v>
      </c>
      <c r="AJ257" s="1">
        <v>155</v>
      </c>
      <c r="AK257" s="19">
        <f t="shared" si="11"/>
        <v>0</v>
      </c>
      <c r="AL257" s="19">
        <v>7834868.2999999998</v>
      </c>
      <c r="AM257" s="19">
        <f t="shared" si="12"/>
        <v>8748131.6999999993</v>
      </c>
      <c r="AN257" s="14"/>
      <c r="AO257" s="21">
        <f t="shared" si="13"/>
        <v>0</v>
      </c>
      <c r="AP257" s="14"/>
      <c r="AQ257" s="30">
        <v>43102</v>
      </c>
      <c r="AR257" s="14" t="s">
        <v>520</v>
      </c>
      <c r="AS257" s="30">
        <v>43102</v>
      </c>
      <c r="AT257" s="14" t="s">
        <v>521</v>
      </c>
      <c r="AU257" s="211"/>
    </row>
    <row r="258" spans="1:47" ht="344.25" x14ac:dyDescent="0.2">
      <c r="A258" s="1">
        <f t="shared" si="16"/>
        <v>115</v>
      </c>
      <c r="B258" s="2" t="str">
        <f t="shared" si="14"/>
        <v>208-115</v>
      </c>
      <c r="C258" s="3" t="s">
        <v>484</v>
      </c>
      <c r="D258" s="4" t="s">
        <v>485</v>
      </c>
      <c r="E258" s="5" t="s">
        <v>486</v>
      </c>
      <c r="F258" s="7" t="s">
        <v>511</v>
      </c>
      <c r="G258" s="22" t="s">
        <v>512</v>
      </c>
      <c r="H258" s="7" t="s">
        <v>513</v>
      </c>
      <c r="I258" s="7" t="s">
        <v>54</v>
      </c>
      <c r="J258" s="7" t="s">
        <v>55</v>
      </c>
      <c r="K258" s="1">
        <v>801116</v>
      </c>
      <c r="L258" s="7" t="s">
        <v>492</v>
      </c>
      <c r="M258" s="7" t="s">
        <v>493</v>
      </c>
      <c r="N258" s="7" t="s">
        <v>494</v>
      </c>
      <c r="O258" s="7" t="s">
        <v>504</v>
      </c>
      <c r="P258" s="23" t="s">
        <v>615</v>
      </c>
      <c r="Q258" s="62">
        <f t="shared" si="15"/>
        <v>78571926</v>
      </c>
      <c r="R258" s="24">
        <v>1</v>
      </c>
      <c r="S258" s="62">
        <v>78571926</v>
      </c>
      <c r="T258" s="11" t="s">
        <v>528</v>
      </c>
      <c r="U258" s="26" t="s">
        <v>58</v>
      </c>
      <c r="V258" s="26" t="s">
        <v>616</v>
      </c>
      <c r="W258" s="33">
        <v>1</v>
      </c>
      <c r="X258" s="14"/>
      <c r="Y258" s="15"/>
      <c r="Z258" s="16"/>
      <c r="AA258" s="17"/>
      <c r="AB258" s="17"/>
      <c r="AC258" s="18"/>
      <c r="AD258" s="19"/>
      <c r="AE258" s="19">
        <f t="shared" si="10"/>
        <v>78571926</v>
      </c>
      <c r="AF258" s="14"/>
      <c r="AG258" s="20"/>
      <c r="AH258" s="19"/>
      <c r="AI258" s="1"/>
      <c r="AJ258" s="1"/>
      <c r="AK258" s="19">
        <f t="shared" si="11"/>
        <v>0</v>
      </c>
      <c r="AL258" s="19"/>
      <c r="AM258" s="19">
        <f t="shared" si="12"/>
        <v>0</v>
      </c>
      <c r="AN258" s="14"/>
      <c r="AO258" s="21">
        <f t="shared" si="13"/>
        <v>78571926</v>
      </c>
      <c r="AP258" s="14"/>
      <c r="AQ258" s="14"/>
      <c r="AR258" s="14"/>
      <c r="AS258" s="14"/>
      <c r="AT258" s="14"/>
      <c r="AU258" s="211"/>
    </row>
    <row r="259" spans="1:47" ht="331.5" x14ac:dyDescent="0.2">
      <c r="A259" s="1">
        <f t="shared" si="16"/>
        <v>116</v>
      </c>
      <c r="B259" s="2" t="str">
        <f t="shared" si="14"/>
        <v>208-116</v>
      </c>
      <c r="C259" s="3" t="s">
        <v>484</v>
      </c>
      <c r="D259" s="4" t="s">
        <v>485</v>
      </c>
      <c r="E259" s="22" t="s">
        <v>499</v>
      </c>
      <c r="F259" s="7" t="s">
        <v>511</v>
      </c>
      <c r="G259" s="22" t="s">
        <v>512</v>
      </c>
      <c r="H259" s="7" t="s">
        <v>513</v>
      </c>
      <c r="I259" s="7" t="s">
        <v>54</v>
      </c>
      <c r="J259" s="7" t="s">
        <v>55</v>
      </c>
      <c r="K259" s="1">
        <v>801116</v>
      </c>
      <c r="L259" s="7" t="s">
        <v>492</v>
      </c>
      <c r="M259" s="7" t="s">
        <v>493</v>
      </c>
      <c r="N259" s="7" t="s">
        <v>494</v>
      </c>
      <c r="O259" s="7" t="s">
        <v>504</v>
      </c>
      <c r="P259" s="23" t="s">
        <v>615</v>
      </c>
      <c r="Q259" s="62">
        <f t="shared" si="15"/>
        <v>183336241</v>
      </c>
      <c r="R259" s="24">
        <v>1</v>
      </c>
      <c r="S259" s="62">
        <f>183337991-1750</f>
        <v>183336241</v>
      </c>
      <c r="T259" s="11" t="s">
        <v>528</v>
      </c>
      <c r="U259" s="26" t="s">
        <v>58</v>
      </c>
      <c r="V259" s="26" t="s">
        <v>616</v>
      </c>
      <c r="W259" s="33">
        <v>1</v>
      </c>
      <c r="X259" s="14"/>
      <c r="Y259" s="15"/>
      <c r="Z259" s="63"/>
      <c r="AA259" s="17"/>
      <c r="AB259" s="17"/>
      <c r="AC259" s="18"/>
      <c r="AD259" s="19"/>
      <c r="AE259" s="19">
        <f t="shared" si="10"/>
        <v>183336241</v>
      </c>
      <c r="AF259" s="14"/>
      <c r="AG259" s="20"/>
      <c r="AH259" s="19"/>
      <c r="AI259" s="1"/>
      <c r="AJ259" s="1"/>
      <c r="AK259" s="19">
        <f t="shared" si="11"/>
        <v>0</v>
      </c>
      <c r="AL259" s="19"/>
      <c r="AM259" s="19">
        <f t="shared" si="12"/>
        <v>0</v>
      </c>
      <c r="AN259" s="14"/>
      <c r="AO259" s="21">
        <f t="shared" si="13"/>
        <v>183336241</v>
      </c>
      <c r="AP259" s="14"/>
      <c r="AQ259" s="14"/>
      <c r="AR259" s="14"/>
      <c r="AS259" s="14"/>
      <c r="AT259" s="14"/>
      <c r="AU259" s="211"/>
    </row>
    <row r="260" spans="1:47" ht="395.25" x14ac:dyDescent="0.2">
      <c r="A260" s="1">
        <f t="shared" si="16"/>
        <v>117</v>
      </c>
      <c r="B260" s="2" t="str">
        <f t="shared" si="14"/>
        <v>208-117</v>
      </c>
      <c r="C260" s="3" t="s">
        <v>484</v>
      </c>
      <c r="D260" s="4" t="s">
        <v>485</v>
      </c>
      <c r="E260" s="5" t="s">
        <v>486</v>
      </c>
      <c r="F260" s="7" t="s">
        <v>511</v>
      </c>
      <c r="G260" s="22" t="s">
        <v>512</v>
      </c>
      <c r="H260" s="7" t="s">
        <v>513</v>
      </c>
      <c r="I260" s="7" t="s">
        <v>54</v>
      </c>
      <c r="J260" s="7" t="s">
        <v>55</v>
      </c>
      <c r="K260" s="1">
        <v>801116</v>
      </c>
      <c r="L260" s="7" t="s">
        <v>492</v>
      </c>
      <c r="M260" s="7" t="s">
        <v>493</v>
      </c>
      <c r="N260" s="7" t="s">
        <v>494</v>
      </c>
      <c r="O260" s="7" t="s">
        <v>504</v>
      </c>
      <c r="P260" s="23" t="s">
        <v>562</v>
      </c>
      <c r="Q260" s="62">
        <f t="shared" si="15"/>
        <v>0</v>
      </c>
      <c r="R260" s="24">
        <v>1</v>
      </c>
      <c r="S260" s="63">
        <f>11216700-11216700</f>
        <v>0</v>
      </c>
      <c r="T260" s="11" t="s">
        <v>528</v>
      </c>
      <c r="U260" s="26" t="s">
        <v>58</v>
      </c>
      <c r="V260" s="26" t="s">
        <v>516</v>
      </c>
      <c r="W260" s="33">
        <v>11.5</v>
      </c>
      <c r="X260" s="14" t="s">
        <v>617</v>
      </c>
      <c r="Y260" s="27"/>
      <c r="Z260" s="34"/>
      <c r="AA260" s="17"/>
      <c r="AB260" s="17"/>
      <c r="AC260" s="18"/>
      <c r="AD260" s="19"/>
      <c r="AE260" s="19">
        <f t="shared" si="10"/>
        <v>0</v>
      </c>
      <c r="AF260" s="14"/>
      <c r="AG260" s="20"/>
      <c r="AH260" s="19"/>
      <c r="AI260" s="1"/>
      <c r="AJ260" s="1"/>
      <c r="AK260" s="19">
        <f t="shared" si="11"/>
        <v>0</v>
      </c>
      <c r="AL260" s="19"/>
      <c r="AM260" s="19">
        <f t="shared" si="12"/>
        <v>0</v>
      </c>
      <c r="AN260" s="14"/>
      <c r="AO260" s="21">
        <f t="shared" si="13"/>
        <v>0</v>
      </c>
      <c r="AP260" s="14"/>
      <c r="AQ260" s="30">
        <v>43118</v>
      </c>
      <c r="AR260" s="14" t="s">
        <v>520</v>
      </c>
      <c r="AS260" s="30">
        <v>43118</v>
      </c>
      <c r="AT260" s="14" t="s">
        <v>521</v>
      </c>
      <c r="AU260" s="211"/>
    </row>
    <row r="261" spans="1:47" ht="395.25" x14ac:dyDescent="0.2">
      <c r="A261" s="1">
        <f t="shared" si="16"/>
        <v>118</v>
      </c>
      <c r="B261" s="2" t="str">
        <f t="shared" si="14"/>
        <v>208-118</v>
      </c>
      <c r="C261" s="3" t="s">
        <v>484</v>
      </c>
      <c r="D261" s="4" t="s">
        <v>485</v>
      </c>
      <c r="E261" s="22" t="s">
        <v>499</v>
      </c>
      <c r="F261" s="7" t="s">
        <v>511</v>
      </c>
      <c r="G261" s="22" t="s">
        <v>512</v>
      </c>
      <c r="H261" s="7" t="s">
        <v>513</v>
      </c>
      <c r="I261" s="7" t="s">
        <v>54</v>
      </c>
      <c r="J261" s="7" t="s">
        <v>55</v>
      </c>
      <c r="K261" s="1">
        <v>801116</v>
      </c>
      <c r="L261" s="7" t="s">
        <v>492</v>
      </c>
      <c r="M261" s="7" t="s">
        <v>493</v>
      </c>
      <c r="N261" s="7" t="s">
        <v>494</v>
      </c>
      <c r="O261" s="7" t="s">
        <v>504</v>
      </c>
      <c r="P261" s="9" t="s">
        <v>562</v>
      </c>
      <c r="Q261" s="62">
        <f t="shared" si="15"/>
        <v>0</v>
      </c>
      <c r="R261" s="10">
        <v>1</v>
      </c>
      <c r="S261" s="64">
        <f>26172300-26172300</f>
        <v>0</v>
      </c>
      <c r="T261" s="37" t="s">
        <v>528</v>
      </c>
      <c r="U261" s="12" t="s">
        <v>58</v>
      </c>
      <c r="V261" s="26" t="s">
        <v>516</v>
      </c>
      <c r="W261" s="38">
        <v>11.5</v>
      </c>
      <c r="X261" s="39" t="s">
        <v>618</v>
      </c>
      <c r="Y261" s="40"/>
      <c r="Z261" s="41"/>
      <c r="AA261" s="42"/>
      <c r="AB261" s="42"/>
      <c r="AC261" s="43"/>
      <c r="AD261" s="44"/>
      <c r="AE261" s="19">
        <f t="shared" si="10"/>
        <v>0</v>
      </c>
      <c r="AF261" s="39"/>
      <c r="AG261" s="45"/>
      <c r="AH261" s="44"/>
      <c r="AI261" s="46"/>
      <c r="AJ261" s="46"/>
      <c r="AK261" s="19">
        <f t="shared" si="11"/>
        <v>0</v>
      </c>
      <c r="AL261" s="44"/>
      <c r="AM261" s="44">
        <f t="shared" si="12"/>
        <v>0</v>
      </c>
      <c r="AN261" s="39"/>
      <c r="AO261" s="47">
        <f t="shared" si="13"/>
        <v>0</v>
      </c>
      <c r="AP261" s="39"/>
      <c r="AQ261" s="213">
        <v>43118</v>
      </c>
      <c r="AR261" s="39" t="s">
        <v>520</v>
      </c>
      <c r="AS261" s="213">
        <v>43118</v>
      </c>
      <c r="AT261" s="39" t="s">
        <v>521</v>
      </c>
      <c r="AU261" s="211"/>
    </row>
    <row r="262" spans="1:47" ht="408" x14ac:dyDescent="0.2">
      <c r="A262" s="1">
        <f t="shared" si="16"/>
        <v>119</v>
      </c>
      <c r="B262" s="2" t="str">
        <f t="shared" si="14"/>
        <v>208-119</v>
      </c>
      <c r="C262" s="3" t="s">
        <v>484</v>
      </c>
      <c r="D262" s="4" t="s">
        <v>485</v>
      </c>
      <c r="E262" s="22" t="s">
        <v>499</v>
      </c>
      <c r="F262" s="6" t="s">
        <v>487</v>
      </c>
      <c r="G262" s="5" t="s">
        <v>488</v>
      </c>
      <c r="H262" s="6" t="s">
        <v>489</v>
      </c>
      <c r="I262" s="14" t="s">
        <v>490</v>
      </c>
      <c r="J262" s="7" t="s">
        <v>491</v>
      </c>
      <c r="K262" s="8"/>
      <c r="L262" s="7" t="s">
        <v>492</v>
      </c>
      <c r="M262" s="7" t="s">
        <v>493</v>
      </c>
      <c r="N262" s="7" t="s">
        <v>494</v>
      </c>
      <c r="O262" s="7" t="s">
        <v>495</v>
      </c>
      <c r="P262" s="8" t="s">
        <v>619</v>
      </c>
      <c r="Q262" s="62">
        <v>19967239</v>
      </c>
      <c r="R262" s="8">
        <v>1</v>
      </c>
      <c r="S262" s="63">
        <v>19967239</v>
      </c>
      <c r="T262" s="8"/>
      <c r="U262" s="1" t="s">
        <v>272</v>
      </c>
      <c r="V262" s="214" t="s">
        <v>620</v>
      </c>
      <c r="W262" s="8"/>
      <c r="X262" s="1">
        <v>119</v>
      </c>
      <c r="Y262" s="30">
        <v>43137</v>
      </c>
      <c r="Z262" s="17">
        <v>19967239</v>
      </c>
      <c r="AA262" s="17" t="s">
        <v>621</v>
      </c>
      <c r="AB262" s="14">
        <v>632</v>
      </c>
      <c r="AC262" s="30">
        <v>43137</v>
      </c>
      <c r="AD262" s="19">
        <v>19967239</v>
      </c>
      <c r="AE262" s="19">
        <f t="shared" si="10"/>
        <v>0</v>
      </c>
      <c r="AF262" s="1">
        <v>1281</v>
      </c>
      <c r="AG262" s="31">
        <v>43144</v>
      </c>
      <c r="AH262" s="19">
        <v>19967239</v>
      </c>
      <c r="AI262" s="1" t="s">
        <v>622</v>
      </c>
      <c r="AJ262" s="14">
        <v>597</v>
      </c>
      <c r="AK262" s="19">
        <f t="shared" si="11"/>
        <v>0</v>
      </c>
      <c r="AL262" s="19"/>
      <c r="AM262" s="19">
        <f t="shared" si="12"/>
        <v>19967239</v>
      </c>
      <c r="AN262" s="14"/>
      <c r="AO262" s="14">
        <f t="shared" si="13"/>
        <v>0</v>
      </c>
      <c r="AP262" s="14"/>
      <c r="AQ262" s="14"/>
      <c r="AR262" s="14"/>
      <c r="AS262" s="14"/>
      <c r="AT262" s="14"/>
      <c r="AU262" s="211"/>
    </row>
    <row r="263" spans="1:47" ht="331.5" x14ac:dyDescent="0.2">
      <c r="A263" s="1">
        <f>A298+1</f>
        <v>7</v>
      </c>
      <c r="B263" s="2" t="str">
        <f t="shared" si="14"/>
        <v>208-7</v>
      </c>
      <c r="C263" s="3" t="s">
        <v>484</v>
      </c>
      <c r="D263" s="4" t="s">
        <v>485</v>
      </c>
      <c r="E263" s="22" t="s">
        <v>499</v>
      </c>
      <c r="F263" s="6" t="s">
        <v>487</v>
      </c>
      <c r="G263" s="5" t="s">
        <v>488</v>
      </c>
      <c r="H263" s="6" t="s">
        <v>489</v>
      </c>
      <c r="I263" s="7" t="s">
        <v>54</v>
      </c>
      <c r="J263" s="7" t="s">
        <v>55</v>
      </c>
      <c r="K263" s="8"/>
      <c r="L263" s="7"/>
      <c r="M263" s="7"/>
      <c r="N263" s="7"/>
      <c r="O263" s="7"/>
      <c r="P263" s="9" t="s">
        <v>623</v>
      </c>
      <c r="Q263" s="62">
        <f t="shared" ref="Q263" si="17">(S263/W263)/R263</f>
        <v>646972888</v>
      </c>
      <c r="R263" s="24">
        <v>1</v>
      </c>
      <c r="S263" s="63">
        <f>1248396593-601423705</f>
        <v>646972888</v>
      </c>
      <c r="T263" s="11"/>
      <c r="U263" s="2" t="s">
        <v>497</v>
      </c>
      <c r="V263" s="12" t="s">
        <v>620</v>
      </c>
      <c r="W263" s="25">
        <v>1</v>
      </c>
      <c r="X263" s="14" t="s">
        <v>624</v>
      </c>
      <c r="Y263" s="27">
        <v>43154</v>
      </c>
      <c r="Z263" s="63">
        <v>1248396593</v>
      </c>
      <c r="AA263" s="17"/>
      <c r="AB263" s="17"/>
      <c r="AC263" s="30"/>
      <c r="AD263" s="63"/>
      <c r="AE263" s="19"/>
      <c r="AF263" s="14"/>
      <c r="AG263" s="20"/>
      <c r="AH263" s="19"/>
      <c r="AI263" s="1"/>
      <c r="AJ263" s="1"/>
      <c r="AK263" s="19">
        <f t="shared" si="11"/>
        <v>0</v>
      </c>
      <c r="AL263" s="19"/>
      <c r="AM263" s="19">
        <f t="shared" si="12"/>
        <v>0</v>
      </c>
      <c r="AN263" s="14"/>
      <c r="AO263" s="21">
        <f t="shared" si="13"/>
        <v>646972888</v>
      </c>
      <c r="AP263" s="14"/>
      <c r="AQ263" s="14"/>
      <c r="AR263" s="14"/>
      <c r="AS263" s="14"/>
      <c r="AT263" s="14"/>
      <c r="AU263" s="211"/>
    </row>
    <row r="264" spans="1:47" ht="344.25" x14ac:dyDescent="0.2">
      <c r="A264" s="1">
        <v>122</v>
      </c>
      <c r="B264" s="2" t="str">
        <f>+CONCATENATE("208-",A264)</f>
        <v>208-122</v>
      </c>
      <c r="C264" s="3" t="s">
        <v>484</v>
      </c>
      <c r="D264" s="4" t="s">
        <v>485</v>
      </c>
      <c r="E264" s="5" t="s">
        <v>486</v>
      </c>
      <c r="F264" s="6" t="s">
        <v>487</v>
      </c>
      <c r="G264" s="5" t="s">
        <v>488</v>
      </c>
      <c r="H264" s="6" t="s">
        <v>489</v>
      </c>
      <c r="I264" s="7" t="s">
        <v>54</v>
      </c>
      <c r="J264" s="7" t="s">
        <v>55</v>
      </c>
      <c r="K264" s="8"/>
      <c r="L264" s="7" t="s">
        <v>492</v>
      </c>
      <c r="M264" s="7" t="s">
        <v>493</v>
      </c>
      <c r="N264" s="7" t="s">
        <v>494</v>
      </c>
      <c r="O264" s="7" t="s">
        <v>495</v>
      </c>
      <c r="P264" s="9" t="s">
        <v>496</v>
      </c>
      <c r="Q264" s="62">
        <f>(S264/W264)/R264</f>
        <v>0</v>
      </c>
      <c r="R264" s="10">
        <v>1</v>
      </c>
      <c r="S264" s="63">
        <f>646972888-646972888</f>
        <v>0</v>
      </c>
      <c r="T264" s="11" t="s">
        <v>625</v>
      </c>
      <c r="U264" s="2" t="s">
        <v>497</v>
      </c>
      <c r="V264" s="12" t="s">
        <v>498</v>
      </c>
      <c r="W264" s="13">
        <v>7</v>
      </c>
      <c r="X264" s="14"/>
      <c r="Y264" s="15"/>
      <c r="Z264" s="16"/>
      <c r="AA264" s="17"/>
      <c r="AB264" s="17"/>
      <c r="AC264" s="18"/>
      <c r="AD264" s="19"/>
      <c r="AE264" s="19">
        <f t="shared" ref="AE264:AE292" si="18">S264-AD264</f>
        <v>0</v>
      </c>
      <c r="AF264" s="14"/>
      <c r="AG264" s="20"/>
      <c r="AH264" s="19"/>
      <c r="AI264" s="1"/>
      <c r="AJ264" s="1"/>
      <c r="AK264" s="19">
        <f t="shared" si="11"/>
        <v>0</v>
      </c>
      <c r="AL264" s="19"/>
      <c r="AM264" s="19">
        <f t="shared" si="12"/>
        <v>0</v>
      </c>
      <c r="AN264" s="14"/>
      <c r="AO264" s="21">
        <f t="shared" si="13"/>
        <v>0</v>
      </c>
      <c r="AP264" s="14"/>
      <c r="AQ264" s="14"/>
      <c r="AR264" s="14"/>
      <c r="AS264" s="14"/>
      <c r="AT264" s="14"/>
      <c r="AU264" s="211"/>
    </row>
    <row r="265" spans="1:47" ht="331.5" x14ac:dyDescent="0.2">
      <c r="A265" s="1">
        <f t="shared" ref="A265:A292" si="19">A264+1</f>
        <v>123</v>
      </c>
      <c r="B265" s="2" t="str">
        <f t="shared" ref="B265:B292" si="20">+CONCATENATE("208-",A265)</f>
        <v>208-123</v>
      </c>
      <c r="C265" s="3" t="s">
        <v>484</v>
      </c>
      <c r="D265" s="4" t="s">
        <v>485</v>
      </c>
      <c r="E265" s="22" t="s">
        <v>499</v>
      </c>
      <c r="F265" s="6" t="s">
        <v>487</v>
      </c>
      <c r="G265" s="5" t="s">
        <v>488</v>
      </c>
      <c r="H265" s="6" t="s">
        <v>489</v>
      </c>
      <c r="I265" s="7" t="s">
        <v>54</v>
      </c>
      <c r="J265" s="7" t="s">
        <v>55</v>
      </c>
      <c r="K265" s="8"/>
      <c r="L265" s="7" t="s">
        <v>492</v>
      </c>
      <c r="M265" s="7" t="s">
        <v>493</v>
      </c>
      <c r="N265" s="7" t="s">
        <v>494</v>
      </c>
      <c r="O265" s="7" t="s">
        <v>495</v>
      </c>
      <c r="P265" s="23" t="s">
        <v>500</v>
      </c>
      <c r="Q265" s="62">
        <f t="shared" ref="Q265:Q292" si="21">(S265/W265)/R265</f>
        <v>83710616</v>
      </c>
      <c r="R265" s="24">
        <v>1</v>
      </c>
      <c r="S265" s="63">
        <f>1509603406+1-424054477-497074618-2500000</f>
        <v>585974312</v>
      </c>
      <c r="T265" s="11" t="s">
        <v>626</v>
      </c>
      <c r="U265" s="2" t="s">
        <v>497</v>
      </c>
      <c r="V265" s="12" t="s">
        <v>498</v>
      </c>
      <c r="W265" s="25">
        <v>7</v>
      </c>
      <c r="X265" s="14"/>
      <c r="Y265" s="15"/>
      <c r="Z265" s="16"/>
      <c r="AA265" s="17"/>
      <c r="AB265" s="17"/>
      <c r="AC265" s="18"/>
      <c r="AD265" s="19"/>
      <c r="AE265" s="19">
        <f t="shared" si="18"/>
        <v>585974312</v>
      </c>
      <c r="AF265" s="14"/>
      <c r="AG265" s="20"/>
      <c r="AH265" s="19"/>
      <c r="AI265" s="1"/>
      <c r="AJ265" s="1"/>
      <c r="AK265" s="19">
        <f t="shared" si="11"/>
        <v>0</v>
      </c>
      <c r="AL265" s="19"/>
      <c r="AM265" s="19">
        <f t="shared" si="12"/>
        <v>0</v>
      </c>
      <c r="AN265" s="14"/>
      <c r="AO265" s="21">
        <f t="shared" si="13"/>
        <v>585974312</v>
      </c>
      <c r="AP265" s="14"/>
      <c r="AQ265" s="14"/>
      <c r="AR265" s="14"/>
      <c r="AS265" s="14"/>
      <c r="AT265" s="14"/>
      <c r="AU265" s="211"/>
    </row>
    <row r="266" spans="1:47" ht="409.5" x14ac:dyDescent="0.2">
      <c r="A266" s="1">
        <f t="shared" si="19"/>
        <v>124</v>
      </c>
      <c r="B266" s="2" t="str">
        <f t="shared" si="20"/>
        <v>208-124</v>
      </c>
      <c r="C266" s="3" t="s">
        <v>484</v>
      </c>
      <c r="D266" s="4" t="s">
        <v>485</v>
      </c>
      <c r="E266" s="22" t="s">
        <v>499</v>
      </c>
      <c r="F266" s="6" t="s">
        <v>487</v>
      </c>
      <c r="G266" s="5" t="s">
        <v>488</v>
      </c>
      <c r="H266" s="6" t="s">
        <v>489</v>
      </c>
      <c r="I266" s="14" t="s">
        <v>490</v>
      </c>
      <c r="J266" s="7" t="s">
        <v>491</v>
      </c>
      <c r="K266" s="8"/>
      <c r="L266" s="7" t="s">
        <v>492</v>
      </c>
      <c r="M266" s="7" t="s">
        <v>493</v>
      </c>
      <c r="N266" s="7" t="s">
        <v>494</v>
      </c>
      <c r="O266" s="7" t="s">
        <v>495</v>
      </c>
      <c r="P266" s="23" t="s">
        <v>627</v>
      </c>
      <c r="Q266" s="62">
        <f t="shared" si="21"/>
        <v>165798315.5</v>
      </c>
      <c r="R266" s="24">
        <v>1</v>
      </c>
      <c r="S266" s="63">
        <v>331596631</v>
      </c>
      <c r="T266" s="11"/>
      <c r="U266" s="2" t="s">
        <v>272</v>
      </c>
      <c r="V266" s="12" t="s">
        <v>498</v>
      </c>
      <c r="W266" s="25">
        <v>2</v>
      </c>
      <c r="X266" s="14">
        <v>122</v>
      </c>
      <c r="Y266" s="31">
        <v>43165</v>
      </c>
      <c r="Z266" s="19">
        <v>331596631</v>
      </c>
      <c r="AA266" s="17"/>
      <c r="AB266" s="17">
        <v>698</v>
      </c>
      <c r="AC266" s="30">
        <v>43165</v>
      </c>
      <c r="AD266" s="19">
        <v>331596631</v>
      </c>
      <c r="AE266" s="19">
        <f t="shared" si="18"/>
        <v>0</v>
      </c>
      <c r="AF266" s="14">
        <v>1547</v>
      </c>
      <c r="AG266" s="31">
        <v>43168</v>
      </c>
      <c r="AH266" s="19">
        <v>331596631</v>
      </c>
      <c r="AI266" s="1" t="s">
        <v>628</v>
      </c>
      <c r="AJ266" s="1">
        <v>584</v>
      </c>
      <c r="AK266" s="19">
        <f t="shared" si="11"/>
        <v>0</v>
      </c>
      <c r="AL266" s="19">
        <v>303409338</v>
      </c>
      <c r="AM266" s="19">
        <f t="shared" si="12"/>
        <v>28187293</v>
      </c>
      <c r="AN266" s="14"/>
      <c r="AO266" s="21">
        <f t="shared" si="13"/>
        <v>0</v>
      </c>
      <c r="AP266" s="14"/>
      <c r="AQ266" s="14"/>
      <c r="AR266" s="14"/>
      <c r="AS266" s="14"/>
      <c r="AT266" s="14"/>
      <c r="AU266" s="211"/>
    </row>
    <row r="267" spans="1:47" ht="409.5" x14ac:dyDescent="0.2">
      <c r="A267" s="1">
        <f t="shared" si="19"/>
        <v>125</v>
      </c>
      <c r="B267" s="2" t="str">
        <f t="shared" si="20"/>
        <v>208-125</v>
      </c>
      <c r="C267" s="3" t="s">
        <v>484</v>
      </c>
      <c r="D267" s="4" t="s">
        <v>485</v>
      </c>
      <c r="E267" s="22" t="s">
        <v>499</v>
      </c>
      <c r="F267" s="6" t="s">
        <v>487</v>
      </c>
      <c r="G267" s="5" t="s">
        <v>488</v>
      </c>
      <c r="H267" s="6" t="s">
        <v>489</v>
      </c>
      <c r="I267" s="14" t="s">
        <v>490</v>
      </c>
      <c r="J267" s="7" t="s">
        <v>491</v>
      </c>
      <c r="K267" s="8"/>
      <c r="L267" s="7" t="s">
        <v>492</v>
      </c>
      <c r="M267" s="7" t="s">
        <v>493</v>
      </c>
      <c r="N267" s="7" t="s">
        <v>494</v>
      </c>
      <c r="O267" s="7" t="s">
        <v>495</v>
      </c>
      <c r="P267" s="23" t="s">
        <v>629</v>
      </c>
      <c r="Q267" s="62">
        <f t="shared" si="21"/>
        <v>45376410</v>
      </c>
      <c r="R267" s="24">
        <v>1</v>
      </c>
      <c r="S267" s="63">
        <v>90752820</v>
      </c>
      <c r="T267" s="11"/>
      <c r="U267" s="2" t="s">
        <v>272</v>
      </c>
      <c r="V267" s="12" t="s">
        <v>498</v>
      </c>
      <c r="W267" s="25">
        <v>2</v>
      </c>
      <c r="X267" s="14">
        <v>123</v>
      </c>
      <c r="Y267" s="31">
        <v>43165</v>
      </c>
      <c r="Z267" s="19">
        <v>90752820</v>
      </c>
      <c r="AA267" s="17"/>
      <c r="AB267" s="17">
        <v>699</v>
      </c>
      <c r="AC267" s="30">
        <v>43165</v>
      </c>
      <c r="AD267" s="19">
        <v>90752820</v>
      </c>
      <c r="AE267" s="19">
        <f t="shared" si="18"/>
        <v>0</v>
      </c>
      <c r="AF267" s="14">
        <v>1546</v>
      </c>
      <c r="AG267" s="31">
        <v>43168</v>
      </c>
      <c r="AH267" s="19">
        <v>90752820</v>
      </c>
      <c r="AI267" s="1" t="s">
        <v>630</v>
      </c>
      <c r="AJ267" s="1">
        <v>593</v>
      </c>
      <c r="AK267" s="19">
        <f t="shared" si="11"/>
        <v>0</v>
      </c>
      <c r="AL267" s="19">
        <v>83542479</v>
      </c>
      <c r="AM267" s="19">
        <f t="shared" si="12"/>
        <v>7210341</v>
      </c>
      <c r="AN267" s="14"/>
      <c r="AO267" s="21">
        <f t="shared" si="13"/>
        <v>0</v>
      </c>
      <c r="AP267" s="14"/>
      <c r="AQ267" s="14"/>
      <c r="AR267" s="14"/>
      <c r="AS267" s="14"/>
      <c r="AT267" s="14"/>
      <c r="AU267" s="211"/>
    </row>
    <row r="268" spans="1:47" ht="331.5" x14ac:dyDescent="0.2">
      <c r="A268" s="1">
        <f t="shared" si="19"/>
        <v>126</v>
      </c>
      <c r="B268" s="2" t="str">
        <f t="shared" si="20"/>
        <v>208-126</v>
      </c>
      <c r="C268" s="3" t="s">
        <v>484</v>
      </c>
      <c r="D268" s="4" t="s">
        <v>485</v>
      </c>
      <c r="E268" s="22" t="s">
        <v>499</v>
      </c>
      <c r="F268" s="6" t="s">
        <v>487</v>
      </c>
      <c r="G268" s="5" t="s">
        <v>488</v>
      </c>
      <c r="H268" s="6" t="s">
        <v>489</v>
      </c>
      <c r="I268" s="14" t="s">
        <v>490</v>
      </c>
      <c r="J268" s="7" t="s">
        <v>491</v>
      </c>
      <c r="K268" s="8"/>
      <c r="L268" s="7" t="s">
        <v>492</v>
      </c>
      <c r="M268" s="7" t="s">
        <v>493</v>
      </c>
      <c r="N268" s="7" t="s">
        <v>494</v>
      </c>
      <c r="O268" s="7" t="s">
        <v>495</v>
      </c>
      <c r="P268" s="23" t="s">
        <v>631</v>
      </c>
      <c r="Q268" s="62">
        <f t="shared" si="21"/>
        <v>337436043.75</v>
      </c>
      <c r="R268" s="24">
        <v>1</v>
      </c>
      <c r="S268" s="63">
        <v>1349744175</v>
      </c>
      <c r="T268" s="11" t="s">
        <v>626</v>
      </c>
      <c r="U268" s="2" t="s">
        <v>497</v>
      </c>
      <c r="V268" s="12" t="s">
        <v>632</v>
      </c>
      <c r="W268" s="25">
        <v>4</v>
      </c>
      <c r="X268" s="14">
        <v>125</v>
      </c>
      <c r="Y268" s="31">
        <v>43252</v>
      </c>
      <c r="Z268" s="63">
        <v>1349744175</v>
      </c>
      <c r="AA268" s="17"/>
      <c r="AB268" s="17">
        <v>879</v>
      </c>
      <c r="AC268" s="30">
        <v>43252</v>
      </c>
      <c r="AD268" s="19">
        <v>1349744175</v>
      </c>
      <c r="AE268" s="19">
        <f t="shared" si="18"/>
        <v>0</v>
      </c>
      <c r="AF268" s="14"/>
      <c r="AG268" s="20"/>
      <c r="AH268" s="19"/>
      <c r="AI268" s="1"/>
      <c r="AJ268" s="1"/>
      <c r="AK268" s="19">
        <f t="shared" si="11"/>
        <v>1349744175</v>
      </c>
      <c r="AL268" s="19"/>
      <c r="AM268" s="19">
        <f t="shared" si="12"/>
        <v>0</v>
      </c>
      <c r="AN268" s="14"/>
      <c r="AO268" s="21">
        <f t="shared" si="13"/>
        <v>1349744175</v>
      </c>
      <c r="AP268" s="14"/>
      <c r="AQ268" s="14"/>
      <c r="AR268" s="14"/>
      <c r="AS268" s="14"/>
      <c r="AT268" s="14"/>
      <c r="AU268" s="211"/>
    </row>
    <row r="269" spans="1:47" ht="331.5" x14ac:dyDescent="0.2">
      <c r="A269" s="1">
        <f t="shared" si="19"/>
        <v>127</v>
      </c>
      <c r="B269" s="2" t="str">
        <f t="shared" si="20"/>
        <v>208-127</v>
      </c>
      <c r="C269" s="3" t="s">
        <v>484</v>
      </c>
      <c r="D269" s="4" t="s">
        <v>485</v>
      </c>
      <c r="E269" s="22" t="s">
        <v>499</v>
      </c>
      <c r="F269" s="6" t="s">
        <v>487</v>
      </c>
      <c r="G269" s="5" t="s">
        <v>488</v>
      </c>
      <c r="H269" s="6" t="s">
        <v>489</v>
      </c>
      <c r="I269" s="14" t="s">
        <v>490</v>
      </c>
      <c r="J269" s="7" t="s">
        <v>491</v>
      </c>
      <c r="K269" s="8"/>
      <c r="L269" s="7" t="s">
        <v>492</v>
      </c>
      <c r="M269" s="7" t="s">
        <v>493</v>
      </c>
      <c r="N269" s="7" t="s">
        <v>494</v>
      </c>
      <c r="O269" s="7" t="s">
        <v>495</v>
      </c>
      <c r="P269" s="23" t="s">
        <v>631</v>
      </c>
      <c r="Q269" s="62">
        <f t="shared" si="21"/>
        <v>251655871.25</v>
      </c>
      <c r="R269" s="24">
        <v>1</v>
      </c>
      <c r="S269" s="63">
        <v>1006623485</v>
      </c>
      <c r="T269" s="11"/>
      <c r="U269" s="2" t="s">
        <v>497</v>
      </c>
      <c r="V269" s="12" t="s">
        <v>498</v>
      </c>
      <c r="W269" s="25">
        <v>4</v>
      </c>
      <c r="X269" s="14">
        <v>126</v>
      </c>
      <c r="Y269" s="31">
        <v>43252</v>
      </c>
      <c r="Z269" s="63">
        <v>1006623485</v>
      </c>
      <c r="AA269" s="17"/>
      <c r="AB269" s="17">
        <v>880</v>
      </c>
      <c r="AC269" s="30">
        <v>43252</v>
      </c>
      <c r="AD269" s="19">
        <v>1006623485</v>
      </c>
      <c r="AE269" s="19">
        <f t="shared" si="18"/>
        <v>0</v>
      </c>
      <c r="AF269" s="14"/>
      <c r="AG269" s="20"/>
      <c r="AH269" s="19"/>
      <c r="AI269" s="1"/>
      <c r="AJ269" s="1"/>
      <c r="AK269" s="19">
        <f t="shared" si="11"/>
        <v>1006623485</v>
      </c>
      <c r="AL269" s="19"/>
      <c r="AM269" s="19">
        <f t="shared" si="12"/>
        <v>0</v>
      </c>
      <c r="AN269" s="14"/>
      <c r="AO269" s="21">
        <f t="shared" si="13"/>
        <v>1006623485</v>
      </c>
      <c r="AP269" s="14"/>
      <c r="AQ269" s="14"/>
      <c r="AR269" s="14"/>
      <c r="AS269" s="14"/>
      <c r="AT269" s="14"/>
      <c r="AU269" s="211"/>
    </row>
    <row r="270" spans="1:47" ht="331.5" x14ac:dyDescent="0.2">
      <c r="A270" s="1">
        <f t="shared" si="19"/>
        <v>128</v>
      </c>
      <c r="B270" s="2" t="str">
        <f t="shared" si="20"/>
        <v>208-128</v>
      </c>
      <c r="C270" s="3" t="s">
        <v>484</v>
      </c>
      <c r="D270" s="4" t="s">
        <v>485</v>
      </c>
      <c r="E270" s="22" t="s">
        <v>499</v>
      </c>
      <c r="F270" s="6" t="s">
        <v>487</v>
      </c>
      <c r="G270" s="5" t="s">
        <v>488</v>
      </c>
      <c r="H270" s="6" t="s">
        <v>489</v>
      </c>
      <c r="I270" s="7" t="s">
        <v>54</v>
      </c>
      <c r="J270" s="7" t="s">
        <v>55</v>
      </c>
      <c r="K270" s="8"/>
      <c r="L270" s="7" t="s">
        <v>492</v>
      </c>
      <c r="M270" s="7" t="s">
        <v>493</v>
      </c>
      <c r="N270" s="7" t="s">
        <v>494</v>
      </c>
      <c r="O270" s="7" t="s">
        <v>495</v>
      </c>
      <c r="P270" s="23" t="s">
        <v>631</v>
      </c>
      <c r="Q270" s="62">
        <f t="shared" si="21"/>
        <v>106013619.25</v>
      </c>
      <c r="R270" s="24">
        <v>1</v>
      </c>
      <c r="S270" s="63">
        <v>424054477</v>
      </c>
      <c r="T270" s="11" t="s">
        <v>626</v>
      </c>
      <c r="U270" s="2" t="s">
        <v>497</v>
      </c>
      <c r="V270" s="12" t="s">
        <v>632</v>
      </c>
      <c r="W270" s="25">
        <v>4</v>
      </c>
      <c r="X270" s="14">
        <v>127</v>
      </c>
      <c r="Y270" s="31">
        <v>43263</v>
      </c>
      <c r="Z270" s="63">
        <v>424054477</v>
      </c>
      <c r="AA270" s="17"/>
      <c r="AB270" s="17">
        <v>887</v>
      </c>
      <c r="AC270" s="30">
        <v>43263</v>
      </c>
      <c r="AD270" s="19">
        <v>424054477</v>
      </c>
      <c r="AE270" s="19">
        <f t="shared" si="18"/>
        <v>0</v>
      </c>
      <c r="AF270" s="14"/>
      <c r="AG270" s="20"/>
      <c r="AH270" s="19"/>
      <c r="AI270" s="1"/>
      <c r="AJ270" s="1"/>
      <c r="AK270" s="19">
        <f t="shared" si="11"/>
        <v>424054477</v>
      </c>
      <c r="AL270" s="19"/>
      <c r="AM270" s="19">
        <f t="shared" si="12"/>
        <v>0</v>
      </c>
      <c r="AN270" s="14"/>
      <c r="AO270" s="21">
        <f t="shared" si="13"/>
        <v>424054477</v>
      </c>
      <c r="AP270" s="14"/>
      <c r="AQ270" s="14"/>
      <c r="AR270" s="14"/>
      <c r="AS270" s="14"/>
      <c r="AT270" s="14"/>
      <c r="AU270" s="211"/>
    </row>
    <row r="271" spans="1:47" ht="331.5" x14ac:dyDescent="0.2">
      <c r="A271" s="1">
        <f t="shared" si="19"/>
        <v>129</v>
      </c>
      <c r="B271" s="2" t="str">
        <f t="shared" si="20"/>
        <v>208-129</v>
      </c>
      <c r="C271" s="3" t="s">
        <v>484</v>
      </c>
      <c r="D271" s="4" t="s">
        <v>485</v>
      </c>
      <c r="E271" s="22" t="s">
        <v>499</v>
      </c>
      <c r="F271" s="6" t="s">
        <v>487</v>
      </c>
      <c r="G271" s="5" t="s">
        <v>488</v>
      </c>
      <c r="H271" s="6" t="s">
        <v>489</v>
      </c>
      <c r="I271" s="14" t="s">
        <v>490</v>
      </c>
      <c r="J271" s="7" t="s">
        <v>491</v>
      </c>
      <c r="K271" s="8"/>
      <c r="L271" s="7" t="s">
        <v>492</v>
      </c>
      <c r="M271" s="7" t="s">
        <v>493</v>
      </c>
      <c r="N271" s="7" t="s">
        <v>494</v>
      </c>
      <c r="O271" s="7" t="s">
        <v>495</v>
      </c>
      <c r="P271" s="23" t="s">
        <v>500</v>
      </c>
      <c r="Q271" s="62">
        <f t="shared" si="21"/>
        <v>47424162.5</v>
      </c>
      <c r="R271" s="24">
        <v>1</v>
      </c>
      <c r="S271" s="63">
        <v>189696650</v>
      </c>
      <c r="T271" s="11" t="s">
        <v>626</v>
      </c>
      <c r="U271" s="2" t="s">
        <v>497</v>
      </c>
      <c r="V271" s="12" t="s">
        <v>632</v>
      </c>
      <c r="W271" s="25">
        <v>4</v>
      </c>
      <c r="X271" s="14">
        <v>128</v>
      </c>
      <c r="Y271" s="31">
        <v>43263</v>
      </c>
      <c r="Z271" s="63">
        <v>189696650</v>
      </c>
      <c r="AA271" s="17"/>
      <c r="AB271" s="17">
        <v>886</v>
      </c>
      <c r="AC271" s="30">
        <v>43263</v>
      </c>
      <c r="AD271" s="19">
        <v>189696650</v>
      </c>
      <c r="AE271" s="19">
        <f t="shared" si="18"/>
        <v>0</v>
      </c>
      <c r="AF271" s="14"/>
      <c r="AG271" s="20"/>
      <c r="AH271" s="19"/>
      <c r="AI271" s="1"/>
      <c r="AJ271" s="1"/>
      <c r="AK271" s="19">
        <f t="shared" si="11"/>
        <v>189696650</v>
      </c>
      <c r="AL271" s="19"/>
      <c r="AM271" s="19">
        <f t="shared" si="12"/>
        <v>0</v>
      </c>
      <c r="AN271" s="14"/>
      <c r="AO271" s="21">
        <f t="shared" si="13"/>
        <v>189696650</v>
      </c>
      <c r="AP271" s="14"/>
      <c r="AQ271" s="14"/>
      <c r="AR271" s="14"/>
      <c r="AS271" s="14"/>
      <c r="AT271" s="14"/>
      <c r="AU271" s="211"/>
    </row>
    <row r="272" spans="1:47" ht="331.5" x14ac:dyDescent="0.2">
      <c r="A272" s="1">
        <f>A271+1</f>
        <v>130</v>
      </c>
      <c r="B272" s="2" t="str">
        <f t="shared" si="20"/>
        <v>208-130</v>
      </c>
      <c r="C272" s="3" t="s">
        <v>484</v>
      </c>
      <c r="D272" s="4" t="s">
        <v>485</v>
      </c>
      <c r="E272" s="22" t="s">
        <v>499</v>
      </c>
      <c r="F272" s="6" t="s">
        <v>487</v>
      </c>
      <c r="G272" s="5" t="s">
        <v>488</v>
      </c>
      <c r="H272" s="6" t="s">
        <v>489</v>
      </c>
      <c r="I272" s="14" t="s">
        <v>490</v>
      </c>
      <c r="J272" s="7" t="s">
        <v>491</v>
      </c>
      <c r="K272" s="8"/>
      <c r="L272" s="7" t="s">
        <v>492</v>
      </c>
      <c r="M272" s="7" t="s">
        <v>493</v>
      </c>
      <c r="N272" s="7" t="s">
        <v>494</v>
      </c>
      <c r="O272" s="7" t="s">
        <v>495</v>
      </c>
      <c r="P272" s="23" t="s">
        <v>500</v>
      </c>
      <c r="Q272" s="62">
        <f t="shared" si="21"/>
        <v>318181818.18181819</v>
      </c>
      <c r="R272" s="24">
        <v>1</v>
      </c>
      <c r="S272" s="63">
        <v>3500000000</v>
      </c>
      <c r="T272" s="11" t="s">
        <v>626</v>
      </c>
      <c r="U272" s="2" t="s">
        <v>497</v>
      </c>
      <c r="V272" s="12" t="s">
        <v>510</v>
      </c>
      <c r="W272" s="25">
        <v>11</v>
      </c>
      <c r="X272" s="14"/>
      <c r="Y272" s="15"/>
      <c r="Z272" s="16"/>
      <c r="AA272" s="17"/>
      <c r="AB272" s="17"/>
      <c r="AC272" s="18"/>
      <c r="AD272" s="19"/>
      <c r="AE272" s="19">
        <f t="shared" si="18"/>
        <v>3500000000</v>
      </c>
      <c r="AF272" s="14"/>
      <c r="AG272" s="20"/>
      <c r="AH272" s="19"/>
      <c r="AI272" s="1"/>
      <c r="AJ272" s="1"/>
      <c r="AK272" s="19">
        <f t="shared" ref="AK272:AK292" si="22">AD272-AH272</f>
        <v>0</v>
      </c>
      <c r="AL272" s="19"/>
      <c r="AM272" s="19">
        <f t="shared" ref="AM272:AM292" si="23">AH272-AL272</f>
        <v>0</v>
      </c>
      <c r="AN272" s="14"/>
      <c r="AO272" s="21">
        <f t="shared" ref="AO272:AO292" si="24">S272-AH272</f>
        <v>3500000000</v>
      </c>
      <c r="AP272" s="14"/>
      <c r="AQ272" s="14"/>
      <c r="AR272" s="14"/>
      <c r="AS272" s="14"/>
      <c r="AT272" s="14"/>
      <c r="AU272" s="211"/>
    </row>
    <row r="273" spans="1:47" ht="409.5" x14ac:dyDescent="0.2">
      <c r="A273" s="1">
        <f t="shared" si="19"/>
        <v>131</v>
      </c>
      <c r="B273" s="2" t="str">
        <f t="shared" si="20"/>
        <v>208-131</v>
      </c>
      <c r="C273" s="3" t="s">
        <v>484</v>
      </c>
      <c r="D273" s="4" t="s">
        <v>485</v>
      </c>
      <c r="E273" s="22" t="s">
        <v>499</v>
      </c>
      <c r="F273" s="6" t="s">
        <v>487</v>
      </c>
      <c r="G273" s="5" t="s">
        <v>488</v>
      </c>
      <c r="H273" s="6" t="s">
        <v>489</v>
      </c>
      <c r="I273" s="7" t="s">
        <v>54</v>
      </c>
      <c r="J273" s="7" t="s">
        <v>55</v>
      </c>
      <c r="K273" s="8"/>
      <c r="L273" s="7" t="s">
        <v>492</v>
      </c>
      <c r="M273" s="7" t="s">
        <v>493</v>
      </c>
      <c r="N273" s="7" t="s">
        <v>494</v>
      </c>
      <c r="O273" s="7" t="s">
        <v>495</v>
      </c>
      <c r="P273" s="23" t="s">
        <v>633</v>
      </c>
      <c r="Q273" s="62">
        <f t="shared" si="21"/>
        <v>124268654.5</v>
      </c>
      <c r="R273" s="24">
        <v>1</v>
      </c>
      <c r="S273" s="63">
        <v>497074618</v>
      </c>
      <c r="T273" s="11" t="s">
        <v>634</v>
      </c>
      <c r="U273" s="2" t="s">
        <v>506</v>
      </c>
      <c r="V273" s="12" t="s">
        <v>632</v>
      </c>
      <c r="W273" s="25">
        <v>4</v>
      </c>
      <c r="X273" s="14">
        <v>129</v>
      </c>
      <c r="Y273" s="31">
        <v>43287</v>
      </c>
      <c r="Z273" s="50">
        <v>497074618</v>
      </c>
      <c r="AA273" s="17"/>
      <c r="AB273" s="17">
        <v>945</v>
      </c>
      <c r="AC273" s="30">
        <v>43291</v>
      </c>
      <c r="AD273" s="19">
        <v>497074618</v>
      </c>
      <c r="AE273" s="19">
        <f t="shared" si="18"/>
        <v>0</v>
      </c>
      <c r="AF273" s="14"/>
      <c r="AG273" s="20"/>
      <c r="AH273" s="19"/>
      <c r="AI273" s="1"/>
      <c r="AJ273" s="1"/>
      <c r="AK273" s="19">
        <f t="shared" si="22"/>
        <v>497074618</v>
      </c>
      <c r="AL273" s="19"/>
      <c r="AM273" s="19">
        <f t="shared" si="23"/>
        <v>0</v>
      </c>
      <c r="AN273" s="14"/>
      <c r="AO273" s="21">
        <f t="shared" si="24"/>
        <v>497074618</v>
      </c>
      <c r="AP273" s="14"/>
      <c r="AQ273" s="14"/>
      <c r="AR273" s="14"/>
      <c r="AS273" s="14"/>
      <c r="AT273" s="14"/>
      <c r="AU273" s="211"/>
    </row>
    <row r="274" spans="1:47" ht="395.25" x14ac:dyDescent="0.2">
      <c r="A274" s="1">
        <f t="shared" si="19"/>
        <v>132</v>
      </c>
      <c r="B274" s="2" t="str">
        <f t="shared" si="20"/>
        <v>208-132</v>
      </c>
      <c r="C274" s="3" t="s">
        <v>484</v>
      </c>
      <c r="D274" s="4" t="s">
        <v>485</v>
      </c>
      <c r="E274" s="5" t="s">
        <v>486</v>
      </c>
      <c r="F274" s="7" t="s">
        <v>511</v>
      </c>
      <c r="G274" s="22" t="s">
        <v>512</v>
      </c>
      <c r="H274" s="7" t="s">
        <v>513</v>
      </c>
      <c r="I274" s="7" t="s">
        <v>54</v>
      </c>
      <c r="J274" s="7" t="s">
        <v>55</v>
      </c>
      <c r="K274" s="1">
        <v>801116</v>
      </c>
      <c r="L274" s="7" t="s">
        <v>492</v>
      </c>
      <c r="M274" s="7" t="s">
        <v>493</v>
      </c>
      <c r="N274" s="7" t="s">
        <v>494</v>
      </c>
      <c r="O274" s="7" t="s">
        <v>504</v>
      </c>
      <c r="P274" s="23" t="s">
        <v>555</v>
      </c>
      <c r="Q274" s="62">
        <f t="shared" si="21"/>
        <v>463500</v>
      </c>
      <c r="R274" s="24">
        <v>1</v>
      </c>
      <c r="S274" s="63">
        <v>2549250</v>
      </c>
      <c r="T274" s="11" t="s">
        <v>528</v>
      </c>
      <c r="U274" s="26" t="s">
        <v>58</v>
      </c>
      <c r="V274" s="26" t="s">
        <v>510</v>
      </c>
      <c r="W274" s="33">
        <v>5.5</v>
      </c>
      <c r="X274" s="14">
        <v>130</v>
      </c>
      <c r="Y274" s="27">
        <v>43290</v>
      </c>
      <c r="Z274" s="63">
        <v>2549250</v>
      </c>
      <c r="AA274" s="17"/>
      <c r="AB274" s="17">
        <v>948</v>
      </c>
      <c r="AC274" s="30">
        <v>43291</v>
      </c>
      <c r="AD274" s="19">
        <v>2472000</v>
      </c>
      <c r="AE274" s="19">
        <f t="shared" si="18"/>
        <v>77250</v>
      </c>
      <c r="AF274" s="14">
        <v>2534</v>
      </c>
      <c r="AG274" s="30">
        <v>43305</v>
      </c>
      <c r="AH274" s="19">
        <v>2472000</v>
      </c>
      <c r="AI274" s="1" t="s">
        <v>635</v>
      </c>
      <c r="AJ274" s="1">
        <v>452</v>
      </c>
      <c r="AK274" s="19">
        <f t="shared" si="22"/>
        <v>0</v>
      </c>
      <c r="AL274" s="19"/>
      <c r="AM274" s="19">
        <f t="shared" si="23"/>
        <v>2472000</v>
      </c>
      <c r="AN274" s="14"/>
      <c r="AO274" s="21">
        <f t="shared" si="24"/>
        <v>77250</v>
      </c>
      <c r="AP274" s="14"/>
      <c r="AQ274" s="14"/>
      <c r="AR274" s="14"/>
      <c r="AS274" s="14"/>
      <c r="AT274" s="14"/>
      <c r="AU274" s="211"/>
    </row>
    <row r="275" spans="1:47" ht="395.25" x14ac:dyDescent="0.2">
      <c r="A275" s="1">
        <f t="shared" si="19"/>
        <v>133</v>
      </c>
      <c r="B275" s="2" t="str">
        <f t="shared" si="20"/>
        <v>208-133</v>
      </c>
      <c r="C275" s="3" t="s">
        <v>484</v>
      </c>
      <c r="D275" s="4" t="s">
        <v>485</v>
      </c>
      <c r="E275" s="22" t="s">
        <v>499</v>
      </c>
      <c r="F275" s="7" t="s">
        <v>511</v>
      </c>
      <c r="G275" s="22" t="s">
        <v>512</v>
      </c>
      <c r="H275" s="7" t="s">
        <v>513</v>
      </c>
      <c r="I275" s="7" t="s">
        <v>54</v>
      </c>
      <c r="J275" s="7" t="s">
        <v>55</v>
      </c>
      <c r="K275" s="1">
        <v>801116</v>
      </c>
      <c r="L275" s="7" t="s">
        <v>492</v>
      </c>
      <c r="M275" s="7" t="s">
        <v>493</v>
      </c>
      <c r="N275" s="7" t="s">
        <v>494</v>
      </c>
      <c r="O275" s="7" t="s">
        <v>504</v>
      </c>
      <c r="P275" s="23" t="s">
        <v>555</v>
      </c>
      <c r="Q275" s="62">
        <f t="shared" si="21"/>
        <v>1081500</v>
      </c>
      <c r="R275" s="24">
        <v>1</v>
      </c>
      <c r="S275" s="63">
        <v>5948250</v>
      </c>
      <c r="T275" s="11" t="s">
        <v>528</v>
      </c>
      <c r="U275" s="26" t="s">
        <v>58</v>
      </c>
      <c r="V275" s="26" t="s">
        <v>510</v>
      </c>
      <c r="W275" s="33">
        <v>5.5</v>
      </c>
      <c r="X275" s="14">
        <v>131</v>
      </c>
      <c r="Y275" s="27">
        <v>43290</v>
      </c>
      <c r="Z275" s="63">
        <v>5948250</v>
      </c>
      <c r="AA275" s="17"/>
      <c r="AB275" s="17">
        <v>948</v>
      </c>
      <c r="AC275" s="30">
        <v>43291</v>
      </c>
      <c r="AD275" s="19">
        <v>5768000</v>
      </c>
      <c r="AE275" s="19">
        <f t="shared" si="18"/>
        <v>180250</v>
      </c>
      <c r="AF275" s="14">
        <v>2534</v>
      </c>
      <c r="AG275" s="30">
        <v>43305</v>
      </c>
      <c r="AH275" s="19">
        <v>5768000</v>
      </c>
      <c r="AI275" s="1" t="s">
        <v>635</v>
      </c>
      <c r="AJ275" s="1">
        <v>452</v>
      </c>
      <c r="AK275" s="19">
        <f t="shared" si="22"/>
        <v>0</v>
      </c>
      <c r="AL275" s="19"/>
      <c r="AM275" s="19">
        <f t="shared" si="23"/>
        <v>5768000</v>
      </c>
      <c r="AN275" s="14"/>
      <c r="AO275" s="21">
        <f t="shared" si="24"/>
        <v>180250</v>
      </c>
      <c r="AP275" s="14"/>
      <c r="AQ275" s="14"/>
      <c r="AR275" s="14"/>
      <c r="AS275" s="14"/>
      <c r="AT275" s="14"/>
      <c r="AU275" s="211"/>
    </row>
    <row r="276" spans="1:47" ht="395.25" x14ac:dyDescent="0.2">
      <c r="A276" s="1">
        <f t="shared" si="19"/>
        <v>134</v>
      </c>
      <c r="B276" s="2" t="str">
        <f t="shared" si="20"/>
        <v>208-134</v>
      </c>
      <c r="C276" s="3" t="s">
        <v>484</v>
      </c>
      <c r="D276" s="4" t="s">
        <v>485</v>
      </c>
      <c r="E276" s="5" t="s">
        <v>486</v>
      </c>
      <c r="F276" s="7" t="s">
        <v>511</v>
      </c>
      <c r="G276" s="22" t="s">
        <v>512</v>
      </c>
      <c r="H276" s="7" t="s">
        <v>513</v>
      </c>
      <c r="I276" s="7" t="s">
        <v>54</v>
      </c>
      <c r="J276" s="7" t="s">
        <v>55</v>
      </c>
      <c r="K276" s="1">
        <v>801116</v>
      </c>
      <c r="L276" s="7" t="s">
        <v>492</v>
      </c>
      <c r="M276" s="7" t="s">
        <v>493</v>
      </c>
      <c r="N276" s="7" t="s">
        <v>494</v>
      </c>
      <c r="O276" s="7" t="s">
        <v>504</v>
      </c>
      <c r="P276" s="23" t="s">
        <v>555</v>
      </c>
      <c r="Q276" s="62">
        <f t="shared" si="21"/>
        <v>463500</v>
      </c>
      <c r="R276" s="24">
        <v>1</v>
      </c>
      <c r="S276" s="63">
        <v>2549250</v>
      </c>
      <c r="T276" s="11" t="s">
        <v>528</v>
      </c>
      <c r="U276" s="26" t="s">
        <v>58</v>
      </c>
      <c r="V276" s="26" t="s">
        <v>510</v>
      </c>
      <c r="W276" s="33">
        <v>5.5</v>
      </c>
      <c r="X276" s="14">
        <v>132</v>
      </c>
      <c r="Y276" s="27">
        <v>43290</v>
      </c>
      <c r="Z276" s="63">
        <v>2549250</v>
      </c>
      <c r="AA276" s="17"/>
      <c r="AB276" s="17">
        <v>949</v>
      </c>
      <c r="AC276" s="30">
        <v>43291</v>
      </c>
      <c r="AD276" s="19">
        <v>2472000</v>
      </c>
      <c r="AE276" s="19">
        <f t="shared" si="18"/>
        <v>77250</v>
      </c>
      <c r="AF276" s="14">
        <v>2541</v>
      </c>
      <c r="AG276" s="30">
        <v>43305</v>
      </c>
      <c r="AH276" s="19">
        <v>2472000</v>
      </c>
      <c r="AI276" s="97" t="s">
        <v>636</v>
      </c>
      <c r="AJ276" s="1">
        <v>455</v>
      </c>
      <c r="AK276" s="19">
        <f t="shared" si="22"/>
        <v>0</v>
      </c>
      <c r="AL276" s="19"/>
      <c r="AM276" s="19">
        <f t="shared" si="23"/>
        <v>2472000</v>
      </c>
      <c r="AN276" s="14"/>
      <c r="AO276" s="21">
        <f t="shared" si="24"/>
        <v>77250</v>
      </c>
      <c r="AP276" s="14"/>
      <c r="AQ276" s="14"/>
      <c r="AR276" s="14"/>
      <c r="AS276" s="14"/>
      <c r="AT276" s="14"/>
      <c r="AU276" s="211"/>
    </row>
    <row r="277" spans="1:47" ht="395.25" x14ac:dyDescent="0.2">
      <c r="A277" s="1">
        <f t="shared" si="19"/>
        <v>135</v>
      </c>
      <c r="B277" s="2" t="str">
        <f t="shared" si="20"/>
        <v>208-135</v>
      </c>
      <c r="C277" s="3" t="s">
        <v>484</v>
      </c>
      <c r="D277" s="4" t="s">
        <v>485</v>
      </c>
      <c r="E277" s="22" t="s">
        <v>499</v>
      </c>
      <c r="F277" s="7" t="s">
        <v>511</v>
      </c>
      <c r="G277" s="22" t="s">
        <v>512</v>
      </c>
      <c r="H277" s="7" t="s">
        <v>513</v>
      </c>
      <c r="I277" s="7" t="s">
        <v>54</v>
      </c>
      <c r="J277" s="7" t="s">
        <v>55</v>
      </c>
      <c r="K277" s="1">
        <v>801116</v>
      </c>
      <c r="L277" s="7" t="s">
        <v>492</v>
      </c>
      <c r="M277" s="7" t="s">
        <v>493</v>
      </c>
      <c r="N277" s="7" t="s">
        <v>494</v>
      </c>
      <c r="O277" s="7" t="s">
        <v>504</v>
      </c>
      <c r="P277" s="23" t="s">
        <v>555</v>
      </c>
      <c r="Q277" s="62">
        <f t="shared" si="21"/>
        <v>1081500</v>
      </c>
      <c r="R277" s="24">
        <v>1</v>
      </c>
      <c r="S277" s="63">
        <v>5948250</v>
      </c>
      <c r="T277" s="11" t="s">
        <v>528</v>
      </c>
      <c r="U277" s="26" t="s">
        <v>58</v>
      </c>
      <c r="V277" s="26" t="s">
        <v>510</v>
      </c>
      <c r="W277" s="33">
        <v>5.5</v>
      </c>
      <c r="X277" s="14">
        <v>133</v>
      </c>
      <c r="Y277" s="27">
        <v>43290</v>
      </c>
      <c r="Z277" s="63">
        <v>5948250</v>
      </c>
      <c r="AA277" s="17"/>
      <c r="AB277" s="17">
        <v>949</v>
      </c>
      <c r="AC277" s="30">
        <v>43291</v>
      </c>
      <c r="AD277" s="19">
        <v>5768000</v>
      </c>
      <c r="AE277" s="19">
        <f t="shared" si="18"/>
        <v>180250</v>
      </c>
      <c r="AF277" s="14">
        <v>2541</v>
      </c>
      <c r="AG277" s="30">
        <v>43305</v>
      </c>
      <c r="AH277" s="19">
        <v>5768000</v>
      </c>
      <c r="AI277" s="97" t="s">
        <v>636</v>
      </c>
      <c r="AJ277" s="1">
        <v>455</v>
      </c>
      <c r="AK277" s="19">
        <f t="shared" si="22"/>
        <v>0</v>
      </c>
      <c r="AL277" s="19"/>
      <c r="AM277" s="19">
        <f t="shared" si="23"/>
        <v>5768000</v>
      </c>
      <c r="AN277" s="14"/>
      <c r="AO277" s="21">
        <f t="shared" si="24"/>
        <v>180250</v>
      </c>
      <c r="AP277" s="14"/>
      <c r="AQ277" s="14"/>
      <c r="AR277" s="14"/>
      <c r="AS277" s="14"/>
      <c r="AT277" s="14"/>
      <c r="AU277" s="211"/>
    </row>
    <row r="278" spans="1:47" ht="395.25" x14ac:dyDescent="0.2">
      <c r="A278" s="1">
        <f t="shared" si="19"/>
        <v>136</v>
      </c>
      <c r="B278" s="2" t="str">
        <f t="shared" si="20"/>
        <v>208-136</v>
      </c>
      <c r="C278" s="3" t="s">
        <v>484</v>
      </c>
      <c r="D278" s="4" t="s">
        <v>485</v>
      </c>
      <c r="E278" s="5" t="s">
        <v>486</v>
      </c>
      <c r="F278" s="7" t="s">
        <v>511</v>
      </c>
      <c r="G278" s="22" t="s">
        <v>512</v>
      </c>
      <c r="H278" s="7" t="s">
        <v>513</v>
      </c>
      <c r="I278" s="7" t="s">
        <v>54</v>
      </c>
      <c r="J278" s="7" t="s">
        <v>55</v>
      </c>
      <c r="K278" s="1">
        <v>801116</v>
      </c>
      <c r="L278" s="7" t="s">
        <v>492</v>
      </c>
      <c r="M278" s="7" t="s">
        <v>493</v>
      </c>
      <c r="N278" s="7" t="s">
        <v>494</v>
      </c>
      <c r="O278" s="7" t="s">
        <v>504</v>
      </c>
      <c r="P278" s="23" t="s">
        <v>555</v>
      </c>
      <c r="Q278" s="62">
        <f t="shared" si="21"/>
        <v>463500</v>
      </c>
      <c r="R278" s="24">
        <v>1</v>
      </c>
      <c r="S278" s="63">
        <v>2317500</v>
      </c>
      <c r="T278" s="11" t="s">
        <v>528</v>
      </c>
      <c r="U278" s="26" t="s">
        <v>58</v>
      </c>
      <c r="V278" s="26" t="s">
        <v>632</v>
      </c>
      <c r="W278" s="33">
        <v>5</v>
      </c>
      <c r="X278" s="14">
        <v>134</v>
      </c>
      <c r="Y278" s="27">
        <v>43293</v>
      </c>
      <c r="Z278" s="63">
        <v>2317500</v>
      </c>
      <c r="AA278" s="17"/>
      <c r="AB278" s="17">
        <v>979</v>
      </c>
      <c r="AC278" s="30">
        <v>43297</v>
      </c>
      <c r="AD278" s="19">
        <v>2317500</v>
      </c>
      <c r="AE278" s="19">
        <f t="shared" si="18"/>
        <v>0</v>
      </c>
      <c r="AF278" s="14"/>
      <c r="AG278" s="20"/>
      <c r="AH278" s="19"/>
      <c r="AI278" s="1"/>
      <c r="AJ278" s="1"/>
      <c r="AK278" s="19">
        <f t="shared" si="22"/>
        <v>2317500</v>
      </c>
      <c r="AL278" s="19"/>
      <c r="AM278" s="19">
        <f t="shared" si="23"/>
        <v>0</v>
      </c>
      <c r="AN278" s="14"/>
      <c r="AO278" s="21">
        <f t="shared" si="24"/>
        <v>2317500</v>
      </c>
      <c r="AP278" s="14"/>
      <c r="AQ278" s="14"/>
      <c r="AR278" s="14"/>
      <c r="AS278" s="14"/>
      <c r="AT278" s="14"/>
      <c r="AU278" s="211"/>
    </row>
    <row r="279" spans="1:47" ht="395.25" x14ac:dyDescent="0.2">
      <c r="A279" s="1">
        <f t="shared" si="19"/>
        <v>137</v>
      </c>
      <c r="B279" s="2" t="str">
        <f t="shared" si="20"/>
        <v>208-137</v>
      </c>
      <c r="C279" s="3" t="s">
        <v>484</v>
      </c>
      <c r="D279" s="4" t="s">
        <v>485</v>
      </c>
      <c r="E279" s="22" t="s">
        <v>499</v>
      </c>
      <c r="F279" s="7" t="s">
        <v>511</v>
      </c>
      <c r="G279" s="22" t="s">
        <v>512</v>
      </c>
      <c r="H279" s="7" t="s">
        <v>513</v>
      </c>
      <c r="I279" s="7" t="s">
        <v>54</v>
      </c>
      <c r="J279" s="7" t="s">
        <v>55</v>
      </c>
      <c r="K279" s="1">
        <v>801116</v>
      </c>
      <c r="L279" s="7" t="s">
        <v>492</v>
      </c>
      <c r="M279" s="7" t="s">
        <v>493</v>
      </c>
      <c r="N279" s="7" t="s">
        <v>494</v>
      </c>
      <c r="O279" s="7" t="s">
        <v>504</v>
      </c>
      <c r="P279" s="23" t="s">
        <v>555</v>
      </c>
      <c r="Q279" s="62">
        <f t="shared" si="21"/>
        <v>1081500</v>
      </c>
      <c r="R279" s="24">
        <v>1</v>
      </c>
      <c r="S279" s="63">
        <v>5407500</v>
      </c>
      <c r="T279" s="11" t="s">
        <v>528</v>
      </c>
      <c r="U279" s="26" t="s">
        <v>58</v>
      </c>
      <c r="V279" s="26" t="s">
        <v>632</v>
      </c>
      <c r="W279" s="33">
        <v>5</v>
      </c>
      <c r="X279" s="14">
        <v>135</v>
      </c>
      <c r="Y279" s="27">
        <v>43293</v>
      </c>
      <c r="Z279" s="63">
        <v>5407500</v>
      </c>
      <c r="AA279" s="17"/>
      <c r="AB279" s="17">
        <v>979</v>
      </c>
      <c r="AC279" s="30">
        <v>43297</v>
      </c>
      <c r="AD279" s="19">
        <v>5407500</v>
      </c>
      <c r="AE279" s="19">
        <f t="shared" si="18"/>
        <v>0</v>
      </c>
      <c r="AF279" s="14"/>
      <c r="AG279" s="20"/>
      <c r="AH279" s="19"/>
      <c r="AI279" s="1"/>
      <c r="AJ279" s="1"/>
      <c r="AK279" s="19">
        <f t="shared" si="22"/>
        <v>5407500</v>
      </c>
      <c r="AL279" s="19"/>
      <c r="AM279" s="19">
        <f t="shared" si="23"/>
        <v>0</v>
      </c>
      <c r="AN279" s="14"/>
      <c r="AO279" s="21">
        <f t="shared" si="24"/>
        <v>5407500</v>
      </c>
      <c r="AP279" s="14"/>
      <c r="AQ279" s="14"/>
      <c r="AR279" s="14"/>
      <c r="AS279" s="14"/>
      <c r="AT279" s="14"/>
      <c r="AU279" s="211"/>
    </row>
    <row r="280" spans="1:47" ht="395.25" x14ac:dyDescent="0.2">
      <c r="A280" s="1">
        <f t="shared" si="19"/>
        <v>138</v>
      </c>
      <c r="B280" s="2" t="str">
        <f t="shared" si="20"/>
        <v>208-138</v>
      </c>
      <c r="C280" s="3" t="s">
        <v>484</v>
      </c>
      <c r="D280" s="4" t="s">
        <v>485</v>
      </c>
      <c r="E280" s="5" t="s">
        <v>486</v>
      </c>
      <c r="F280" s="7" t="s">
        <v>511</v>
      </c>
      <c r="G280" s="22" t="s">
        <v>512</v>
      </c>
      <c r="H280" s="7" t="s">
        <v>513</v>
      </c>
      <c r="I280" s="7" t="s">
        <v>54</v>
      </c>
      <c r="J280" s="7" t="s">
        <v>55</v>
      </c>
      <c r="K280" s="1">
        <v>801116</v>
      </c>
      <c r="L280" s="7" t="s">
        <v>492</v>
      </c>
      <c r="M280" s="7" t="s">
        <v>493</v>
      </c>
      <c r="N280" s="7" t="s">
        <v>494</v>
      </c>
      <c r="O280" s="7" t="s">
        <v>504</v>
      </c>
      <c r="P280" s="23" t="s">
        <v>555</v>
      </c>
      <c r="Q280" s="62">
        <f t="shared" si="21"/>
        <v>463500</v>
      </c>
      <c r="R280" s="24">
        <v>1</v>
      </c>
      <c r="S280" s="63">
        <v>2317500</v>
      </c>
      <c r="T280" s="11" t="s">
        <v>528</v>
      </c>
      <c r="U280" s="26" t="s">
        <v>58</v>
      </c>
      <c r="V280" s="26" t="s">
        <v>632</v>
      </c>
      <c r="W280" s="33">
        <v>5</v>
      </c>
      <c r="X280" s="14">
        <v>136</v>
      </c>
      <c r="Y280" s="27">
        <v>43293</v>
      </c>
      <c r="Z280" s="63">
        <v>2317500</v>
      </c>
      <c r="AA280" s="17"/>
      <c r="AB280" s="17">
        <v>980</v>
      </c>
      <c r="AC280" s="30">
        <v>43297</v>
      </c>
      <c r="AD280" s="63">
        <v>2317500</v>
      </c>
      <c r="AE280" s="19">
        <f t="shared" si="18"/>
        <v>0</v>
      </c>
      <c r="AF280" s="14">
        <v>2548</v>
      </c>
      <c r="AG280" s="30">
        <v>43311</v>
      </c>
      <c r="AH280" s="63">
        <v>2317500</v>
      </c>
      <c r="AI280" s="1" t="s">
        <v>637</v>
      </c>
      <c r="AJ280" s="1">
        <v>466</v>
      </c>
      <c r="AK280" s="19">
        <f t="shared" si="22"/>
        <v>0</v>
      </c>
      <c r="AL280" s="19"/>
      <c r="AM280" s="19">
        <f t="shared" si="23"/>
        <v>2317500</v>
      </c>
      <c r="AN280" s="14"/>
      <c r="AO280" s="21">
        <f t="shared" si="24"/>
        <v>0</v>
      </c>
      <c r="AP280" s="14"/>
      <c r="AQ280" s="14"/>
      <c r="AR280" s="14"/>
      <c r="AS280" s="14"/>
      <c r="AT280" s="14"/>
      <c r="AU280" s="211"/>
    </row>
    <row r="281" spans="1:47" ht="395.25" x14ac:dyDescent="0.2">
      <c r="A281" s="1">
        <f t="shared" si="19"/>
        <v>139</v>
      </c>
      <c r="B281" s="2" t="str">
        <f t="shared" si="20"/>
        <v>208-139</v>
      </c>
      <c r="C281" s="3" t="s">
        <v>484</v>
      </c>
      <c r="D281" s="4" t="s">
        <v>485</v>
      </c>
      <c r="E281" s="22" t="s">
        <v>499</v>
      </c>
      <c r="F281" s="7" t="s">
        <v>511</v>
      </c>
      <c r="G281" s="22" t="s">
        <v>512</v>
      </c>
      <c r="H281" s="7" t="s">
        <v>513</v>
      </c>
      <c r="I281" s="7" t="s">
        <v>54</v>
      </c>
      <c r="J281" s="7" t="s">
        <v>55</v>
      </c>
      <c r="K281" s="1">
        <v>801116</v>
      </c>
      <c r="L281" s="7" t="s">
        <v>492</v>
      </c>
      <c r="M281" s="7" t="s">
        <v>493</v>
      </c>
      <c r="N281" s="7" t="s">
        <v>494</v>
      </c>
      <c r="O281" s="7" t="s">
        <v>504</v>
      </c>
      <c r="P281" s="23" t="s">
        <v>555</v>
      </c>
      <c r="Q281" s="62">
        <f t="shared" si="21"/>
        <v>1081500</v>
      </c>
      <c r="R281" s="24">
        <v>1</v>
      </c>
      <c r="S281" s="63">
        <v>5407500</v>
      </c>
      <c r="T281" s="11" t="s">
        <v>528</v>
      </c>
      <c r="U281" s="26" t="s">
        <v>58</v>
      </c>
      <c r="V281" s="26" t="s">
        <v>632</v>
      </c>
      <c r="W281" s="33">
        <v>5</v>
      </c>
      <c r="X281" s="14">
        <v>137</v>
      </c>
      <c r="Y281" s="27">
        <v>43293</v>
      </c>
      <c r="Z281" s="63">
        <v>5407500</v>
      </c>
      <c r="AA281" s="17"/>
      <c r="AB281" s="17">
        <v>980</v>
      </c>
      <c r="AC281" s="30">
        <v>43297</v>
      </c>
      <c r="AD281" s="63">
        <v>5407500</v>
      </c>
      <c r="AE281" s="19">
        <f t="shared" si="18"/>
        <v>0</v>
      </c>
      <c r="AF281" s="14">
        <v>2548</v>
      </c>
      <c r="AG281" s="30">
        <v>43311</v>
      </c>
      <c r="AH281" s="63">
        <v>5407500</v>
      </c>
      <c r="AI281" s="1" t="s">
        <v>637</v>
      </c>
      <c r="AJ281" s="1">
        <v>466</v>
      </c>
      <c r="AK281" s="19">
        <f t="shared" si="22"/>
        <v>0</v>
      </c>
      <c r="AL281" s="19"/>
      <c r="AM281" s="19">
        <f t="shared" si="23"/>
        <v>5407500</v>
      </c>
      <c r="AN281" s="14"/>
      <c r="AO281" s="21">
        <f t="shared" si="24"/>
        <v>0</v>
      </c>
      <c r="AP281" s="14"/>
      <c r="AQ281" s="14"/>
      <c r="AR281" s="14"/>
      <c r="AS281" s="14"/>
      <c r="AT281" s="14"/>
      <c r="AU281" s="211"/>
    </row>
    <row r="282" spans="1:47" ht="409.5" x14ac:dyDescent="0.2">
      <c r="A282" s="1">
        <f t="shared" si="19"/>
        <v>140</v>
      </c>
      <c r="B282" s="2" t="str">
        <f t="shared" si="20"/>
        <v>208-140</v>
      </c>
      <c r="C282" s="3" t="s">
        <v>484</v>
      </c>
      <c r="D282" s="4" t="s">
        <v>485</v>
      </c>
      <c r="E282" s="5" t="s">
        <v>486</v>
      </c>
      <c r="F282" s="7" t="s">
        <v>511</v>
      </c>
      <c r="G282" s="22" t="s">
        <v>512</v>
      </c>
      <c r="H282" s="7" t="s">
        <v>513</v>
      </c>
      <c r="I282" s="7" t="s">
        <v>54</v>
      </c>
      <c r="J282" s="7" t="s">
        <v>55</v>
      </c>
      <c r="K282" s="1">
        <v>801116</v>
      </c>
      <c r="L282" s="7" t="s">
        <v>492</v>
      </c>
      <c r="M282" s="7" t="s">
        <v>493</v>
      </c>
      <c r="N282" s="7" t="s">
        <v>494</v>
      </c>
      <c r="O282" s="7" t="s">
        <v>504</v>
      </c>
      <c r="P282" s="23" t="s">
        <v>638</v>
      </c>
      <c r="Q282" s="62">
        <f t="shared" si="21"/>
        <v>1359600</v>
      </c>
      <c r="R282" s="24">
        <v>1</v>
      </c>
      <c r="S282" s="63">
        <v>1359600</v>
      </c>
      <c r="T282" s="11" t="s">
        <v>528</v>
      </c>
      <c r="U282" s="26" t="s">
        <v>58</v>
      </c>
      <c r="V282" s="26" t="s">
        <v>632</v>
      </c>
      <c r="W282" s="33">
        <v>1</v>
      </c>
      <c r="X282" s="14">
        <v>138</v>
      </c>
      <c r="Y282" s="27">
        <v>43298</v>
      </c>
      <c r="Z282" s="63">
        <v>1359600</v>
      </c>
      <c r="AA282" s="17"/>
      <c r="AB282" s="17">
        <v>984</v>
      </c>
      <c r="AC282" s="30">
        <v>43299</v>
      </c>
      <c r="AD282" s="19">
        <v>1359600</v>
      </c>
      <c r="AE282" s="19">
        <f t="shared" si="18"/>
        <v>0</v>
      </c>
      <c r="AF282" s="14">
        <v>2518</v>
      </c>
      <c r="AG282" s="30">
        <v>43300</v>
      </c>
      <c r="AH282" s="19">
        <v>1359600</v>
      </c>
      <c r="AI282" s="1" t="s">
        <v>639</v>
      </c>
      <c r="AJ282" s="1">
        <v>226</v>
      </c>
      <c r="AK282" s="19">
        <f t="shared" si="22"/>
        <v>0</v>
      </c>
      <c r="AL282" s="19"/>
      <c r="AM282" s="19">
        <f t="shared" si="23"/>
        <v>1359600</v>
      </c>
      <c r="AN282" s="14"/>
      <c r="AO282" s="21">
        <f t="shared" si="24"/>
        <v>0</v>
      </c>
      <c r="AP282" s="14"/>
      <c r="AQ282" s="14"/>
      <c r="AR282" s="14"/>
      <c r="AS282" s="14"/>
      <c r="AT282" s="14"/>
      <c r="AU282" s="211"/>
    </row>
    <row r="283" spans="1:47" ht="409.5" x14ac:dyDescent="0.2">
      <c r="A283" s="1">
        <f t="shared" si="19"/>
        <v>141</v>
      </c>
      <c r="B283" s="2" t="str">
        <f t="shared" si="20"/>
        <v>208-141</v>
      </c>
      <c r="C283" s="3" t="s">
        <v>484</v>
      </c>
      <c r="D283" s="4" t="s">
        <v>485</v>
      </c>
      <c r="E283" s="22" t="s">
        <v>499</v>
      </c>
      <c r="F283" s="7" t="s">
        <v>511</v>
      </c>
      <c r="G283" s="22" t="s">
        <v>512</v>
      </c>
      <c r="H283" s="7" t="s">
        <v>513</v>
      </c>
      <c r="I283" s="7" t="s">
        <v>54</v>
      </c>
      <c r="J283" s="7" t="s">
        <v>55</v>
      </c>
      <c r="K283" s="1">
        <v>801116</v>
      </c>
      <c r="L283" s="7" t="s">
        <v>492</v>
      </c>
      <c r="M283" s="7" t="s">
        <v>493</v>
      </c>
      <c r="N283" s="7" t="s">
        <v>494</v>
      </c>
      <c r="O283" s="7" t="s">
        <v>504</v>
      </c>
      <c r="P283" s="23" t="s">
        <v>638</v>
      </c>
      <c r="Q283" s="62">
        <f t="shared" si="21"/>
        <v>3172400</v>
      </c>
      <c r="R283" s="24">
        <v>1</v>
      </c>
      <c r="S283" s="63">
        <v>3172400</v>
      </c>
      <c r="T283" s="11" t="s">
        <v>528</v>
      </c>
      <c r="U283" s="26" t="s">
        <v>58</v>
      </c>
      <c r="V283" s="26" t="s">
        <v>632</v>
      </c>
      <c r="W283" s="33">
        <v>1</v>
      </c>
      <c r="X283" s="14">
        <v>139</v>
      </c>
      <c r="Y283" s="27">
        <v>43298</v>
      </c>
      <c r="Z283" s="63">
        <v>3172400</v>
      </c>
      <c r="AA283" s="17"/>
      <c r="AB283" s="17">
        <v>984</v>
      </c>
      <c r="AC283" s="30">
        <v>43299</v>
      </c>
      <c r="AD283" s="19">
        <v>3172400</v>
      </c>
      <c r="AE283" s="19">
        <f t="shared" si="18"/>
        <v>0</v>
      </c>
      <c r="AF283" s="14">
        <v>2518</v>
      </c>
      <c r="AG283" s="30">
        <v>43300</v>
      </c>
      <c r="AH283" s="19">
        <v>3172400</v>
      </c>
      <c r="AI283" s="1" t="s">
        <v>639</v>
      </c>
      <c r="AJ283" s="1">
        <v>226</v>
      </c>
      <c r="AK283" s="19">
        <f t="shared" si="22"/>
        <v>0</v>
      </c>
      <c r="AL283" s="19"/>
      <c r="AM283" s="19">
        <f t="shared" si="23"/>
        <v>3172400</v>
      </c>
      <c r="AN283" s="14"/>
      <c r="AO283" s="21">
        <f t="shared" si="24"/>
        <v>0</v>
      </c>
      <c r="AP283" s="14"/>
      <c r="AQ283" s="14"/>
      <c r="AR283" s="14"/>
      <c r="AS283" s="14"/>
      <c r="AT283" s="14"/>
      <c r="AU283" s="211"/>
    </row>
    <row r="284" spans="1:47" ht="409.5" x14ac:dyDescent="0.2">
      <c r="A284" s="1">
        <f t="shared" si="19"/>
        <v>142</v>
      </c>
      <c r="B284" s="2" t="str">
        <f t="shared" si="20"/>
        <v>208-142</v>
      </c>
      <c r="C284" s="3" t="s">
        <v>484</v>
      </c>
      <c r="D284" s="4" t="s">
        <v>485</v>
      </c>
      <c r="E284" s="5" t="s">
        <v>486</v>
      </c>
      <c r="F284" s="7" t="s">
        <v>511</v>
      </c>
      <c r="G284" s="22" t="s">
        <v>512</v>
      </c>
      <c r="H284" s="7" t="s">
        <v>513</v>
      </c>
      <c r="I284" s="7" t="s">
        <v>54</v>
      </c>
      <c r="J284" s="7" t="s">
        <v>55</v>
      </c>
      <c r="K284" s="1">
        <v>801116</v>
      </c>
      <c r="L284" s="7" t="s">
        <v>492</v>
      </c>
      <c r="M284" s="7" t="s">
        <v>493</v>
      </c>
      <c r="N284" s="7" t="s">
        <v>494</v>
      </c>
      <c r="O284" s="7" t="s">
        <v>504</v>
      </c>
      <c r="P284" s="23" t="s">
        <v>640</v>
      </c>
      <c r="Q284" s="62">
        <f t="shared" si="21"/>
        <v>1066050</v>
      </c>
      <c r="R284" s="24">
        <v>1</v>
      </c>
      <c r="S284" s="63">
        <v>5330250</v>
      </c>
      <c r="T284" s="11" t="s">
        <v>528</v>
      </c>
      <c r="U284" s="26" t="s">
        <v>58</v>
      </c>
      <c r="V284" s="26" t="s">
        <v>632</v>
      </c>
      <c r="W284" s="33">
        <v>5</v>
      </c>
      <c r="X284" s="14">
        <v>140</v>
      </c>
      <c r="Y284" s="27">
        <v>43298</v>
      </c>
      <c r="Z284" s="63">
        <v>5330250</v>
      </c>
      <c r="AA284" s="17"/>
      <c r="AB284" s="17">
        <v>987</v>
      </c>
      <c r="AC284" s="31">
        <v>43299</v>
      </c>
      <c r="AD284" s="63">
        <v>5330250</v>
      </c>
      <c r="AE284" s="19">
        <f t="shared" si="18"/>
        <v>0</v>
      </c>
      <c r="AF284" s="14"/>
      <c r="AG284" s="20"/>
      <c r="AH284" s="19"/>
      <c r="AI284" s="1"/>
      <c r="AJ284" s="1"/>
      <c r="AK284" s="19">
        <f t="shared" si="22"/>
        <v>5330250</v>
      </c>
      <c r="AL284" s="19"/>
      <c r="AM284" s="19">
        <f t="shared" si="23"/>
        <v>0</v>
      </c>
      <c r="AN284" s="14"/>
      <c r="AO284" s="21">
        <f t="shared" si="24"/>
        <v>5330250</v>
      </c>
      <c r="AP284" s="14"/>
      <c r="AQ284" s="14"/>
      <c r="AR284" s="14"/>
      <c r="AS284" s="14"/>
      <c r="AT284" s="14"/>
      <c r="AU284" s="211"/>
    </row>
    <row r="285" spans="1:47" ht="409.5" x14ac:dyDescent="0.2">
      <c r="A285" s="1">
        <f t="shared" si="19"/>
        <v>143</v>
      </c>
      <c r="B285" s="2" t="str">
        <f t="shared" si="20"/>
        <v>208-143</v>
      </c>
      <c r="C285" s="3" t="s">
        <v>484</v>
      </c>
      <c r="D285" s="4" t="s">
        <v>485</v>
      </c>
      <c r="E285" s="22" t="s">
        <v>499</v>
      </c>
      <c r="F285" s="7" t="s">
        <v>511</v>
      </c>
      <c r="G285" s="22" t="s">
        <v>512</v>
      </c>
      <c r="H285" s="7" t="s">
        <v>513</v>
      </c>
      <c r="I285" s="7" t="s">
        <v>54</v>
      </c>
      <c r="J285" s="7" t="s">
        <v>55</v>
      </c>
      <c r="K285" s="1">
        <v>801116</v>
      </c>
      <c r="L285" s="7" t="s">
        <v>492</v>
      </c>
      <c r="M285" s="7" t="s">
        <v>493</v>
      </c>
      <c r="N285" s="7" t="s">
        <v>494</v>
      </c>
      <c r="O285" s="7" t="s">
        <v>504</v>
      </c>
      <c r="P285" s="23" t="s">
        <v>640</v>
      </c>
      <c r="Q285" s="62">
        <f t="shared" si="21"/>
        <v>2487450</v>
      </c>
      <c r="R285" s="24">
        <v>1</v>
      </c>
      <c r="S285" s="63">
        <v>12437250</v>
      </c>
      <c r="T285" s="11" t="s">
        <v>528</v>
      </c>
      <c r="U285" s="26" t="s">
        <v>58</v>
      </c>
      <c r="V285" s="26" t="s">
        <v>632</v>
      </c>
      <c r="W285" s="33">
        <v>5</v>
      </c>
      <c r="X285" s="14">
        <v>141</v>
      </c>
      <c r="Y285" s="27">
        <v>43298</v>
      </c>
      <c r="Z285" s="63">
        <v>12437250</v>
      </c>
      <c r="AA285" s="17"/>
      <c r="AB285" s="17">
        <v>987</v>
      </c>
      <c r="AC285" s="30">
        <v>43299</v>
      </c>
      <c r="AD285" s="63">
        <v>12437250</v>
      </c>
      <c r="AE285" s="19">
        <f t="shared" si="18"/>
        <v>0</v>
      </c>
      <c r="AF285" s="14"/>
      <c r="AG285" s="20"/>
      <c r="AH285" s="19"/>
      <c r="AI285" s="1"/>
      <c r="AJ285" s="1"/>
      <c r="AK285" s="19">
        <f t="shared" si="22"/>
        <v>12437250</v>
      </c>
      <c r="AL285" s="19"/>
      <c r="AM285" s="19">
        <f t="shared" si="23"/>
        <v>0</v>
      </c>
      <c r="AN285" s="14"/>
      <c r="AO285" s="21">
        <f t="shared" si="24"/>
        <v>12437250</v>
      </c>
      <c r="AP285" s="14"/>
      <c r="AQ285" s="14"/>
      <c r="AR285" s="14"/>
      <c r="AS285" s="14"/>
      <c r="AT285" s="14"/>
      <c r="AU285" s="211"/>
    </row>
    <row r="286" spans="1:47" ht="344.25" x14ac:dyDescent="0.2">
      <c r="A286" s="1">
        <f t="shared" si="19"/>
        <v>144</v>
      </c>
      <c r="B286" s="2" t="str">
        <f t="shared" si="20"/>
        <v>208-144</v>
      </c>
      <c r="C286" s="3" t="s">
        <v>484</v>
      </c>
      <c r="D286" s="4" t="s">
        <v>485</v>
      </c>
      <c r="E286" s="5" t="s">
        <v>486</v>
      </c>
      <c r="F286" s="7" t="s">
        <v>511</v>
      </c>
      <c r="G286" s="22" t="s">
        <v>512</v>
      </c>
      <c r="H286" s="7" t="s">
        <v>513</v>
      </c>
      <c r="I286" s="7" t="s">
        <v>54</v>
      </c>
      <c r="J286" s="7" t="s">
        <v>55</v>
      </c>
      <c r="K286" s="1">
        <v>801116</v>
      </c>
      <c r="L286" s="7" t="s">
        <v>492</v>
      </c>
      <c r="M286" s="7" t="s">
        <v>493</v>
      </c>
      <c r="N286" s="7" t="s">
        <v>494</v>
      </c>
      <c r="O286" s="7" t="s">
        <v>504</v>
      </c>
      <c r="P286" s="23" t="s">
        <v>577</v>
      </c>
      <c r="Q286" s="62">
        <f t="shared" si="21"/>
        <v>1066050</v>
      </c>
      <c r="R286" s="24">
        <v>1</v>
      </c>
      <c r="S286" s="63">
        <v>5330250</v>
      </c>
      <c r="T286" s="11" t="s">
        <v>528</v>
      </c>
      <c r="U286" s="26" t="s">
        <v>58</v>
      </c>
      <c r="V286" s="26" t="s">
        <v>632</v>
      </c>
      <c r="W286" s="33">
        <v>5</v>
      </c>
      <c r="X286" s="14">
        <v>142</v>
      </c>
      <c r="Y286" s="27">
        <v>43298</v>
      </c>
      <c r="Z286" s="63">
        <v>5330250</v>
      </c>
      <c r="AA286" s="17"/>
      <c r="AB286" s="17">
        <v>986</v>
      </c>
      <c r="AC286" s="30">
        <v>43299</v>
      </c>
      <c r="AD286" s="19">
        <v>5329500</v>
      </c>
      <c r="AE286" s="19">
        <f t="shared" si="18"/>
        <v>750</v>
      </c>
      <c r="AF286" s="14"/>
      <c r="AG286" s="20"/>
      <c r="AH286" s="19"/>
      <c r="AI286" s="1"/>
      <c r="AJ286" s="1"/>
      <c r="AK286" s="19">
        <f t="shared" si="22"/>
        <v>5329500</v>
      </c>
      <c r="AL286" s="19"/>
      <c r="AM286" s="19">
        <f t="shared" si="23"/>
        <v>0</v>
      </c>
      <c r="AN286" s="14"/>
      <c r="AO286" s="21">
        <f t="shared" si="24"/>
        <v>5330250</v>
      </c>
      <c r="AP286" s="14"/>
      <c r="AQ286" s="14"/>
      <c r="AR286" s="14"/>
      <c r="AS286" s="14"/>
      <c r="AT286" s="14"/>
      <c r="AU286" s="211"/>
    </row>
    <row r="287" spans="1:47" ht="331.5" x14ac:dyDescent="0.2">
      <c r="A287" s="1">
        <f t="shared" si="19"/>
        <v>145</v>
      </c>
      <c r="B287" s="2" t="str">
        <f t="shared" si="20"/>
        <v>208-145</v>
      </c>
      <c r="C287" s="3" t="s">
        <v>484</v>
      </c>
      <c r="D287" s="4" t="s">
        <v>485</v>
      </c>
      <c r="E287" s="22" t="s">
        <v>499</v>
      </c>
      <c r="F287" s="7" t="s">
        <v>511</v>
      </c>
      <c r="G287" s="22" t="s">
        <v>512</v>
      </c>
      <c r="H287" s="7" t="s">
        <v>513</v>
      </c>
      <c r="I287" s="7" t="s">
        <v>54</v>
      </c>
      <c r="J287" s="7" t="s">
        <v>55</v>
      </c>
      <c r="K287" s="1">
        <v>801116</v>
      </c>
      <c r="L287" s="7" t="s">
        <v>492</v>
      </c>
      <c r="M287" s="7" t="s">
        <v>493</v>
      </c>
      <c r="N287" s="7" t="s">
        <v>494</v>
      </c>
      <c r="O287" s="7" t="s">
        <v>504</v>
      </c>
      <c r="P287" s="23" t="s">
        <v>577</v>
      </c>
      <c r="Q287" s="62">
        <f t="shared" si="21"/>
        <v>2487100</v>
      </c>
      <c r="R287" s="24">
        <v>1</v>
      </c>
      <c r="S287" s="63">
        <v>12435500</v>
      </c>
      <c r="T287" s="11" t="s">
        <v>528</v>
      </c>
      <c r="U287" s="26" t="s">
        <v>58</v>
      </c>
      <c r="V287" s="26" t="s">
        <v>632</v>
      </c>
      <c r="W287" s="33">
        <v>5</v>
      </c>
      <c r="X287" s="14">
        <v>143</v>
      </c>
      <c r="Y287" s="27">
        <v>43298</v>
      </c>
      <c r="Z287" s="63">
        <v>12435500</v>
      </c>
      <c r="AA287" s="17"/>
      <c r="AB287" s="17">
        <v>986</v>
      </c>
      <c r="AC287" s="30">
        <v>43299</v>
      </c>
      <c r="AD287" s="19">
        <v>12435500</v>
      </c>
      <c r="AE287" s="19">
        <f t="shared" si="18"/>
        <v>0</v>
      </c>
      <c r="AF287" s="14"/>
      <c r="AG287" s="20"/>
      <c r="AH287" s="19"/>
      <c r="AI287" s="1"/>
      <c r="AJ287" s="1"/>
      <c r="AK287" s="19">
        <f t="shared" si="22"/>
        <v>12435500</v>
      </c>
      <c r="AL287" s="19"/>
      <c r="AM287" s="19">
        <f t="shared" si="23"/>
        <v>0</v>
      </c>
      <c r="AN287" s="14"/>
      <c r="AO287" s="21">
        <f t="shared" si="24"/>
        <v>12435500</v>
      </c>
      <c r="AP287" s="14"/>
      <c r="AQ287" s="14"/>
      <c r="AR287" s="14"/>
      <c r="AS287" s="14"/>
      <c r="AT287" s="14"/>
      <c r="AU287" s="211"/>
    </row>
    <row r="288" spans="1:47" ht="395.25" x14ac:dyDescent="0.2">
      <c r="A288" s="1">
        <f t="shared" si="19"/>
        <v>146</v>
      </c>
      <c r="B288" s="2" t="str">
        <f t="shared" si="20"/>
        <v>208-146</v>
      </c>
      <c r="C288" s="3" t="s">
        <v>484</v>
      </c>
      <c r="D288" s="4" t="s">
        <v>485</v>
      </c>
      <c r="E288" s="5" t="s">
        <v>486</v>
      </c>
      <c r="F288" s="7" t="s">
        <v>511</v>
      </c>
      <c r="G288" s="22" t="s">
        <v>512</v>
      </c>
      <c r="H288" s="7" t="s">
        <v>513</v>
      </c>
      <c r="I288" s="7" t="s">
        <v>54</v>
      </c>
      <c r="J288" s="7" t="s">
        <v>55</v>
      </c>
      <c r="K288" s="1">
        <v>801116</v>
      </c>
      <c r="L288" s="7" t="s">
        <v>492</v>
      </c>
      <c r="M288" s="7" t="s">
        <v>493</v>
      </c>
      <c r="N288" s="7" t="s">
        <v>494</v>
      </c>
      <c r="O288" s="7" t="s">
        <v>504</v>
      </c>
      <c r="P288" s="23" t="s">
        <v>555</v>
      </c>
      <c r="Q288" s="62">
        <f t="shared" si="21"/>
        <v>463500</v>
      </c>
      <c r="R288" s="24">
        <v>1</v>
      </c>
      <c r="S288" s="63">
        <v>2317500</v>
      </c>
      <c r="T288" s="11" t="s">
        <v>528</v>
      </c>
      <c r="U288" s="26" t="s">
        <v>58</v>
      </c>
      <c r="V288" s="26" t="s">
        <v>632</v>
      </c>
      <c r="W288" s="33">
        <v>5</v>
      </c>
      <c r="X288" s="14">
        <v>144</v>
      </c>
      <c r="Y288" s="27">
        <v>43298</v>
      </c>
      <c r="Z288" s="63">
        <v>2317500</v>
      </c>
      <c r="AA288" s="17"/>
      <c r="AB288" s="17">
        <v>989</v>
      </c>
      <c r="AC288" s="31">
        <v>43299</v>
      </c>
      <c r="AD288" s="19">
        <v>2317500</v>
      </c>
      <c r="AE288" s="19">
        <f t="shared" si="18"/>
        <v>0</v>
      </c>
      <c r="AF288" s="14"/>
      <c r="AG288" s="20"/>
      <c r="AH288" s="19"/>
      <c r="AI288" s="1"/>
      <c r="AJ288" s="1"/>
      <c r="AK288" s="19">
        <f t="shared" si="22"/>
        <v>2317500</v>
      </c>
      <c r="AL288" s="19"/>
      <c r="AM288" s="19">
        <f t="shared" si="23"/>
        <v>0</v>
      </c>
      <c r="AN288" s="14"/>
      <c r="AO288" s="21">
        <f t="shared" si="24"/>
        <v>2317500</v>
      </c>
      <c r="AP288" s="14"/>
      <c r="AQ288" s="14"/>
      <c r="AR288" s="14"/>
      <c r="AS288" s="14"/>
      <c r="AT288" s="14"/>
      <c r="AU288" s="211"/>
    </row>
    <row r="289" spans="1:48" ht="395.25" x14ac:dyDescent="0.2">
      <c r="A289" s="1">
        <f t="shared" si="19"/>
        <v>147</v>
      </c>
      <c r="B289" s="2" t="str">
        <f t="shared" si="20"/>
        <v>208-147</v>
      </c>
      <c r="C289" s="3" t="s">
        <v>484</v>
      </c>
      <c r="D289" s="4" t="s">
        <v>485</v>
      </c>
      <c r="E289" s="22" t="s">
        <v>499</v>
      </c>
      <c r="F289" s="7" t="s">
        <v>511</v>
      </c>
      <c r="G289" s="22" t="s">
        <v>512</v>
      </c>
      <c r="H289" s="7" t="s">
        <v>513</v>
      </c>
      <c r="I289" s="7" t="s">
        <v>54</v>
      </c>
      <c r="J289" s="7" t="s">
        <v>55</v>
      </c>
      <c r="K289" s="1">
        <v>801116</v>
      </c>
      <c r="L289" s="7" t="s">
        <v>492</v>
      </c>
      <c r="M289" s="7" t="s">
        <v>493</v>
      </c>
      <c r="N289" s="7" t="s">
        <v>494</v>
      </c>
      <c r="O289" s="7" t="s">
        <v>504</v>
      </c>
      <c r="P289" s="23" t="s">
        <v>555</v>
      </c>
      <c r="Q289" s="62">
        <f t="shared" si="21"/>
        <v>1081500</v>
      </c>
      <c r="R289" s="24">
        <v>1</v>
      </c>
      <c r="S289" s="63">
        <v>5407500</v>
      </c>
      <c r="T289" s="11" t="s">
        <v>528</v>
      </c>
      <c r="U289" s="26" t="s">
        <v>58</v>
      </c>
      <c r="V289" s="26" t="s">
        <v>632</v>
      </c>
      <c r="W289" s="33">
        <v>5</v>
      </c>
      <c r="X289" s="14">
        <v>145</v>
      </c>
      <c r="Y289" s="27">
        <v>43298</v>
      </c>
      <c r="Z289" s="63">
        <v>5407500</v>
      </c>
      <c r="AA289" s="17"/>
      <c r="AB289" s="17">
        <v>989</v>
      </c>
      <c r="AC289" s="31">
        <v>43299</v>
      </c>
      <c r="AD289" s="19">
        <v>5407500</v>
      </c>
      <c r="AE289" s="19">
        <f t="shared" si="18"/>
        <v>0</v>
      </c>
      <c r="AF289" s="14"/>
      <c r="AG289" s="20"/>
      <c r="AH289" s="19"/>
      <c r="AI289" s="1"/>
      <c r="AJ289" s="1"/>
      <c r="AK289" s="19">
        <f t="shared" si="22"/>
        <v>5407500</v>
      </c>
      <c r="AL289" s="19"/>
      <c r="AM289" s="19">
        <f t="shared" si="23"/>
        <v>0</v>
      </c>
      <c r="AN289" s="14"/>
      <c r="AO289" s="21">
        <f t="shared" si="24"/>
        <v>5407500</v>
      </c>
      <c r="AP289" s="14"/>
      <c r="AQ289" s="14"/>
      <c r="AR289" s="14"/>
      <c r="AS289" s="14"/>
      <c r="AT289" s="14"/>
      <c r="AU289" s="211"/>
    </row>
    <row r="290" spans="1:48" ht="344.25" x14ac:dyDescent="0.2">
      <c r="A290" s="1">
        <f t="shared" si="19"/>
        <v>148</v>
      </c>
      <c r="B290" s="2" t="str">
        <f t="shared" si="20"/>
        <v>208-148</v>
      </c>
      <c r="C290" s="3" t="s">
        <v>484</v>
      </c>
      <c r="D290" s="4" t="s">
        <v>485</v>
      </c>
      <c r="E290" s="5" t="s">
        <v>486</v>
      </c>
      <c r="F290" s="7" t="s">
        <v>511</v>
      </c>
      <c r="G290" s="22" t="s">
        <v>512</v>
      </c>
      <c r="H290" s="7" t="s">
        <v>513</v>
      </c>
      <c r="I290" s="7" t="s">
        <v>54</v>
      </c>
      <c r="J290" s="7" t="s">
        <v>55</v>
      </c>
      <c r="K290" s="1">
        <v>801116</v>
      </c>
      <c r="L290" s="7" t="s">
        <v>492</v>
      </c>
      <c r="M290" s="7" t="s">
        <v>493</v>
      </c>
      <c r="N290" s="7" t="s">
        <v>494</v>
      </c>
      <c r="O290" s="7" t="s">
        <v>504</v>
      </c>
      <c r="P290" s="23" t="s">
        <v>641</v>
      </c>
      <c r="Q290" s="62">
        <f t="shared" si="21"/>
        <v>1854000</v>
      </c>
      <c r="R290" s="24">
        <v>1</v>
      </c>
      <c r="S290" s="63">
        <v>9270000</v>
      </c>
      <c r="T290" s="11" t="s">
        <v>528</v>
      </c>
      <c r="U290" s="26" t="s">
        <v>58</v>
      </c>
      <c r="V290" s="26" t="s">
        <v>510</v>
      </c>
      <c r="W290" s="33">
        <v>5</v>
      </c>
      <c r="X290" s="14">
        <v>146</v>
      </c>
      <c r="Y290" s="27">
        <v>43306</v>
      </c>
      <c r="Z290" s="63">
        <v>9270000</v>
      </c>
      <c r="AA290" s="17"/>
      <c r="AB290" s="17">
        <v>1004</v>
      </c>
      <c r="AC290" s="31">
        <v>43308</v>
      </c>
      <c r="AD290" s="63">
        <v>9270000</v>
      </c>
      <c r="AE290" s="19">
        <f t="shared" si="18"/>
        <v>0</v>
      </c>
      <c r="AF290" s="14"/>
      <c r="AG290" s="20"/>
      <c r="AH290" s="19"/>
      <c r="AI290" s="1"/>
      <c r="AJ290" s="1"/>
      <c r="AK290" s="19">
        <f t="shared" si="22"/>
        <v>9270000</v>
      </c>
      <c r="AL290" s="19"/>
      <c r="AM290" s="19">
        <f t="shared" si="23"/>
        <v>0</v>
      </c>
      <c r="AN290" s="14"/>
      <c r="AO290" s="21">
        <f t="shared" si="24"/>
        <v>9270000</v>
      </c>
      <c r="AP290" s="14"/>
      <c r="AQ290" s="14"/>
      <c r="AR290" s="14"/>
      <c r="AS290" s="14"/>
      <c r="AT290" s="14"/>
      <c r="AU290" s="211"/>
    </row>
    <row r="291" spans="1:48" ht="331.5" x14ac:dyDescent="0.2">
      <c r="A291" s="1">
        <f t="shared" si="19"/>
        <v>149</v>
      </c>
      <c r="B291" s="2" t="str">
        <f t="shared" si="20"/>
        <v>208-149</v>
      </c>
      <c r="C291" s="3" t="s">
        <v>484</v>
      </c>
      <c r="D291" s="4" t="s">
        <v>485</v>
      </c>
      <c r="E291" s="22" t="s">
        <v>499</v>
      </c>
      <c r="F291" s="7" t="s">
        <v>511</v>
      </c>
      <c r="G291" s="22" t="s">
        <v>512</v>
      </c>
      <c r="H291" s="7" t="s">
        <v>513</v>
      </c>
      <c r="I291" s="7" t="s">
        <v>54</v>
      </c>
      <c r="J291" s="7" t="s">
        <v>55</v>
      </c>
      <c r="K291" s="1">
        <v>801116</v>
      </c>
      <c r="L291" s="7" t="s">
        <v>492</v>
      </c>
      <c r="M291" s="7" t="s">
        <v>493</v>
      </c>
      <c r="N291" s="7" t="s">
        <v>494</v>
      </c>
      <c r="O291" s="7" t="s">
        <v>504</v>
      </c>
      <c r="P291" s="23" t="s">
        <v>641</v>
      </c>
      <c r="Q291" s="62">
        <f t="shared" si="21"/>
        <v>4326000</v>
      </c>
      <c r="R291" s="24">
        <v>1</v>
      </c>
      <c r="S291" s="63">
        <v>21630000</v>
      </c>
      <c r="T291" s="11" t="s">
        <v>528</v>
      </c>
      <c r="U291" s="26" t="s">
        <v>58</v>
      </c>
      <c r="V291" s="26" t="s">
        <v>510</v>
      </c>
      <c r="W291" s="33">
        <v>5</v>
      </c>
      <c r="X291" s="14">
        <v>147</v>
      </c>
      <c r="Y291" s="27">
        <v>43306</v>
      </c>
      <c r="Z291" s="63">
        <v>21630000</v>
      </c>
      <c r="AA291" s="17"/>
      <c r="AB291" s="17">
        <v>1004</v>
      </c>
      <c r="AC291" s="31">
        <v>43308</v>
      </c>
      <c r="AD291" s="63">
        <v>21630000</v>
      </c>
      <c r="AE291" s="19">
        <f t="shared" si="18"/>
        <v>0</v>
      </c>
      <c r="AF291" s="14"/>
      <c r="AG291" s="20"/>
      <c r="AH291" s="19"/>
      <c r="AI291" s="1"/>
      <c r="AJ291" s="1"/>
      <c r="AK291" s="19">
        <f t="shared" si="22"/>
        <v>21630000</v>
      </c>
      <c r="AL291" s="19"/>
      <c r="AM291" s="19">
        <f t="shared" si="23"/>
        <v>0</v>
      </c>
      <c r="AN291" s="14"/>
      <c r="AO291" s="21">
        <f t="shared" si="24"/>
        <v>21630000</v>
      </c>
      <c r="AP291" s="14"/>
      <c r="AQ291" s="14"/>
      <c r="AR291" s="14"/>
      <c r="AS291" s="14"/>
      <c r="AT291" s="14"/>
      <c r="AU291" s="211"/>
    </row>
    <row r="292" spans="1:48" ht="332.25" thickBot="1" x14ac:dyDescent="0.25">
      <c r="A292" s="1">
        <f t="shared" si="19"/>
        <v>150</v>
      </c>
      <c r="B292" s="2" t="str">
        <f t="shared" si="20"/>
        <v>208-150</v>
      </c>
      <c r="C292" s="3" t="s">
        <v>484</v>
      </c>
      <c r="D292" s="4" t="s">
        <v>485</v>
      </c>
      <c r="E292" s="22" t="s">
        <v>499</v>
      </c>
      <c r="F292" s="7" t="s">
        <v>487</v>
      </c>
      <c r="G292" s="22" t="s">
        <v>488</v>
      </c>
      <c r="H292" s="7" t="s">
        <v>489</v>
      </c>
      <c r="I292" s="7" t="s">
        <v>54</v>
      </c>
      <c r="J292" s="7" t="s">
        <v>55</v>
      </c>
      <c r="K292" s="8"/>
      <c r="L292" s="7" t="s">
        <v>492</v>
      </c>
      <c r="M292" s="7" t="s">
        <v>493</v>
      </c>
      <c r="N292" s="7" t="s">
        <v>494</v>
      </c>
      <c r="O292" s="7" t="s">
        <v>495</v>
      </c>
      <c r="P292" s="23" t="s">
        <v>642</v>
      </c>
      <c r="Q292" s="62">
        <f t="shared" si="21"/>
        <v>625000</v>
      </c>
      <c r="R292" s="24">
        <v>1</v>
      </c>
      <c r="S292" s="63">
        <v>2500000</v>
      </c>
      <c r="T292" s="11" t="s">
        <v>626</v>
      </c>
      <c r="U292" s="2" t="s">
        <v>497</v>
      </c>
      <c r="V292" s="12" t="s">
        <v>510</v>
      </c>
      <c r="W292" s="25">
        <v>4</v>
      </c>
      <c r="X292" s="14">
        <v>148</v>
      </c>
      <c r="Y292" s="27">
        <v>43312</v>
      </c>
      <c r="Z292" s="63">
        <v>2500000</v>
      </c>
      <c r="AA292" s="17"/>
      <c r="AB292" s="17">
        <v>1016</v>
      </c>
      <c r="AC292" s="31">
        <v>43312</v>
      </c>
      <c r="AD292" s="63">
        <v>2500000</v>
      </c>
      <c r="AE292" s="19">
        <f t="shared" si="18"/>
        <v>0</v>
      </c>
      <c r="AF292" s="14"/>
      <c r="AG292" s="20"/>
      <c r="AH292" s="19"/>
      <c r="AI292" s="1"/>
      <c r="AJ292" s="1"/>
      <c r="AK292" s="19">
        <f t="shared" si="22"/>
        <v>2500000</v>
      </c>
      <c r="AL292" s="19"/>
      <c r="AM292" s="19">
        <f t="shared" si="23"/>
        <v>0</v>
      </c>
      <c r="AN292" s="14"/>
      <c r="AO292" s="21">
        <f t="shared" si="24"/>
        <v>2500000</v>
      </c>
      <c r="AP292" s="14"/>
      <c r="AQ292" s="14"/>
      <c r="AR292" s="14"/>
      <c r="AS292" s="14"/>
      <c r="AT292" s="14"/>
      <c r="AU292" s="211"/>
    </row>
    <row r="293" spans="1:48" ht="320.25" thickTop="1" thickBot="1" x14ac:dyDescent="0.25">
      <c r="A293" s="215">
        <v>1</v>
      </c>
      <c r="B293" s="216" t="s">
        <v>1600</v>
      </c>
      <c r="C293" s="69" t="s">
        <v>1601</v>
      </c>
      <c r="D293" s="69" t="s">
        <v>485</v>
      </c>
      <c r="E293" s="69" t="s">
        <v>1602</v>
      </c>
      <c r="F293" s="69" t="s">
        <v>511</v>
      </c>
      <c r="G293" s="69" t="s">
        <v>512</v>
      </c>
      <c r="H293" s="85" t="s">
        <v>513</v>
      </c>
      <c r="I293" s="69" t="s">
        <v>54</v>
      </c>
      <c r="J293" s="69" t="s">
        <v>55</v>
      </c>
      <c r="K293" s="69">
        <v>801116</v>
      </c>
      <c r="L293" s="69" t="s">
        <v>1603</v>
      </c>
      <c r="M293" s="69" t="s">
        <v>1604</v>
      </c>
      <c r="N293" s="69" t="s">
        <v>1605</v>
      </c>
      <c r="O293" s="69" t="s">
        <v>1606</v>
      </c>
      <c r="P293" s="85" t="s">
        <v>1607</v>
      </c>
      <c r="Q293" s="217">
        <v>10021818.181818182</v>
      </c>
      <c r="R293" s="69">
        <v>1</v>
      </c>
      <c r="S293" s="218">
        <v>110240000</v>
      </c>
      <c r="T293" s="87" t="s">
        <v>1608</v>
      </c>
      <c r="U293" s="69" t="s">
        <v>58</v>
      </c>
      <c r="V293" s="219">
        <v>43115</v>
      </c>
      <c r="W293" s="69">
        <v>11</v>
      </c>
      <c r="X293" s="69"/>
      <c r="Y293" s="219"/>
      <c r="Z293" s="220"/>
      <c r="AA293" s="220"/>
      <c r="AB293" s="69"/>
      <c r="AC293" s="69"/>
      <c r="AD293" s="69"/>
      <c r="AE293" s="69"/>
      <c r="AF293" s="69"/>
      <c r="AG293" s="69"/>
      <c r="AH293" s="94">
        <v>52862617.642227605</v>
      </c>
      <c r="AI293" s="107" t="s">
        <v>1376</v>
      </c>
      <c r="AJ293" s="69"/>
      <c r="AK293" s="69"/>
      <c r="AL293" s="69"/>
      <c r="AM293" s="94">
        <v>51794057.137004897</v>
      </c>
      <c r="AN293" s="94">
        <v>7319864</v>
      </c>
      <c r="AO293" s="69"/>
      <c r="AP293" s="69"/>
      <c r="AQ293" s="69"/>
      <c r="AR293" s="69"/>
      <c r="AS293" s="69"/>
      <c r="AT293" s="69"/>
      <c r="AU293" s="69"/>
      <c r="AV293" s="86"/>
    </row>
    <row r="294" spans="1:48" ht="243.75" thickTop="1" thickBot="1" x14ac:dyDescent="0.25">
      <c r="A294" s="215">
        <v>2</v>
      </c>
      <c r="B294" s="216" t="s">
        <v>1609</v>
      </c>
      <c r="C294" s="69" t="s">
        <v>1601</v>
      </c>
      <c r="D294" s="1" t="s">
        <v>485</v>
      </c>
      <c r="E294" s="69" t="s">
        <v>1610</v>
      </c>
      <c r="F294" s="1" t="s">
        <v>511</v>
      </c>
      <c r="G294" s="1" t="s">
        <v>512</v>
      </c>
      <c r="H294" s="7" t="s">
        <v>513</v>
      </c>
      <c r="I294" s="1" t="s">
        <v>54</v>
      </c>
      <c r="J294" s="69" t="s">
        <v>55</v>
      </c>
      <c r="K294" s="69">
        <v>801116</v>
      </c>
      <c r="L294" s="69" t="s">
        <v>1603</v>
      </c>
      <c r="M294" s="69" t="s">
        <v>1604</v>
      </c>
      <c r="N294" s="69" t="s">
        <v>1605</v>
      </c>
      <c r="O294" s="69" t="s">
        <v>1606</v>
      </c>
      <c r="P294" s="85" t="s">
        <v>1607</v>
      </c>
      <c r="Q294" s="91">
        <v>5948727.2727272725</v>
      </c>
      <c r="R294" s="1">
        <v>1</v>
      </c>
      <c r="S294" s="92">
        <f>37012000-3369935+940563+104537</f>
        <v>34687165</v>
      </c>
      <c r="T294" s="88" t="s">
        <v>1608</v>
      </c>
      <c r="U294" s="1" t="s">
        <v>58</v>
      </c>
      <c r="V294" s="31">
        <v>43115</v>
      </c>
      <c r="W294" s="1">
        <v>11</v>
      </c>
      <c r="X294" s="1"/>
      <c r="Y294" s="31"/>
      <c r="Z294" s="107"/>
      <c r="AA294" s="107"/>
      <c r="AB294" s="1"/>
      <c r="AC294" s="1"/>
      <c r="AD294" s="1"/>
      <c r="AE294" s="1"/>
      <c r="AF294" s="1"/>
      <c r="AG294" s="1"/>
      <c r="AH294" s="94">
        <v>16633294.090056781</v>
      </c>
      <c r="AI294" s="107" t="s">
        <v>1376</v>
      </c>
      <c r="AJ294" s="1"/>
      <c r="AK294" s="1"/>
      <c r="AL294" s="1"/>
      <c r="AM294" s="94">
        <v>16297070.082825799</v>
      </c>
      <c r="AN294" s="1"/>
      <c r="AO294" s="1"/>
      <c r="AP294" s="1"/>
      <c r="AQ294" s="1"/>
      <c r="AR294" s="1"/>
      <c r="AS294" s="1"/>
      <c r="AT294" s="1"/>
      <c r="AU294" s="1"/>
      <c r="AV294" s="49"/>
    </row>
    <row r="295" spans="1:48" ht="384" thickTop="1" thickBot="1" x14ac:dyDescent="0.25">
      <c r="A295" s="215">
        <v>3</v>
      </c>
      <c r="B295" s="216" t="s">
        <v>1611</v>
      </c>
      <c r="C295" s="69" t="s">
        <v>1601</v>
      </c>
      <c r="D295" s="1" t="s">
        <v>485</v>
      </c>
      <c r="E295" s="69" t="s">
        <v>1612</v>
      </c>
      <c r="F295" s="1" t="s">
        <v>511</v>
      </c>
      <c r="G295" s="1" t="s">
        <v>512</v>
      </c>
      <c r="H295" s="7" t="s">
        <v>513</v>
      </c>
      <c r="I295" s="1" t="s">
        <v>54</v>
      </c>
      <c r="J295" s="69" t="s">
        <v>55</v>
      </c>
      <c r="K295" s="69">
        <v>801116</v>
      </c>
      <c r="L295" s="69" t="s">
        <v>1603</v>
      </c>
      <c r="M295" s="69" t="s">
        <v>1604</v>
      </c>
      <c r="N295" s="69" t="s">
        <v>1605</v>
      </c>
      <c r="O295" s="69" t="s">
        <v>1606</v>
      </c>
      <c r="P295" s="85" t="s">
        <v>1607</v>
      </c>
      <c r="Q295" s="91">
        <v>55476363.636363633</v>
      </c>
      <c r="R295" s="1">
        <v>1</v>
      </c>
      <c r="S295" s="92">
        <v>610240000</v>
      </c>
      <c r="T295" s="88" t="s">
        <v>1608</v>
      </c>
      <c r="U295" s="1" t="s">
        <v>58</v>
      </c>
      <c r="V295" s="31">
        <v>43115</v>
      </c>
      <c r="W295" s="1">
        <v>11</v>
      </c>
      <c r="X295" s="20" t="s">
        <v>1613</v>
      </c>
      <c r="Y295" s="31">
        <v>43115</v>
      </c>
      <c r="Z295" s="107">
        <v>610240000</v>
      </c>
      <c r="AA295" s="107"/>
      <c r="AB295" s="1">
        <v>532</v>
      </c>
      <c r="AC295" s="31">
        <v>43124</v>
      </c>
      <c r="AD295" s="94">
        <v>610240000</v>
      </c>
      <c r="AE295" s="107"/>
      <c r="AF295" s="1" t="s">
        <v>1614</v>
      </c>
      <c r="AG295" s="31">
        <v>43124</v>
      </c>
      <c r="AH295" s="94">
        <v>292624127.26771563</v>
      </c>
      <c r="AI295" s="107" t="s">
        <v>1376</v>
      </c>
      <c r="AJ295" s="1">
        <v>7</v>
      </c>
      <c r="AK295" s="1"/>
      <c r="AL295" s="94">
        <v>121346798.16170163</v>
      </c>
      <c r="AM295" s="94">
        <v>286709047.78016931</v>
      </c>
      <c r="AN295" s="94"/>
      <c r="AO295" s="1"/>
      <c r="AP295" s="1"/>
      <c r="AQ295" s="1"/>
      <c r="AR295" s="31">
        <v>43115</v>
      </c>
      <c r="AS295" s="1" t="s">
        <v>1615</v>
      </c>
      <c r="AT295" s="31">
        <v>43115</v>
      </c>
      <c r="AU295" s="1" t="s">
        <v>1616</v>
      </c>
      <c r="AV295" s="51"/>
    </row>
    <row r="296" spans="1:48" ht="384" thickTop="1" thickBot="1" x14ac:dyDescent="0.25">
      <c r="A296" s="215">
        <v>4</v>
      </c>
      <c r="B296" s="216" t="s">
        <v>1617</v>
      </c>
      <c r="C296" s="69" t="s">
        <v>1601</v>
      </c>
      <c r="D296" s="1" t="s">
        <v>485</v>
      </c>
      <c r="E296" s="69" t="s">
        <v>1612</v>
      </c>
      <c r="F296" s="1" t="s">
        <v>511</v>
      </c>
      <c r="G296" s="1" t="s">
        <v>512</v>
      </c>
      <c r="H296" s="7" t="s">
        <v>513</v>
      </c>
      <c r="I296" s="1" t="s">
        <v>54</v>
      </c>
      <c r="J296" s="69" t="s">
        <v>55</v>
      </c>
      <c r="K296" s="69">
        <v>801116</v>
      </c>
      <c r="L296" s="69" t="s">
        <v>1603</v>
      </c>
      <c r="M296" s="69" t="s">
        <v>1604</v>
      </c>
      <c r="N296" s="69" t="s">
        <v>1605</v>
      </c>
      <c r="O296" s="69" t="s">
        <v>1606</v>
      </c>
      <c r="P296" s="85" t="s">
        <v>1618</v>
      </c>
      <c r="Q296" s="91">
        <v>8240000</v>
      </c>
      <c r="R296" s="1">
        <v>1</v>
      </c>
      <c r="S296" s="92">
        <v>0</v>
      </c>
      <c r="T296" s="88" t="s">
        <v>1619</v>
      </c>
      <c r="U296" s="1" t="s">
        <v>58</v>
      </c>
      <c r="V296" s="31">
        <v>43125</v>
      </c>
      <c r="W296" s="90">
        <v>11</v>
      </c>
      <c r="X296" s="221" t="s">
        <v>1620</v>
      </c>
      <c r="Y296" s="222">
        <v>43103</v>
      </c>
      <c r="Z296" s="223" t="s">
        <v>1621</v>
      </c>
      <c r="AA296" s="223" t="s">
        <v>1621</v>
      </c>
      <c r="AB296" s="223" t="s">
        <v>1621</v>
      </c>
      <c r="AC296" s="223" t="s">
        <v>1621</v>
      </c>
      <c r="AD296" s="223" t="s">
        <v>1621</v>
      </c>
      <c r="AE296" s="223" t="s">
        <v>1621</v>
      </c>
      <c r="AF296" s="1" t="s">
        <v>1621</v>
      </c>
      <c r="AG296" s="223" t="s">
        <v>1621</v>
      </c>
      <c r="AH296" s="94" t="s">
        <v>1621</v>
      </c>
      <c r="AI296" s="223" t="s">
        <v>1621</v>
      </c>
      <c r="AJ296" s="223" t="s">
        <v>1621</v>
      </c>
      <c r="AK296" s="223" t="s">
        <v>1621</v>
      </c>
      <c r="AL296" s="223"/>
      <c r="AM296" s="94"/>
      <c r="AN296" s="223" t="s">
        <v>1621</v>
      </c>
      <c r="AO296" s="223" t="s">
        <v>1621</v>
      </c>
      <c r="AP296" s="223" t="s">
        <v>1621</v>
      </c>
      <c r="AQ296" s="224" t="s">
        <v>1622</v>
      </c>
      <c r="AR296" s="222">
        <v>43102</v>
      </c>
      <c r="AS296" s="224" t="s">
        <v>1615</v>
      </c>
      <c r="AT296" s="222">
        <v>43102</v>
      </c>
      <c r="AU296" s="224" t="s">
        <v>1623</v>
      </c>
      <c r="AV296" s="89" t="s">
        <v>1621</v>
      </c>
    </row>
    <row r="297" spans="1:48" ht="409.6" thickTop="1" thickBot="1" x14ac:dyDescent="0.25">
      <c r="A297" s="215">
        <v>5</v>
      </c>
      <c r="B297" s="216" t="s">
        <v>1624</v>
      </c>
      <c r="C297" s="69" t="s">
        <v>1601</v>
      </c>
      <c r="D297" s="1" t="s">
        <v>485</v>
      </c>
      <c r="E297" s="69" t="s">
        <v>1612</v>
      </c>
      <c r="F297" s="1" t="s">
        <v>511</v>
      </c>
      <c r="G297" s="1" t="s">
        <v>512</v>
      </c>
      <c r="H297" s="7" t="s">
        <v>513</v>
      </c>
      <c r="I297" s="1" t="s">
        <v>54</v>
      </c>
      <c r="J297" s="69" t="s">
        <v>55</v>
      </c>
      <c r="K297" s="69">
        <v>801116</v>
      </c>
      <c r="L297" s="69" t="s">
        <v>1603</v>
      </c>
      <c r="M297" s="69" t="s">
        <v>1604</v>
      </c>
      <c r="N297" s="69" t="s">
        <v>1605</v>
      </c>
      <c r="O297" s="69" t="s">
        <v>1606</v>
      </c>
      <c r="P297" s="85" t="s">
        <v>1625</v>
      </c>
      <c r="Q297" s="91">
        <v>3399000</v>
      </c>
      <c r="R297" s="1">
        <v>1</v>
      </c>
      <c r="S297" s="92">
        <v>37389000</v>
      </c>
      <c r="T297" s="88" t="s">
        <v>1619</v>
      </c>
      <c r="U297" s="1" t="s">
        <v>58</v>
      </c>
      <c r="V297" s="31">
        <v>43125</v>
      </c>
      <c r="W297" s="90">
        <v>11</v>
      </c>
      <c r="X297" s="20" t="s">
        <v>1626</v>
      </c>
      <c r="Y297" s="31">
        <v>43103</v>
      </c>
      <c r="Z297" s="94">
        <v>37389000</v>
      </c>
      <c r="AA297" s="107"/>
      <c r="AB297" s="1">
        <v>153</v>
      </c>
      <c r="AC297" s="31">
        <v>43103</v>
      </c>
      <c r="AD297" s="94">
        <v>37389000</v>
      </c>
      <c r="AE297" s="107"/>
      <c r="AF297" s="1">
        <v>30</v>
      </c>
      <c r="AG297" s="31">
        <v>43116</v>
      </c>
      <c r="AH297" s="94">
        <v>37389000</v>
      </c>
      <c r="AI297" s="107" t="s">
        <v>1627</v>
      </c>
      <c r="AJ297" s="1">
        <v>18</v>
      </c>
      <c r="AK297" s="1"/>
      <c r="AL297" s="94">
        <f>AH297</f>
        <v>37389000</v>
      </c>
      <c r="AM297" s="94">
        <f>+VLOOKUP(AF297,'[1]Compromisos CRP a 31 Julio de 2'!$J$428:$V$2707,13,0)</f>
        <v>18694500</v>
      </c>
      <c r="AN297" s="94">
        <f>AL297-AM297</f>
        <v>18694500</v>
      </c>
      <c r="AO297" s="1"/>
      <c r="AP297" s="1"/>
      <c r="AQ297" s="1"/>
      <c r="AR297" s="31">
        <v>43102</v>
      </c>
      <c r="AS297" s="1" t="s">
        <v>1615</v>
      </c>
      <c r="AT297" s="31">
        <v>43102</v>
      </c>
      <c r="AU297" s="1" t="s">
        <v>1623</v>
      </c>
      <c r="AV297" s="49"/>
    </row>
    <row r="298" spans="1:48" ht="409.6" thickTop="1" thickBot="1" x14ac:dyDescent="0.25">
      <c r="A298" s="215">
        <v>6</v>
      </c>
      <c r="B298" s="216" t="s">
        <v>1628</v>
      </c>
      <c r="C298" s="69" t="s">
        <v>1601</v>
      </c>
      <c r="D298" s="1" t="s">
        <v>485</v>
      </c>
      <c r="E298" s="69" t="s">
        <v>1612</v>
      </c>
      <c r="F298" s="1" t="s">
        <v>511</v>
      </c>
      <c r="G298" s="1" t="s">
        <v>512</v>
      </c>
      <c r="H298" s="7" t="s">
        <v>513</v>
      </c>
      <c r="I298" s="1" t="s">
        <v>54</v>
      </c>
      <c r="J298" s="69" t="s">
        <v>55</v>
      </c>
      <c r="K298" s="69">
        <v>801116</v>
      </c>
      <c r="L298" s="69" t="s">
        <v>1603</v>
      </c>
      <c r="M298" s="69" t="s">
        <v>1604</v>
      </c>
      <c r="N298" s="69" t="s">
        <v>1605</v>
      </c>
      <c r="O298" s="69" t="s">
        <v>1606</v>
      </c>
      <c r="P298" s="85" t="s">
        <v>1629</v>
      </c>
      <c r="Q298" s="91">
        <v>5036700</v>
      </c>
      <c r="R298" s="1">
        <v>1</v>
      </c>
      <c r="S298" s="92">
        <v>55403700</v>
      </c>
      <c r="T298" s="88" t="s">
        <v>1619</v>
      </c>
      <c r="U298" s="1" t="s">
        <v>58</v>
      </c>
      <c r="V298" s="31">
        <v>43125</v>
      </c>
      <c r="W298" s="90">
        <v>11</v>
      </c>
      <c r="X298" s="20" t="s">
        <v>1630</v>
      </c>
      <c r="Y298" s="31">
        <v>43103</v>
      </c>
      <c r="Z298" s="94">
        <v>55403700</v>
      </c>
      <c r="AA298" s="107"/>
      <c r="AB298" s="1">
        <v>154</v>
      </c>
      <c r="AC298" s="31">
        <v>43105</v>
      </c>
      <c r="AD298" s="94">
        <v>55403700</v>
      </c>
      <c r="AE298" s="107"/>
      <c r="AF298" s="1">
        <v>29</v>
      </c>
      <c r="AG298" s="31">
        <v>43116</v>
      </c>
      <c r="AH298" s="94">
        <v>55403700</v>
      </c>
      <c r="AI298" s="107" t="s">
        <v>1631</v>
      </c>
      <c r="AJ298" s="1">
        <v>17</v>
      </c>
      <c r="AK298" s="1"/>
      <c r="AL298" s="94">
        <f t="shared" ref="AL298:AL300" si="25">AH298</f>
        <v>55403700</v>
      </c>
      <c r="AM298" s="94">
        <f>+VLOOKUP(AF298,'[1]Compromisos CRP a 31 Julio de 2'!$J$428:$V$2707,13,0)</f>
        <v>27701850</v>
      </c>
      <c r="AN298" s="94">
        <f>AL298-AM298</f>
        <v>27701850</v>
      </c>
      <c r="AO298" s="1"/>
      <c r="AP298" s="1"/>
      <c r="AQ298" s="1"/>
      <c r="AR298" s="31">
        <v>43102</v>
      </c>
      <c r="AS298" s="1" t="s">
        <v>1615</v>
      </c>
      <c r="AT298" s="31">
        <v>43102</v>
      </c>
      <c r="AU298" s="1" t="s">
        <v>1623</v>
      </c>
      <c r="AV298" s="49"/>
    </row>
    <row r="299" spans="1:48" ht="409.6" thickTop="1" thickBot="1" x14ac:dyDescent="0.25">
      <c r="A299" s="215">
        <v>7</v>
      </c>
      <c r="B299" s="216" t="s">
        <v>1632</v>
      </c>
      <c r="C299" s="69" t="s">
        <v>1601</v>
      </c>
      <c r="D299" s="1" t="s">
        <v>485</v>
      </c>
      <c r="E299" s="69" t="s">
        <v>1612</v>
      </c>
      <c r="F299" s="1" t="s">
        <v>511</v>
      </c>
      <c r="G299" s="1" t="s">
        <v>512</v>
      </c>
      <c r="H299" s="7" t="s">
        <v>513</v>
      </c>
      <c r="I299" s="1" t="s">
        <v>54</v>
      </c>
      <c r="J299" s="69" t="s">
        <v>55</v>
      </c>
      <c r="K299" s="69">
        <v>801116</v>
      </c>
      <c r="L299" s="69" t="s">
        <v>1603</v>
      </c>
      <c r="M299" s="69" t="s">
        <v>1604</v>
      </c>
      <c r="N299" s="69" t="s">
        <v>1605</v>
      </c>
      <c r="O299" s="69" t="s">
        <v>1606</v>
      </c>
      <c r="P299" s="85" t="s">
        <v>1633</v>
      </c>
      <c r="Q299" s="91">
        <v>3038500</v>
      </c>
      <c r="R299" s="1">
        <v>1</v>
      </c>
      <c r="S299" s="92">
        <v>33423500</v>
      </c>
      <c r="T299" s="88" t="s">
        <v>1634</v>
      </c>
      <c r="U299" s="1" t="s">
        <v>58</v>
      </c>
      <c r="V299" s="31">
        <v>43125</v>
      </c>
      <c r="W299" s="90">
        <v>11</v>
      </c>
      <c r="X299" s="20" t="s">
        <v>1635</v>
      </c>
      <c r="Y299" s="31">
        <v>43103</v>
      </c>
      <c r="Z299" s="94">
        <v>33423500</v>
      </c>
      <c r="AA299" s="107"/>
      <c r="AB299" s="1">
        <v>155</v>
      </c>
      <c r="AC299" s="31">
        <v>43105</v>
      </c>
      <c r="AD299" s="94">
        <v>33423500</v>
      </c>
      <c r="AE299" s="107"/>
      <c r="AF299" s="1">
        <v>323</v>
      </c>
      <c r="AG299" s="31">
        <v>43123</v>
      </c>
      <c r="AH299" s="94">
        <v>33423500</v>
      </c>
      <c r="AI299" s="107" t="s">
        <v>1636</v>
      </c>
      <c r="AJ299" s="1">
        <v>284</v>
      </c>
      <c r="AK299" s="1"/>
      <c r="AL299" s="94">
        <f t="shared" si="25"/>
        <v>33423500</v>
      </c>
      <c r="AM299" s="94">
        <f>+VLOOKUP(AF299,'[1]Compromisos CRP a 31 Julio de 2'!$J$428:$V$2707,13,0)</f>
        <v>15901483</v>
      </c>
      <c r="AN299" s="94">
        <f>AL299-AM299</f>
        <v>17522017</v>
      </c>
      <c r="AO299" s="1"/>
      <c r="AP299" s="1"/>
      <c r="AQ299" s="1"/>
      <c r="AR299" s="31">
        <v>43102</v>
      </c>
      <c r="AS299" s="1" t="s">
        <v>1615</v>
      </c>
      <c r="AT299" s="31">
        <v>43102</v>
      </c>
      <c r="AU299" s="1" t="s">
        <v>1623</v>
      </c>
      <c r="AV299" s="49"/>
    </row>
    <row r="300" spans="1:48" ht="409.6" thickTop="1" thickBot="1" x14ac:dyDescent="0.25">
      <c r="A300" s="215">
        <v>8</v>
      </c>
      <c r="B300" s="216" t="s">
        <v>1637</v>
      </c>
      <c r="C300" s="69" t="s">
        <v>1601</v>
      </c>
      <c r="D300" s="1" t="s">
        <v>485</v>
      </c>
      <c r="E300" s="69" t="s">
        <v>1612</v>
      </c>
      <c r="F300" s="1" t="s">
        <v>511</v>
      </c>
      <c r="G300" s="1" t="s">
        <v>512</v>
      </c>
      <c r="H300" s="7" t="s">
        <v>513</v>
      </c>
      <c r="I300" s="1" t="s">
        <v>54</v>
      </c>
      <c r="J300" s="69" t="s">
        <v>55</v>
      </c>
      <c r="K300" s="69">
        <v>801116</v>
      </c>
      <c r="L300" s="69" t="s">
        <v>1603</v>
      </c>
      <c r="M300" s="69" t="s">
        <v>1604</v>
      </c>
      <c r="N300" s="69" t="s">
        <v>1605</v>
      </c>
      <c r="O300" s="69" t="s">
        <v>1606</v>
      </c>
      <c r="P300" s="85" t="s">
        <v>1638</v>
      </c>
      <c r="Q300" s="91">
        <v>3399000</v>
      </c>
      <c r="R300" s="1">
        <v>1</v>
      </c>
      <c r="S300" s="92">
        <v>37389000</v>
      </c>
      <c r="T300" s="88" t="s">
        <v>1619</v>
      </c>
      <c r="U300" s="1" t="s">
        <v>58</v>
      </c>
      <c r="V300" s="31">
        <v>43125</v>
      </c>
      <c r="W300" s="90">
        <v>11</v>
      </c>
      <c r="X300" s="20" t="s">
        <v>1639</v>
      </c>
      <c r="Y300" s="31">
        <v>43103</v>
      </c>
      <c r="Z300" s="94">
        <v>37389000</v>
      </c>
      <c r="AA300" s="107"/>
      <c r="AB300" s="1">
        <v>156</v>
      </c>
      <c r="AC300" s="31">
        <v>43105</v>
      </c>
      <c r="AD300" s="94">
        <v>37389000</v>
      </c>
      <c r="AE300" s="107"/>
      <c r="AF300" s="1">
        <v>61</v>
      </c>
      <c r="AG300" s="31">
        <v>43116</v>
      </c>
      <c r="AH300" s="94">
        <v>37389000</v>
      </c>
      <c r="AI300" s="107" t="s">
        <v>1640</v>
      </c>
      <c r="AJ300" s="1">
        <v>26</v>
      </c>
      <c r="AK300" s="1"/>
      <c r="AL300" s="94">
        <f t="shared" si="25"/>
        <v>37389000</v>
      </c>
      <c r="AM300" s="94">
        <f>+VLOOKUP(AF300,'[1]Compromisos CRP a 31 Julio de 2'!$J$428:$V$2707,13,0)</f>
        <v>18694500</v>
      </c>
      <c r="AN300" s="94">
        <f>AL300-AM300</f>
        <v>18694500</v>
      </c>
      <c r="AO300" s="1"/>
      <c r="AP300" s="1"/>
      <c r="AQ300" s="1"/>
      <c r="AR300" s="31">
        <v>43102</v>
      </c>
      <c r="AS300" s="1" t="s">
        <v>1615</v>
      </c>
      <c r="AT300" s="31">
        <v>43102</v>
      </c>
      <c r="AU300" s="1" t="s">
        <v>1623</v>
      </c>
      <c r="AV300" s="49"/>
    </row>
    <row r="301" spans="1:48" ht="409.6" thickTop="1" thickBot="1" x14ac:dyDescent="0.25">
      <c r="A301" s="215">
        <v>9</v>
      </c>
      <c r="B301" s="216" t="s">
        <v>1641</v>
      </c>
      <c r="C301" s="69" t="s">
        <v>1601</v>
      </c>
      <c r="D301" s="1" t="s">
        <v>485</v>
      </c>
      <c r="E301" s="69" t="s">
        <v>1612</v>
      </c>
      <c r="F301" s="1" t="s">
        <v>511</v>
      </c>
      <c r="G301" s="1" t="s">
        <v>512</v>
      </c>
      <c r="H301" s="7" t="s">
        <v>513</v>
      </c>
      <c r="I301" s="1" t="s">
        <v>54</v>
      </c>
      <c r="J301" s="69" t="s">
        <v>55</v>
      </c>
      <c r="K301" s="69">
        <v>801116</v>
      </c>
      <c r="L301" s="69" t="s">
        <v>1603</v>
      </c>
      <c r="M301" s="69" t="s">
        <v>1604</v>
      </c>
      <c r="N301" s="69" t="s">
        <v>1605</v>
      </c>
      <c r="O301" s="69" t="s">
        <v>1606</v>
      </c>
      <c r="P301" s="85" t="s">
        <v>1642</v>
      </c>
      <c r="Q301" s="91">
        <v>5100000</v>
      </c>
      <c r="R301" s="1">
        <v>1</v>
      </c>
      <c r="S301" s="92">
        <v>25500000</v>
      </c>
      <c r="T301" s="88" t="s">
        <v>1619</v>
      </c>
      <c r="U301" s="1" t="s">
        <v>58</v>
      </c>
      <c r="V301" s="31">
        <v>43125</v>
      </c>
      <c r="W301" s="90">
        <v>5</v>
      </c>
      <c r="X301" s="20" t="s">
        <v>1643</v>
      </c>
      <c r="Y301" s="31">
        <v>43103</v>
      </c>
      <c r="Z301" s="94">
        <v>25500000</v>
      </c>
      <c r="AA301" s="107"/>
      <c r="AB301" s="1">
        <v>157</v>
      </c>
      <c r="AC301" s="31">
        <v>43105</v>
      </c>
      <c r="AD301" s="94">
        <v>25500000</v>
      </c>
      <c r="AE301" s="1"/>
      <c r="AF301" s="1">
        <v>650</v>
      </c>
      <c r="AG301" s="31">
        <v>43133</v>
      </c>
      <c r="AH301" s="94">
        <v>25500000</v>
      </c>
      <c r="AI301" s="107" t="s">
        <v>1644</v>
      </c>
      <c r="AJ301" s="1">
        <v>348</v>
      </c>
      <c r="AK301" s="1"/>
      <c r="AL301" s="94">
        <v>25500000</v>
      </c>
      <c r="AM301" s="94">
        <f>+VLOOKUP(AF301,'[1]Compromisos CRP a 31 Julio de 2'!$J$428:$V$2707,13,0)</f>
        <v>24820000</v>
      </c>
      <c r="AN301" s="94">
        <f>+AL301-AM301</f>
        <v>680000</v>
      </c>
      <c r="AO301" s="1"/>
      <c r="AP301" s="1"/>
      <c r="AQ301" s="1"/>
      <c r="AR301" s="31">
        <v>43102</v>
      </c>
      <c r="AS301" s="1" t="s">
        <v>1615</v>
      </c>
      <c r="AT301" s="31">
        <v>43102</v>
      </c>
      <c r="AU301" s="1" t="s">
        <v>1645</v>
      </c>
      <c r="AV301" s="49"/>
    </row>
    <row r="302" spans="1:48" ht="409.6" thickTop="1" thickBot="1" x14ac:dyDescent="0.25">
      <c r="A302" s="215">
        <v>10</v>
      </c>
      <c r="B302" s="216" t="s">
        <v>1646</v>
      </c>
      <c r="C302" s="69" t="s">
        <v>1601</v>
      </c>
      <c r="D302" s="1" t="s">
        <v>485</v>
      </c>
      <c r="E302" s="69" t="s">
        <v>1612</v>
      </c>
      <c r="F302" s="1" t="s">
        <v>511</v>
      </c>
      <c r="G302" s="1" t="s">
        <v>512</v>
      </c>
      <c r="H302" s="7" t="s">
        <v>513</v>
      </c>
      <c r="I302" s="1" t="s">
        <v>54</v>
      </c>
      <c r="J302" s="69" t="s">
        <v>55</v>
      </c>
      <c r="K302" s="69">
        <v>801116</v>
      </c>
      <c r="L302" s="69" t="s">
        <v>1603</v>
      </c>
      <c r="M302" s="69" t="s">
        <v>1604</v>
      </c>
      <c r="N302" s="69" t="s">
        <v>1605</v>
      </c>
      <c r="O302" s="69" t="s">
        <v>1606</v>
      </c>
      <c r="P302" s="85" t="s">
        <v>1638</v>
      </c>
      <c r="Q302" s="91">
        <v>5253000</v>
      </c>
      <c r="R302" s="1">
        <v>1</v>
      </c>
      <c r="S302" s="92">
        <v>26265000</v>
      </c>
      <c r="T302" s="88" t="s">
        <v>1619</v>
      </c>
      <c r="U302" s="1" t="s">
        <v>58</v>
      </c>
      <c r="V302" s="31">
        <v>43125</v>
      </c>
      <c r="W302" s="90">
        <v>5</v>
      </c>
      <c r="X302" s="20" t="s">
        <v>1647</v>
      </c>
      <c r="Y302" s="31">
        <v>43103</v>
      </c>
      <c r="Z302" s="94">
        <v>26265000</v>
      </c>
      <c r="AA302" s="107"/>
      <c r="AB302" s="1">
        <v>158</v>
      </c>
      <c r="AC302" s="31">
        <v>43105</v>
      </c>
      <c r="AD302" s="94">
        <v>26265000</v>
      </c>
      <c r="AE302" s="1"/>
      <c r="AF302" s="1"/>
      <c r="AG302" s="31">
        <v>43118</v>
      </c>
      <c r="AH302" s="94">
        <v>26265000</v>
      </c>
      <c r="AI302" s="107" t="s">
        <v>1644</v>
      </c>
      <c r="AJ302" s="1">
        <v>128</v>
      </c>
      <c r="AK302" s="1"/>
      <c r="AL302" s="94">
        <v>26265000</v>
      </c>
      <c r="AM302" s="94">
        <v>0</v>
      </c>
      <c r="AN302" s="94">
        <f>+AL302-AM302</f>
        <v>26265000</v>
      </c>
      <c r="AO302" s="1"/>
      <c r="AP302" s="1"/>
      <c r="AQ302" s="1"/>
      <c r="AR302" s="31">
        <v>43102</v>
      </c>
      <c r="AS302" s="1" t="s">
        <v>1615</v>
      </c>
      <c r="AT302" s="31">
        <v>43102</v>
      </c>
      <c r="AU302" s="1" t="s">
        <v>1623</v>
      </c>
      <c r="AV302" s="49"/>
    </row>
    <row r="303" spans="1:48" ht="409.6" thickTop="1" thickBot="1" x14ac:dyDescent="0.25">
      <c r="A303" s="215">
        <v>11</v>
      </c>
      <c r="B303" s="216" t="s">
        <v>1648</v>
      </c>
      <c r="C303" s="69" t="s">
        <v>1601</v>
      </c>
      <c r="D303" s="1" t="s">
        <v>485</v>
      </c>
      <c r="E303" s="69" t="s">
        <v>1612</v>
      </c>
      <c r="F303" s="1" t="s">
        <v>511</v>
      </c>
      <c r="G303" s="1" t="s">
        <v>512</v>
      </c>
      <c r="H303" s="7" t="s">
        <v>513</v>
      </c>
      <c r="I303" s="1" t="s">
        <v>54</v>
      </c>
      <c r="J303" s="69" t="s">
        <v>55</v>
      </c>
      <c r="K303" s="69">
        <v>801116</v>
      </c>
      <c r="L303" s="69" t="s">
        <v>1603</v>
      </c>
      <c r="M303" s="69" t="s">
        <v>1604</v>
      </c>
      <c r="N303" s="69" t="s">
        <v>1605</v>
      </c>
      <c r="O303" s="69" t="s">
        <v>1606</v>
      </c>
      <c r="P303" s="85" t="s">
        <v>1638</v>
      </c>
      <c r="Q303" s="91">
        <v>3399000</v>
      </c>
      <c r="R303" s="1">
        <v>1</v>
      </c>
      <c r="S303" s="92">
        <v>37389000</v>
      </c>
      <c r="T303" s="88" t="s">
        <v>1619</v>
      </c>
      <c r="U303" s="1" t="s">
        <v>58</v>
      </c>
      <c r="V303" s="31">
        <v>43125</v>
      </c>
      <c r="W303" s="90">
        <v>11</v>
      </c>
      <c r="X303" s="20" t="s">
        <v>1649</v>
      </c>
      <c r="Y303" s="31">
        <v>43103</v>
      </c>
      <c r="Z303" s="94">
        <v>37389000</v>
      </c>
      <c r="AA303" s="107"/>
      <c r="AB303" s="1">
        <v>159</v>
      </c>
      <c r="AC303" s="31">
        <v>43105</v>
      </c>
      <c r="AD303" s="94">
        <v>37389000</v>
      </c>
      <c r="AE303" s="1"/>
      <c r="AF303" s="1">
        <v>156</v>
      </c>
      <c r="AG303" s="31">
        <v>43118</v>
      </c>
      <c r="AH303" s="94">
        <v>37389000</v>
      </c>
      <c r="AI303" s="107" t="s">
        <v>1650</v>
      </c>
      <c r="AJ303" s="1">
        <v>148</v>
      </c>
      <c r="AK303" s="1"/>
      <c r="AL303" s="94">
        <v>37389000</v>
      </c>
      <c r="AM303" s="94">
        <f>+VLOOKUP(AF303,'[1]Compromisos CRP a 31 Julio de 2'!$J$428:$V$2707,13,0)</f>
        <v>18467900</v>
      </c>
      <c r="AN303" s="94">
        <f>+AL303-AM303</f>
        <v>18921100</v>
      </c>
      <c r="AO303" s="1"/>
      <c r="AP303" s="1"/>
      <c r="AQ303" s="1"/>
      <c r="AR303" s="31">
        <v>43102</v>
      </c>
      <c r="AS303" s="1" t="s">
        <v>1615</v>
      </c>
      <c r="AT303" s="31">
        <v>43102</v>
      </c>
      <c r="AU303" s="1" t="s">
        <v>1623</v>
      </c>
      <c r="AV303" s="49"/>
    </row>
    <row r="304" spans="1:48" ht="409.6" thickTop="1" thickBot="1" x14ac:dyDescent="0.25">
      <c r="A304" s="215">
        <v>12</v>
      </c>
      <c r="B304" s="216" t="s">
        <v>1651</v>
      </c>
      <c r="C304" s="69" t="s">
        <v>1601</v>
      </c>
      <c r="D304" s="1" t="s">
        <v>485</v>
      </c>
      <c r="E304" s="69" t="s">
        <v>1612</v>
      </c>
      <c r="F304" s="1" t="s">
        <v>511</v>
      </c>
      <c r="G304" s="1" t="s">
        <v>512</v>
      </c>
      <c r="H304" s="7" t="s">
        <v>513</v>
      </c>
      <c r="I304" s="1" t="s">
        <v>54</v>
      </c>
      <c r="J304" s="69" t="s">
        <v>55</v>
      </c>
      <c r="K304" s="69">
        <v>801116</v>
      </c>
      <c r="L304" s="69" t="s">
        <v>1603</v>
      </c>
      <c r="M304" s="69" t="s">
        <v>1604</v>
      </c>
      <c r="N304" s="69" t="s">
        <v>1605</v>
      </c>
      <c r="O304" s="69" t="s">
        <v>1606</v>
      </c>
      <c r="P304" s="85" t="s">
        <v>1652</v>
      </c>
      <c r="Q304" s="91">
        <v>3038500</v>
      </c>
      <c r="R304" s="1">
        <v>1</v>
      </c>
      <c r="S304" s="92">
        <v>33423500</v>
      </c>
      <c r="T304" s="88" t="s">
        <v>1619</v>
      </c>
      <c r="U304" s="1" t="s">
        <v>58</v>
      </c>
      <c r="V304" s="31">
        <v>43125</v>
      </c>
      <c r="W304" s="90">
        <v>11</v>
      </c>
      <c r="X304" s="20" t="s">
        <v>1653</v>
      </c>
      <c r="Y304" s="31">
        <v>43103</v>
      </c>
      <c r="Z304" s="94">
        <v>33423500</v>
      </c>
      <c r="AA304" s="107"/>
      <c r="AB304" s="1">
        <v>160</v>
      </c>
      <c r="AC304" s="31">
        <v>43105</v>
      </c>
      <c r="AD304" s="94">
        <v>33423500</v>
      </c>
      <c r="AE304" s="1"/>
      <c r="AF304" s="1">
        <v>31</v>
      </c>
      <c r="AG304" s="31">
        <v>43116</v>
      </c>
      <c r="AH304" s="94">
        <v>33423500</v>
      </c>
      <c r="AI304" s="107" t="s">
        <v>1654</v>
      </c>
      <c r="AJ304" s="1">
        <v>16</v>
      </c>
      <c r="AK304" s="1"/>
      <c r="AL304" s="94">
        <f t="shared" ref="AL304:AL313" si="26">AH304</f>
        <v>33423500</v>
      </c>
      <c r="AM304" s="94">
        <f>+VLOOKUP(AF304,'[1]Compromisos CRP a 31 Julio de 2'!$J$428:$V$2707,13,0)</f>
        <v>16711750</v>
      </c>
      <c r="AN304" s="94">
        <f t="shared" ref="AN304:AN313" si="27">AL304-AM304</f>
        <v>16711750</v>
      </c>
      <c r="AO304" s="1"/>
      <c r="AP304" s="1"/>
      <c r="AQ304" s="1"/>
      <c r="AR304" s="31">
        <v>43102</v>
      </c>
      <c r="AS304" s="1" t="s">
        <v>1615</v>
      </c>
      <c r="AT304" s="31">
        <v>43102</v>
      </c>
      <c r="AU304" s="1" t="s">
        <v>1623</v>
      </c>
      <c r="AV304" s="49"/>
    </row>
    <row r="305" spans="1:48" ht="409.6" thickTop="1" thickBot="1" x14ac:dyDescent="0.25">
      <c r="A305" s="215">
        <v>13</v>
      </c>
      <c r="B305" s="216" t="s">
        <v>1655</v>
      </c>
      <c r="C305" s="69" t="s">
        <v>1601</v>
      </c>
      <c r="D305" s="1" t="s">
        <v>485</v>
      </c>
      <c r="E305" s="69" t="s">
        <v>1612</v>
      </c>
      <c r="F305" s="1" t="s">
        <v>511</v>
      </c>
      <c r="G305" s="1" t="s">
        <v>512</v>
      </c>
      <c r="H305" s="7" t="s">
        <v>513</v>
      </c>
      <c r="I305" s="1" t="s">
        <v>54</v>
      </c>
      <c r="J305" s="69" t="s">
        <v>55</v>
      </c>
      <c r="K305" s="69">
        <v>801116</v>
      </c>
      <c r="L305" s="69" t="s">
        <v>1603</v>
      </c>
      <c r="M305" s="69" t="s">
        <v>1604</v>
      </c>
      <c r="N305" s="69" t="s">
        <v>1605</v>
      </c>
      <c r="O305" s="69" t="s">
        <v>1606</v>
      </c>
      <c r="P305" s="85" t="s">
        <v>1656</v>
      </c>
      <c r="Q305" s="91">
        <v>3038500</v>
      </c>
      <c r="R305" s="1">
        <v>1</v>
      </c>
      <c r="S305" s="92">
        <v>33423500</v>
      </c>
      <c r="T305" s="88" t="s">
        <v>1634</v>
      </c>
      <c r="U305" s="1" t="s">
        <v>58</v>
      </c>
      <c r="V305" s="31">
        <v>43125</v>
      </c>
      <c r="W305" s="90">
        <v>11</v>
      </c>
      <c r="X305" s="20" t="s">
        <v>1657</v>
      </c>
      <c r="Y305" s="31">
        <v>43103</v>
      </c>
      <c r="Z305" s="94">
        <v>33423500</v>
      </c>
      <c r="AA305" s="107"/>
      <c r="AB305" s="1">
        <v>161</v>
      </c>
      <c r="AC305" s="31">
        <v>43105</v>
      </c>
      <c r="AD305" s="94">
        <v>33423500</v>
      </c>
      <c r="AE305" s="1"/>
      <c r="AF305" s="1">
        <v>416</v>
      </c>
      <c r="AG305" s="31">
        <v>43124</v>
      </c>
      <c r="AH305" s="94">
        <v>33423500</v>
      </c>
      <c r="AI305" s="107" t="s">
        <v>1658</v>
      </c>
      <c r="AJ305" s="1">
        <v>337</v>
      </c>
      <c r="AK305" s="1"/>
      <c r="AL305" s="94">
        <f t="shared" si="26"/>
        <v>33423500</v>
      </c>
      <c r="AM305" s="94">
        <f>+VLOOKUP(AF305,'[1]Compromisos CRP a 31 Julio de 2'!$J$428:$V$2707,13,0)</f>
        <v>15800200</v>
      </c>
      <c r="AN305" s="94">
        <f t="shared" si="27"/>
        <v>17623300</v>
      </c>
      <c r="AO305" s="1"/>
      <c r="AP305" s="1"/>
      <c r="AQ305" s="1"/>
      <c r="AR305" s="31">
        <v>43102</v>
      </c>
      <c r="AS305" s="1" t="s">
        <v>1615</v>
      </c>
      <c r="AT305" s="31">
        <v>43102</v>
      </c>
      <c r="AU305" s="1" t="s">
        <v>1623</v>
      </c>
      <c r="AV305" s="49"/>
    </row>
    <row r="306" spans="1:48" ht="409.6" thickTop="1" thickBot="1" x14ac:dyDescent="0.25">
      <c r="A306" s="215">
        <v>14</v>
      </c>
      <c r="B306" s="216" t="s">
        <v>1659</v>
      </c>
      <c r="C306" s="69" t="s">
        <v>1601</v>
      </c>
      <c r="D306" s="1" t="s">
        <v>485</v>
      </c>
      <c r="E306" s="69" t="s">
        <v>1612</v>
      </c>
      <c r="F306" s="1" t="s">
        <v>511</v>
      </c>
      <c r="G306" s="1" t="s">
        <v>512</v>
      </c>
      <c r="H306" s="7" t="s">
        <v>513</v>
      </c>
      <c r="I306" s="1" t="s">
        <v>54</v>
      </c>
      <c r="J306" s="69" t="s">
        <v>55</v>
      </c>
      <c r="K306" s="69">
        <v>801116</v>
      </c>
      <c r="L306" s="69" t="s">
        <v>1603</v>
      </c>
      <c r="M306" s="69" t="s">
        <v>1604</v>
      </c>
      <c r="N306" s="69" t="s">
        <v>1605</v>
      </c>
      <c r="O306" s="69" t="s">
        <v>1606</v>
      </c>
      <c r="P306" s="85" t="s">
        <v>1656</v>
      </c>
      <c r="Q306" s="91">
        <v>3038500</v>
      </c>
      <c r="R306" s="1">
        <v>1</v>
      </c>
      <c r="S306" s="92">
        <v>33423500</v>
      </c>
      <c r="T306" s="88" t="s">
        <v>1634</v>
      </c>
      <c r="U306" s="1" t="s">
        <v>58</v>
      </c>
      <c r="V306" s="31">
        <v>43125</v>
      </c>
      <c r="W306" s="90">
        <v>11</v>
      </c>
      <c r="X306" s="20" t="s">
        <v>1660</v>
      </c>
      <c r="Y306" s="31">
        <v>43103</v>
      </c>
      <c r="Z306" s="94">
        <v>33423500</v>
      </c>
      <c r="AA306" s="107"/>
      <c r="AB306" s="1">
        <v>162</v>
      </c>
      <c r="AC306" s="31">
        <v>43105</v>
      </c>
      <c r="AD306" s="94">
        <v>33423500</v>
      </c>
      <c r="AE306" s="1"/>
      <c r="AF306" s="1">
        <v>211</v>
      </c>
      <c r="AG306" s="31">
        <v>43118</v>
      </c>
      <c r="AH306" s="94">
        <v>33423500</v>
      </c>
      <c r="AI306" s="107" t="s">
        <v>1661</v>
      </c>
      <c r="AJ306" s="1">
        <v>188</v>
      </c>
      <c r="AK306" s="1"/>
      <c r="AL306" s="94">
        <f t="shared" si="26"/>
        <v>33423500</v>
      </c>
      <c r="AM306" s="94">
        <f>+VLOOKUP(AF306,'[1]Compromisos CRP a 31 Julio de 2'!$J$428:$V$2707,13,0)</f>
        <v>16407900</v>
      </c>
      <c r="AN306" s="94">
        <f t="shared" si="27"/>
        <v>17015600</v>
      </c>
      <c r="AO306" s="1"/>
      <c r="AP306" s="1"/>
      <c r="AQ306" s="1"/>
      <c r="AR306" s="31">
        <v>43102</v>
      </c>
      <c r="AS306" s="1" t="s">
        <v>1615</v>
      </c>
      <c r="AT306" s="31">
        <v>43102</v>
      </c>
      <c r="AU306" s="1" t="s">
        <v>1623</v>
      </c>
      <c r="AV306" s="49"/>
    </row>
    <row r="307" spans="1:48" ht="409.6" thickTop="1" thickBot="1" x14ac:dyDescent="0.25">
      <c r="A307" s="215">
        <v>15</v>
      </c>
      <c r="B307" s="216" t="s">
        <v>1662</v>
      </c>
      <c r="C307" s="69" t="s">
        <v>1601</v>
      </c>
      <c r="D307" s="1" t="s">
        <v>485</v>
      </c>
      <c r="E307" s="69" t="s">
        <v>1612</v>
      </c>
      <c r="F307" s="1" t="s">
        <v>511</v>
      </c>
      <c r="G307" s="1" t="s">
        <v>512</v>
      </c>
      <c r="H307" s="7" t="s">
        <v>513</v>
      </c>
      <c r="I307" s="1" t="s">
        <v>54</v>
      </c>
      <c r="J307" s="69" t="s">
        <v>55</v>
      </c>
      <c r="K307" s="69">
        <v>801116</v>
      </c>
      <c r="L307" s="69" t="s">
        <v>1603</v>
      </c>
      <c r="M307" s="69" t="s">
        <v>1604</v>
      </c>
      <c r="N307" s="69" t="s">
        <v>1605</v>
      </c>
      <c r="O307" s="69" t="s">
        <v>1606</v>
      </c>
      <c r="P307" s="85" t="s">
        <v>1663</v>
      </c>
      <c r="Q307" s="91">
        <v>4120000</v>
      </c>
      <c r="R307" s="1">
        <v>1</v>
      </c>
      <c r="S307" s="92">
        <v>45320000</v>
      </c>
      <c r="T307" s="88" t="s">
        <v>1619</v>
      </c>
      <c r="U307" s="1" t="s">
        <v>58</v>
      </c>
      <c r="V307" s="31">
        <v>43125</v>
      </c>
      <c r="W307" s="90">
        <v>11</v>
      </c>
      <c r="X307" s="20" t="s">
        <v>1664</v>
      </c>
      <c r="Y307" s="31">
        <v>43103</v>
      </c>
      <c r="Z307" s="94">
        <v>45320000</v>
      </c>
      <c r="AA307" s="107"/>
      <c r="AB307" s="1">
        <v>163</v>
      </c>
      <c r="AC307" s="31">
        <v>43105</v>
      </c>
      <c r="AD307" s="94">
        <v>45320000</v>
      </c>
      <c r="AE307" s="1"/>
      <c r="AF307" s="1">
        <v>137</v>
      </c>
      <c r="AG307" s="31">
        <v>43117</v>
      </c>
      <c r="AH307" s="94">
        <v>45320000</v>
      </c>
      <c r="AI307" s="107" t="s">
        <v>1665</v>
      </c>
      <c r="AJ307" s="1">
        <v>145</v>
      </c>
      <c r="AK307" s="1"/>
      <c r="AL307" s="94">
        <f t="shared" si="26"/>
        <v>45320000</v>
      </c>
      <c r="AM307" s="94">
        <f>+VLOOKUP(AF307,'[1]Compromisos CRP a 31 Julio de 2'!$J$428:$V$2707,13,0)</f>
        <v>22385333</v>
      </c>
      <c r="AN307" s="94">
        <f t="shared" si="27"/>
        <v>22934667</v>
      </c>
      <c r="AO307" s="1"/>
      <c r="AP307" s="1"/>
      <c r="AQ307" s="1"/>
      <c r="AR307" s="31">
        <v>43102</v>
      </c>
      <c r="AS307" s="1" t="s">
        <v>1615</v>
      </c>
      <c r="AT307" s="31">
        <v>43102</v>
      </c>
      <c r="AU307" s="1" t="s">
        <v>1623</v>
      </c>
      <c r="AV307" s="49"/>
    </row>
    <row r="308" spans="1:48" ht="384" thickTop="1" thickBot="1" x14ac:dyDescent="0.25">
      <c r="A308" s="215">
        <v>16</v>
      </c>
      <c r="B308" s="216" t="s">
        <v>1666</v>
      </c>
      <c r="C308" s="69" t="s">
        <v>1601</v>
      </c>
      <c r="D308" s="1" t="s">
        <v>485</v>
      </c>
      <c r="E308" s="69" t="s">
        <v>1612</v>
      </c>
      <c r="F308" s="1" t="s">
        <v>511</v>
      </c>
      <c r="G308" s="1" t="s">
        <v>512</v>
      </c>
      <c r="H308" s="7" t="s">
        <v>513</v>
      </c>
      <c r="I308" s="1" t="s">
        <v>54</v>
      </c>
      <c r="J308" s="69" t="s">
        <v>55</v>
      </c>
      <c r="K308" s="69">
        <v>801116</v>
      </c>
      <c r="L308" s="69" t="s">
        <v>1603</v>
      </c>
      <c r="M308" s="69" t="s">
        <v>1604</v>
      </c>
      <c r="N308" s="69" t="s">
        <v>1605</v>
      </c>
      <c r="O308" s="69" t="s">
        <v>1606</v>
      </c>
      <c r="P308" s="85" t="s">
        <v>1667</v>
      </c>
      <c r="Q308" s="91">
        <v>3399000</v>
      </c>
      <c r="R308" s="1">
        <v>1</v>
      </c>
      <c r="S308" s="92">
        <v>37389000</v>
      </c>
      <c r="T308" s="88" t="s">
        <v>1619</v>
      </c>
      <c r="U308" s="1" t="s">
        <v>58</v>
      </c>
      <c r="V308" s="31">
        <v>43125</v>
      </c>
      <c r="W308" s="90">
        <v>11</v>
      </c>
      <c r="X308" s="20" t="s">
        <v>1668</v>
      </c>
      <c r="Y308" s="31">
        <v>43103</v>
      </c>
      <c r="Z308" s="94">
        <v>37389000</v>
      </c>
      <c r="AA308" s="107"/>
      <c r="AB308" s="1">
        <v>164</v>
      </c>
      <c r="AC308" s="31">
        <v>43105</v>
      </c>
      <c r="AD308" s="94">
        <v>37389000</v>
      </c>
      <c r="AE308" s="1"/>
      <c r="AF308" s="1">
        <v>28</v>
      </c>
      <c r="AG308" s="31">
        <v>43116</v>
      </c>
      <c r="AH308" s="94">
        <v>37389000</v>
      </c>
      <c r="AI308" s="107" t="s">
        <v>1669</v>
      </c>
      <c r="AJ308" s="1">
        <v>15</v>
      </c>
      <c r="AK308" s="1"/>
      <c r="AL308" s="94">
        <f t="shared" si="26"/>
        <v>37389000</v>
      </c>
      <c r="AM308" s="94">
        <f>+VLOOKUP(AF308,'[1]Compromisos CRP a 31 Julio de 2'!$J$428:$V$2707,13,0)</f>
        <v>18694500</v>
      </c>
      <c r="AN308" s="94">
        <f t="shared" si="27"/>
        <v>18694500</v>
      </c>
      <c r="AO308" s="1"/>
      <c r="AP308" s="1"/>
      <c r="AQ308" s="1"/>
      <c r="AR308" s="31">
        <v>43102</v>
      </c>
      <c r="AS308" s="1" t="s">
        <v>1615</v>
      </c>
      <c r="AT308" s="31">
        <v>43102</v>
      </c>
      <c r="AU308" s="1" t="s">
        <v>1623</v>
      </c>
      <c r="AV308" s="49"/>
    </row>
    <row r="309" spans="1:48" ht="409.6" thickTop="1" thickBot="1" x14ac:dyDescent="0.25">
      <c r="A309" s="215">
        <v>17</v>
      </c>
      <c r="B309" s="216" t="s">
        <v>1670</v>
      </c>
      <c r="C309" s="69" t="s">
        <v>1601</v>
      </c>
      <c r="D309" s="1" t="s">
        <v>485</v>
      </c>
      <c r="E309" s="69" t="s">
        <v>1612</v>
      </c>
      <c r="F309" s="1" t="s">
        <v>511</v>
      </c>
      <c r="G309" s="1" t="s">
        <v>512</v>
      </c>
      <c r="H309" s="7" t="s">
        <v>513</v>
      </c>
      <c r="I309" s="1" t="s">
        <v>54</v>
      </c>
      <c r="J309" s="69" t="s">
        <v>55</v>
      </c>
      <c r="K309" s="69">
        <v>801116</v>
      </c>
      <c r="L309" s="69" t="s">
        <v>1603</v>
      </c>
      <c r="M309" s="69" t="s">
        <v>1604</v>
      </c>
      <c r="N309" s="69" t="s">
        <v>1605</v>
      </c>
      <c r="O309" s="69" t="s">
        <v>1606</v>
      </c>
      <c r="P309" s="85" t="s">
        <v>1663</v>
      </c>
      <c r="Q309" s="91">
        <v>4120000</v>
      </c>
      <c r="R309" s="1">
        <v>1</v>
      </c>
      <c r="S309" s="92">
        <v>45320000</v>
      </c>
      <c r="T309" s="88" t="s">
        <v>1619</v>
      </c>
      <c r="U309" s="1" t="s">
        <v>58</v>
      </c>
      <c r="V309" s="31">
        <v>43125</v>
      </c>
      <c r="W309" s="90">
        <v>11</v>
      </c>
      <c r="X309" s="20" t="s">
        <v>1671</v>
      </c>
      <c r="Y309" s="31">
        <v>43103</v>
      </c>
      <c r="Z309" s="94">
        <v>45320000</v>
      </c>
      <c r="AA309" s="107"/>
      <c r="AB309" s="1">
        <v>165</v>
      </c>
      <c r="AC309" s="31">
        <v>43105</v>
      </c>
      <c r="AD309" s="94">
        <v>45320000</v>
      </c>
      <c r="AE309" s="1"/>
      <c r="AF309" s="1">
        <v>200</v>
      </c>
      <c r="AG309" s="31">
        <v>43118</v>
      </c>
      <c r="AH309" s="94">
        <v>45320000</v>
      </c>
      <c r="AI309" s="107" t="s">
        <v>1672</v>
      </c>
      <c r="AJ309" s="1">
        <v>189</v>
      </c>
      <c r="AK309" s="1"/>
      <c r="AL309" s="94">
        <f t="shared" si="26"/>
        <v>45320000</v>
      </c>
      <c r="AM309" s="94">
        <f>+VLOOKUP(AF309,'[1]Compromisos CRP a 31 Julio de 2'!$J$428:$V$2707,13,0)</f>
        <v>22248000</v>
      </c>
      <c r="AN309" s="94">
        <f t="shared" si="27"/>
        <v>23072000</v>
      </c>
      <c r="AO309" s="1"/>
      <c r="AP309" s="1"/>
      <c r="AQ309" s="1"/>
      <c r="AR309" s="31">
        <v>43102</v>
      </c>
      <c r="AS309" s="1" t="s">
        <v>1615</v>
      </c>
      <c r="AT309" s="31">
        <v>43102</v>
      </c>
      <c r="AU309" s="1" t="s">
        <v>1623</v>
      </c>
      <c r="AV309" s="49"/>
    </row>
    <row r="310" spans="1:48" ht="384" thickTop="1" thickBot="1" x14ac:dyDescent="0.25">
      <c r="A310" s="215">
        <v>18</v>
      </c>
      <c r="B310" s="216" t="s">
        <v>1673</v>
      </c>
      <c r="C310" s="69" t="s">
        <v>1601</v>
      </c>
      <c r="D310" s="1" t="s">
        <v>485</v>
      </c>
      <c r="E310" s="69" t="s">
        <v>1612</v>
      </c>
      <c r="F310" s="1" t="s">
        <v>511</v>
      </c>
      <c r="G310" s="1" t="s">
        <v>512</v>
      </c>
      <c r="H310" s="7" t="s">
        <v>513</v>
      </c>
      <c r="I310" s="1" t="s">
        <v>54</v>
      </c>
      <c r="J310" s="69" t="s">
        <v>55</v>
      </c>
      <c r="K310" s="69">
        <v>801116</v>
      </c>
      <c r="L310" s="69" t="s">
        <v>1603</v>
      </c>
      <c r="M310" s="69" t="s">
        <v>1604</v>
      </c>
      <c r="N310" s="69" t="s">
        <v>1605</v>
      </c>
      <c r="O310" s="69" t="s">
        <v>1606</v>
      </c>
      <c r="P310" s="85" t="s">
        <v>1674</v>
      </c>
      <c r="Q310" s="91">
        <v>6180000</v>
      </c>
      <c r="R310" s="1">
        <v>1</v>
      </c>
      <c r="S310" s="92">
        <v>67980000</v>
      </c>
      <c r="T310" s="88" t="s">
        <v>1619</v>
      </c>
      <c r="U310" s="1" t="s">
        <v>58</v>
      </c>
      <c r="V310" s="31">
        <v>43125</v>
      </c>
      <c r="W310" s="90">
        <v>11</v>
      </c>
      <c r="X310" s="20" t="s">
        <v>1675</v>
      </c>
      <c r="Y310" s="31">
        <v>43103</v>
      </c>
      <c r="Z310" s="94">
        <v>67980000</v>
      </c>
      <c r="AA310" s="107"/>
      <c r="AB310" s="1">
        <v>166</v>
      </c>
      <c r="AC310" s="31">
        <v>43105</v>
      </c>
      <c r="AD310" s="94">
        <v>67980000</v>
      </c>
      <c r="AE310" s="1"/>
      <c r="AF310" s="1">
        <v>266</v>
      </c>
      <c r="AG310" s="31">
        <v>43119</v>
      </c>
      <c r="AH310" s="94">
        <v>67980000</v>
      </c>
      <c r="AI310" s="107" t="s">
        <v>1676</v>
      </c>
      <c r="AJ310" s="1">
        <v>236</v>
      </c>
      <c r="AK310" s="1"/>
      <c r="AL310" s="94">
        <f t="shared" si="26"/>
        <v>67980000</v>
      </c>
      <c r="AM310" s="94">
        <f>+VLOOKUP(AF310,'[1]Compromisos CRP a 31 Julio de 2'!$J$428:$V$2707,13,0)</f>
        <v>32548000</v>
      </c>
      <c r="AN310" s="94">
        <f t="shared" si="27"/>
        <v>35432000</v>
      </c>
      <c r="AO310" s="1"/>
      <c r="AP310" s="1"/>
      <c r="AQ310" s="1"/>
      <c r="AR310" s="31">
        <v>43102</v>
      </c>
      <c r="AS310" s="1" t="s">
        <v>1615</v>
      </c>
      <c r="AT310" s="31">
        <v>43102</v>
      </c>
      <c r="AU310" s="1" t="s">
        <v>1623</v>
      </c>
      <c r="AV310" s="49"/>
    </row>
    <row r="311" spans="1:48" ht="384" thickTop="1" thickBot="1" x14ac:dyDescent="0.25">
      <c r="A311" s="215">
        <v>19</v>
      </c>
      <c r="B311" s="216" t="s">
        <v>1677</v>
      </c>
      <c r="C311" s="69" t="s">
        <v>1601</v>
      </c>
      <c r="D311" s="1" t="s">
        <v>485</v>
      </c>
      <c r="E311" s="69" t="s">
        <v>1612</v>
      </c>
      <c r="F311" s="1" t="s">
        <v>511</v>
      </c>
      <c r="G311" s="1" t="s">
        <v>512</v>
      </c>
      <c r="H311" s="7" t="s">
        <v>513</v>
      </c>
      <c r="I311" s="1" t="s">
        <v>54</v>
      </c>
      <c r="J311" s="69" t="s">
        <v>55</v>
      </c>
      <c r="K311" s="69">
        <v>801116</v>
      </c>
      <c r="L311" s="69" t="s">
        <v>1603</v>
      </c>
      <c r="M311" s="69" t="s">
        <v>1604</v>
      </c>
      <c r="N311" s="69" t="s">
        <v>1605</v>
      </c>
      <c r="O311" s="69" t="s">
        <v>1606</v>
      </c>
      <c r="P311" s="85" t="s">
        <v>1678</v>
      </c>
      <c r="Q311" s="91">
        <v>2472000</v>
      </c>
      <c r="R311" s="1">
        <v>1</v>
      </c>
      <c r="S311" s="92">
        <v>27192000</v>
      </c>
      <c r="T311" s="88" t="s">
        <v>1619</v>
      </c>
      <c r="U311" s="1" t="s">
        <v>58</v>
      </c>
      <c r="V311" s="31">
        <v>43125</v>
      </c>
      <c r="W311" s="90">
        <v>11</v>
      </c>
      <c r="X311" s="20" t="s">
        <v>1679</v>
      </c>
      <c r="Y311" s="31">
        <v>43103</v>
      </c>
      <c r="Z311" s="94">
        <v>27192000</v>
      </c>
      <c r="AA311" s="107"/>
      <c r="AB311" s="1">
        <v>167</v>
      </c>
      <c r="AC311" s="31">
        <v>43105</v>
      </c>
      <c r="AD311" s="94">
        <v>27192000</v>
      </c>
      <c r="AE311" s="1"/>
      <c r="AF311" s="1">
        <v>63</v>
      </c>
      <c r="AG311" s="31">
        <v>43116</v>
      </c>
      <c r="AH311" s="94">
        <v>27192000</v>
      </c>
      <c r="AI311" s="107" t="s">
        <v>1680</v>
      </c>
      <c r="AJ311" s="1">
        <v>28</v>
      </c>
      <c r="AK311" s="1"/>
      <c r="AL311" s="94">
        <f t="shared" si="26"/>
        <v>27192000</v>
      </c>
      <c r="AM311" s="94">
        <f>+VLOOKUP(AF311,'[1]Compromisos CRP a 31 Julio de 2'!$J$428:$V$2707,13,0)</f>
        <v>13596000</v>
      </c>
      <c r="AN311" s="94">
        <f t="shared" si="27"/>
        <v>13596000</v>
      </c>
      <c r="AO311" s="1"/>
      <c r="AP311" s="1"/>
      <c r="AQ311" s="1"/>
      <c r="AR311" s="31">
        <v>43102</v>
      </c>
      <c r="AS311" s="1" t="s">
        <v>1615</v>
      </c>
      <c r="AT311" s="31">
        <v>43102</v>
      </c>
      <c r="AU311" s="1" t="s">
        <v>1623</v>
      </c>
      <c r="AV311" s="49"/>
    </row>
    <row r="312" spans="1:48" ht="384" thickTop="1" thickBot="1" x14ac:dyDescent="0.25">
      <c r="A312" s="215">
        <v>20</v>
      </c>
      <c r="B312" s="216" t="s">
        <v>1681</v>
      </c>
      <c r="C312" s="69" t="s">
        <v>1601</v>
      </c>
      <c r="D312" s="1" t="s">
        <v>485</v>
      </c>
      <c r="E312" s="69" t="s">
        <v>1612</v>
      </c>
      <c r="F312" s="1" t="s">
        <v>511</v>
      </c>
      <c r="G312" s="1" t="s">
        <v>512</v>
      </c>
      <c r="H312" s="7" t="s">
        <v>513</v>
      </c>
      <c r="I312" s="1" t="s">
        <v>54</v>
      </c>
      <c r="J312" s="69" t="s">
        <v>55</v>
      </c>
      <c r="K312" s="69">
        <v>801116</v>
      </c>
      <c r="L312" s="69" t="s">
        <v>1603</v>
      </c>
      <c r="M312" s="69" t="s">
        <v>1604</v>
      </c>
      <c r="N312" s="69" t="s">
        <v>1605</v>
      </c>
      <c r="O312" s="69" t="s">
        <v>1606</v>
      </c>
      <c r="P312" s="85" t="s">
        <v>1682</v>
      </c>
      <c r="Q312" s="91">
        <v>1545000</v>
      </c>
      <c r="R312" s="1">
        <v>1</v>
      </c>
      <c r="S312" s="92">
        <v>16995000</v>
      </c>
      <c r="T312" s="88" t="s">
        <v>1634</v>
      </c>
      <c r="U312" s="1" t="s">
        <v>58</v>
      </c>
      <c r="V312" s="31">
        <v>43125</v>
      </c>
      <c r="W312" s="90">
        <v>11</v>
      </c>
      <c r="X312" s="20" t="s">
        <v>1683</v>
      </c>
      <c r="Y312" s="31">
        <v>43103</v>
      </c>
      <c r="Z312" s="94">
        <v>16995000</v>
      </c>
      <c r="AA312" s="107"/>
      <c r="AB312" s="1">
        <v>168</v>
      </c>
      <c r="AC312" s="31">
        <v>43105</v>
      </c>
      <c r="AD312" s="94">
        <v>16995000</v>
      </c>
      <c r="AE312" s="1"/>
      <c r="AF312" s="1">
        <v>108</v>
      </c>
      <c r="AG312" s="31">
        <v>43116</v>
      </c>
      <c r="AH312" s="94">
        <v>16995000</v>
      </c>
      <c r="AI312" s="107" t="s">
        <v>1684</v>
      </c>
      <c r="AJ312" s="1">
        <v>71</v>
      </c>
      <c r="AK312" s="1"/>
      <c r="AL312" s="94">
        <f t="shared" si="26"/>
        <v>16995000</v>
      </c>
      <c r="AM312" s="94">
        <f>+VLOOKUP(AF312,'[1]Compromisos CRP a 31 Julio de 2'!$J$428:$V$2707,13,0)</f>
        <v>8446000</v>
      </c>
      <c r="AN312" s="94">
        <f t="shared" si="27"/>
        <v>8549000</v>
      </c>
      <c r="AO312" s="1"/>
      <c r="AP312" s="1"/>
      <c r="AQ312" s="1"/>
      <c r="AR312" s="31">
        <v>43102</v>
      </c>
      <c r="AS312" s="1" t="s">
        <v>1615</v>
      </c>
      <c r="AT312" s="31">
        <v>43102</v>
      </c>
      <c r="AU312" s="1" t="s">
        <v>1623</v>
      </c>
      <c r="AV312" s="49"/>
    </row>
    <row r="313" spans="1:48" ht="384" thickTop="1" thickBot="1" x14ac:dyDescent="0.25">
      <c r="A313" s="215">
        <v>21</v>
      </c>
      <c r="B313" s="216" t="s">
        <v>1685</v>
      </c>
      <c r="C313" s="69" t="s">
        <v>1601</v>
      </c>
      <c r="D313" s="1" t="s">
        <v>485</v>
      </c>
      <c r="E313" s="69" t="s">
        <v>1612</v>
      </c>
      <c r="F313" s="1" t="s">
        <v>511</v>
      </c>
      <c r="G313" s="1" t="s">
        <v>512</v>
      </c>
      <c r="H313" s="7" t="s">
        <v>513</v>
      </c>
      <c r="I313" s="1" t="s">
        <v>54</v>
      </c>
      <c r="J313" s="69" t="s">
        <v>55</v>
      </c>
      <c r="K313" s="69">
        <v>801116</v>
      </c>
      <c r="L313" s="69" t="s">
        <v>1603</v>
      </c>
      <c r="M313" s="69" t="s">
        <v>1604</v>
      </c>
      <c r="N313" s="69" t="s">
        <v>1605</v>
      </c>
      <c r="O313" s="69" t="s">
        <v>1606</v>
      </c>
      <c r="P313" s="85" t="s">
        <v>1682</v>
      </c>
      <c r="Q313" s="91">
        <v>1545000</v>
      </c>
      <c r="R313" s="1">
        <v>1</v>
      </c>
      <c r="S313" s="92">
        <v>16995000</v>
      </c>
      <c r="T313" s="88" t="s">
        <v>1634</v>
      </c>
      <c r="U313" s="1" t="s">
        <v>58</v>
      </c>
      <c r="V313" s="31">
        <v>43125</v>
      </c>
      <c r="W313" s="90">
        <v>11</v>
      </c>
      <c r="X313" s="20" t="s">
        <v>1686</v>
      </c>
      <c r="Y313" s="31">
        <v>43103</v>
      </c>
      <c r="Z313" s="94">
        <v>16995000</v>
      </c>
      <c r="AA313" s="107"/>
      <c r="AB313" s="1">
        <v>169</v>
      </c>
      <c r="AC313" s="31">
        <v>43105</v>
      </c>
      <c r="AD313" s="94">
        <v>16995000</v>
      </c>
      <c r="AE313" s="1"/>
      <c r="AF313" s="1">
        <v>78</v>
      </c>
      <c r="AG313" s="31">
        <v>43116</v>
      </c>
      <c r="AH313" s="94">
        <v>16995000</v>
      </c>
      <c r="AI313" s="107" t="s">
        <v>1687</v>
      </c>
      <c r="AJ313" s="1">
        <v>67</v>
      </c>
      <c r="AK313" s="1"/>
      <c r="AL313" s="94">
        <f t="shared" si="26"/>
        <v>16995000</v>
      </c>
      <c r="AM313" s="94">
        <f>+VLOOKUP(AF313,'[1]Compromisos CRP a 31 Julio de 2'!$J$428:$V$2707,13,0)</f>
        <v>6901000</v>
      </c>
      <c r="AN313" s="94">
        <f t="shared" si="27"/>
        <v>10094000</v>
      </c>
      <c r="AO313" s="1"/>
      <c r="AP313" s="1"/>
      <c r="AQ313" s="1"/>
      <c r="AR313" s="31">
        <v>43102</v>
      </c>
      <c r="AS313" s="1" t="s">
        <v>1615</v>
      </c>
      <c r="AT313" s="31">
        <v>43102</v>
      </c>
      <c r="AU313" s="1" t="s">
        <v>1623</v>
      </c>
      <c r="AV313" s="49"/>
    </row>
    <row r="314" spans="1:48" ht="345.75" thickTop="1" thickBot="1" x14ac:dyDescent="0.25">
      <c r="A314" s="215">
        <v>22</v>
      </c>
      <c r="B314" s="216" t="s">
        <v>1688</v>
      </c>
      <c r="C314" s="69" t="s">
        <v>1601</v>
      </c>
      <c r="D314" s="1" t="s">
        <v>485</v>
      </c>
      <c r="E314" s="69" t="s">
        <v>1610</v>
      </c>
      <c r="F314" s="1" t="s">
        <v>511</v>
      </c>
      <c r="G314" s="1" t="s">
        <v>512</v>
      </c>
      <c r="H314" s="7" t="s">
        <v>513</v>
      </c>
      <c r="I314" s="1" t="s">
        <v>54</v>
      </c>
      <c r="J314" s="69" t="s">
        <v>55</v>
      </c>
      <c r="K314" s="69">
        <v>801116</v>
      </c>
      <c r="L314" s="69" t="s">
        <v>1603</v>
      </c>
      <c r="M314" s="69" t="s">
        <v>1604</v>
      </c>
      <c r="N314" s="69" t="s">
        <v>1605</v>
      </c>
      <c r="O314" s="69" t="s">
        <v>1606</v>
      </c>
      <c r="P314" s="85" t="s">
        <v>1689</v>
      </c>
      <c r="Q314" s="91">
        <v>1500000</v>
      </c>
      <c r="R314" s="1">
        <v>1</v>
      </c>
      <c r="S314" s="92">
        <v>3000000</v>
      </c>
      <c r="T314" s="88" t="s">
        <v>1634</v>
      </c>
      <c r="U314" s="1" t="s">
        <v>58</v>
      </c>
      <c r="V314" s="31">
        <v>43125</v>
      </c>
      <c r="W314" s="90">
        <v>2</v>
      </c>
      <c r="X314" s="20" t="s">
        <v>1690</v>
      </c>
      <c r="Y314" s="31">
        <v>43103</v>
      </c>
      <c r="Z314" s="94">
        <v>3000000</v>
      </c>
      <c r="AA314" s="107"/>
      <c r="AB314" s="1">
        <v>170</v>
      </c>
      <c r="AC314" s="31">
        <v>43105</v>
      </c>
      <c r="AD314" s="94">
        <v>3000000</v>
      </c>
      <c r="AE314" s="1"/>
      <c r="AF314" s="1">
        <v>1776</v>
      </c>
      <c r="AG314" s="1"/>
      <c r="AH314" s="94">
        <v>3000000</v>
      </c>
      <c r="AI314" s="107" t="s">
        <v>1691</v>
      </c>
      <c r="AJ314" s="1"/>
      <c r="AK314" s="1"/>
      <c r="AL314" s="94">
        <v>3000000</v>
      </c>
      <c r="AM314" s="94">
        <f>+VLOOKUP(AF314,'[1]Compromisos CRP a 31 Julio de 2'!$J$428:$V$2707,13,0)</f>
        <v>2750000</v>
      </c>
      <c r="AN314" s="94">
        <f>+AL314-AM314</f>
        <v>250000</v>
      </c>
      <c r="AO314" s="1"/>
      <c r="AP314" s="1"/>
      <c r="AQ314" s="1"/>
      <c r="AR314" s="31">
        <v>43102</v>
      </c>
      <c r="AS314" s="1" t="s">
        <v>1615</v>
      </c>
      <c r="AT314" s="31">
        <v>43102</v>
      </c>
      <c r="AU314" s="1" t="s">
        <v>1692</v>
      </c>
      <c r="AV314" s="49"/>
    </row>
    <row r="315" spans="1:48" ht="282" thickTop="1" thickBot="1" x14ac:dyDescent="0.25">
      <c r="A315" s="215">
        <v>23</v>
      </c>
      <c r="B315" s="216" t="s">
        <v>1693</v>
      </c>
      <c r="C315" s="69" t="s">
        <v>1601</v>
      </c>
      <c r="D315" s="1" t="s">
        <v>485</v>
      </c>
      <c r="E315" s="69" t="s">
        <v>1610</v>
      </c>
      <c r="F315" s="1" t="s">
        <v>511</v>
      </c>
      <c r="G315" s="1" t="s">
        <v>512</v>
      </c>
      <c r="H315" s="7" t="s">
        <v>513</v>
      </c>
      <c r="I315" s="1" t="s">
        <v>54</v>
      </c>
      <c r="J315" s="69" t="s">
        <v>55</v>
      </c>
      <c r="K315" s="69">
        <v>801116</v>
      </c>
      <c r="L315" s="69" t="s">
        <v>1603</v>
      </c>
      <c r="M315" s="69" t="s">
        <v>1604</v>
      </c>
      <c r="N315" s="69" t="s">
        <v>1605</v>
      </c>
      <c r="O315" s="69" t="s">
        <v>1606</v>
      </c>
      <c r="P315" s="85" t="s">
        <v>1682</v>
      </c>
      <c r="Q315" s="91">
        <v>1545000</v>
      </c>
      <c r="R315" s="1">
        <v>1</v>
      </c>
      <c r="S315" s="92">
        <v>9270000</v>
      </c>
      <c r="T315" s="88" t="s">
        <v>1634</v>
      </c>
      <c r="U315" s="1" t="s">
        <v>58</v>
      </c>
      <c r="V315" s="31">
        <v>43125</v>
      </c>
      <c r="W315" s="90">
        <v>5</v>
      </c>
      <c r="X315" s="20" t="s">
        <v>1694</v>
      </c>
      <c r="Y315" s="31">
        <v>43277</v>
      </c>
      <c r="Z315" s="107">
        <v>7725000</v>
      </c>
      <c r="AA315" s="107"/>
      <c r="AB315" s="1"/>
      <c r="AC315" s="31">
        <v>43105</v>
      </c>
      <c r="AD315" s="94">
        <v>33423500</v>
      </c>
      <c r="AE315" s="1"/>
      <c r="AF315" s="1"/>
      <c r="AG315" s="1"/>
      <c r="AH315" s="94"/>
      <c r="AI315" s="107"/>
      <c r="AJ315" s="1"/>
      <c r="AK315" s="1"/>
      <c r="AL315" s="94">
        <v>7725000</v>
      </c>
      <c r="AM315" s="94"/>
      <c r="AN315" s="94">
        <f>+AL315-AM315</f>
        <v>7725000</v>
      </c>
      <c r="AO315" s="1"/>
      <c r="AP315" s="1"/>
      <c r="AQ315" s="1"/>
      <c r="AR315" s="1"/>
      <c r="AS315" s="1"/>
      <c r="AT315" s="1"/>
      <c r="AU315" s="1"/>
      <c r="AV315" s="49"/>
    </row>
    <row r="316" spans="1:48" ht="384" thickTop="1" thickBot="1" x14ac:dyDescent="0.25">
      <c r="A316" s="215">
        <v>24</v>
      </c>
      <c r="B316" s="216" t="s">
        <v>1695</v>
      </c>
      <c r="C316" s="69" t="s">
        <v>1601</v>
      </c>
      <c r="D316" s="1" t="s">
        <v>485</v>
      </c>
      <c r="E316" s="69" t="s">
        <v>1612</v>
      </c>
      <c r="F316" s="1" t="s">
        <v>511</v>
      </c>
      <c r="G316" s="1" t="s">
        <v>512</v>
      </c>
      <c r="H316" s="7" t="s">
        <v>513</v>
      </c>
      <c r="I316" s="1" t="s">
        <v>54</v>
      </c>
      <c r="J316" s="69" t="s">
        <v>55</v>
      </c>
      <c r="K316" s="69">
        <v>801116</v>
      </c>
      <c r="L316" s="69" t="s">
        <v>1603</v>
      </c>
      <c r="M316" s="69" t="s">
        <v>1604</v>
      </c>
      <c r="N316" s="69" t="s">
        <v>1605</v>
      </c>
      <c r="O316" s="69" t="s">
        <v>1606</v>
      </c>
      <c r="P316" s="85" t="s">
        <v>1678</v>
      </c>
      <c r="Q316" s="91">
        <v>3038500</v>
      </c>
      <c r="R316" s="1">
        <v>1</v>
      </c>
      <c r="S316" s="92">
        <v>33423500</v>
      </c>
      <c r="T316" s="88" t="s">
        <v>1634</v>
      </c>
      <c r="U316" s="1" t="s">
        <v>58</v>
      </c>
      <c r="V316" s="31">
        <v>43125</v>
      </c>
      <c r="W316" s="90">
        <v>11</v>
      </c>
      <c r="X316" s="20" t="s">
        <v>1696</v>
      </c>
      <c r="Y316" s="31">
        <v>43103</v>
      </c>
      <c r="Z316" s="94">
        <v>33423500</v>
      </c>
      <c r="AA316" s="107"/>
      <c r="AB316" s="1">
        <v>171</v>
      </c>
      <c r="AC316" s="31">
        <v>43105</v>
      </c>
      <c r="AD316" s="94">
        <v>33423500</v>
      </c>
      <c r="AE316" s="1"/>
      <c r="AF316" s="1">
        <v>7</v>
      </c>
      <c r="AG316" s="31">
        <v>43112</v>
      </c>
      <c r="AH316" s="94">
        <v>33423500</v>
      </c>
      <c r="AI316" s="107" t="s">
        <v>1697</v>
      </c>
      <c r="AJ316" s="1">
        <v>3</v>
      </c>
      <c r="AK316" s="1"/>
      <c r="AL316" s="94">
        <f>AH316</f>
        <v>33423500</v>
      </c>
      <c r="AM316" s="94">
        <f>+VLOOKUP(AF316,'[1]Compromisos CRP a 31 Julio de 2'!$J$428:$V$2707,13,0)</f>
        <v>17116883</v>
      </c>
      <c r="AN316" s="94">
        <f>AL316-AM316</f>
        <v>16306617</v>
      </c>
      <c r="AO316" s="1"/>
      <c r="AP316" s="1"/>
      <c r="AQ316" s="1"/>
      <c r="AR316" s="31">
        <v>43102</v>
      </c>
      <c r="AS316" s="1" t="s">
        <v>1615</v>
      </c>
      <c r="AT316" s="31">
        <v>43102</v>
      </c>
      <c r="AU316" s="1" t="s">
        <v>1623</v>
      </c>
      <c r="AV316" s="49"/>
    </row>
    <row r="317" spans="1:48" ht="384" thickTop="1" thickBot="1" x14ac:dyDescent="0.25">
      <c r="A317" s="215">
        <v>25</v>
      </c>
      <c r="B317" s="216" t="s">
        <v>1698</v>
      </c>
      <c r="C317" s="69" t="s">
        <v>1601</v>
      </c>
      <c r="D317" s="1" t="s">
        <v>485</v>
      </c>
      <c r="E317" s="69" t="s">
        <v>1612</v>
      </c>
      <c r="F317" s="1" t="s">
        <v>511</v>
      </c>
      <c r="G317" s="1" t="s">
        <v>512</v>
      </c>
      <c r="H317" s="7" t="s">
        <v>513</v>
      </c>
      <c r="I317" s="1" t="s">
        <v>54</v>
      </c>
      <c r="J317" s="69" t="s">
        <v>55</v>
      </c>
      <c r="K317" s="69">
        <v>801116</v>
      </c>
      <c r="L317" s="69" t="s">
        <v>1603</v>
      </c>
      <c r="M317" s="69" t="s">
        <v>1604</v>
      </c>
      <c r="N317" s="69" t="s">
        <v>1605</v>
      </c>
      <c r="O317" s="69" t="s">
        <v>1606</v>
      </c>
      <c r="P317" s="85" t="s">
        <v>1678</v>
      </c>
      <c r="Q317" s="91">
        <v>2472000</v>
      </c>
      <c r="R317" s="1">
        <v>1</v>
      </c>
      <c r="S317" s="92">
        <v>27192000</v>
      </c>
      <c r="T317" s="88" t="s">
        <v>1634</v>
      </c>
      <c r="U317" s="1" t="s">
        <v>58</v>
      </c>
      <c r="V317" s="31">
        <v>43125</v>
      </c>
      <c r="W317" s="90">
        <v>11</v>
      </c>
      <c r="X317" s="20" t="s">
        <v>1699</v>
      </c>
      <c r="Y317" s="31">
        <v>43103</v>
      </c>
      <c r="Z317" s="94">
        <v>27192000</v>
      </c>
      <c r="AA317" s="107"/>
      <c r="AB317" s="1">
        <v>172</v>
      </c>
      <c r="AC317" s="31">
        <v>43105</v>
      </c>
      <c r="AD317" s="94">
        <v>27192000</v>
      </c>
      <c r="AE317" s="1"/>
      <c r="AF317" s="1">
        <v>399</v>
      </c>
      <c r="AG317" s="31">
        <v>43124</v>
      </c>
      <c r="AH317" s="94">
        <v>27192000</v>
      </c>
      <c r="AI317" s="107" t="s">
        <v>1700</v>
      </c>
      <c r="AJ317" s="1">
        <v>320</v>
      </c>
      <c r="AK317" s="1"/>
      <c r="AL317" s="94">
        <f t="shared" ref="AL317:AL326" si="28">AH317</f>
        <v>27192000</v>
      </c>
      <c r="AM317" s="94">
        <f>+VLOOKUP(AF317,'[1]Compromisos CRP a 31 Julio de 2'!$J$428:$V$2707,13,0)</f>
        <v>12936800</v>
      </c>
      <c r="AN317" s="94">
        <f>AL317-AM317</f>
        <v>14255200</v>
      </c>
      <c r="AO317" s="1"/>
      <c r="AP317" s="1"/>
      <c r="AQ317" s="1"/>
      <c r="AR317" s="31">
        <v>43102</v>
      </c>
      <c r="AS317" s="1" t="s">
        <v>1615</v>
      </c>
      <c r="AT317" s="31">
        <v>43102</v>
      </c>
      <c r="AU317" s="1" t="s">
        <v>1623</v>
      </c>
      <c r="AV317" s="49"/>
    </row>
    <row r="318" spans="1:48" ht="320.25" thickTop="1" thickBot="1" x14ac:dyDescent="0.25">
      <c r="A318" s="215">
        <v>26</v>
      </c>
      <c r="B318" s="216" t="s">
        <v>1701</v>
      </c>
      <c r="C318" s="69" t="s">
        <v>1601</v>
      </c>
      <c r="D318" s="1" t="s">
        <v>485</v>
      </c>
      <c r="E318" s="69" t="s">
        <v>1602</v>
      </c>
      <c r="F318" s="1" t="s">
        <v>511</v>
      </c>
      <c r="G318" s="1" t="s">
        <v>512</v>
      </c>
      <c r="H318" s="7" t="s">
        <v>513</v>
      </c>
      <c r="I318" s="1" t="s">
        <v>54</v>
      </c>
      <c r="J318" s="69" t="s">
        <v>55</v>
      </c>
      <c r="K318" s="69">
        <v>801116</v>
      </c>
      <c r="L318" s="69" t="s">
        <v>1603</v>
      </c>
      <c r="M318" s="69" t="s">
        <v>1604</v>
      </c>
      <c r="N318" s="69" t="s">
        <v>1605</v>
      </c>
      <c r="O318" s="69" t="s">
        <v>1606</v>
      </c>
      <c r="P318" s="85" t="s">
        <v>1682</v>
      </c>
      <c r="Q318" s="91">
        <v>1545000</v>
      </c>
      <c r="R318" s="1">
        <v>1</v>
      </c>
      <c r="S318" s="92">
        <v>16995000</v>
      </c>
      <c r="T318" s="88" t="s">
        <v>1619</v>
      </c>
      <c r="U318" s="1" t="s">
        <v>58</v>
      </c>
      <c r="V318" s="31">
        <v>43125</v>
      </c>
      <c r="W318" s="90">
        <v>11</v>
      </c>
      <c r="X318" s="20" t="s">
        <v>1702</v>
      </c>
      <c r="Y318" s="31">
        <v>43103</v>
      </c>
      <c r="Z318" s="94">
        <v>16995000</v>
      </c>
      <c r="AA318" s="107"/>
      <c r="AB318" s="1">
        <v>173</v>
      </c>
      <c r="AC318" s="31">
        <v>43105</v>
      </c>
      <c r="AD318" s="94">
        <v>16995000</v>
      </c>
      <c r="AE318" s="1"/>
      <c r="AF318" s="1">
        <v>66</v>
      </c>
      <c r="AG318" s="31">
        <v>43116</v>
      </c>
      <c r="AH318" s="94">
        <v>16995000</v>
      </c>
      <c r="AI318" s="107" t="s">
        <v>1703</v>
      </c>
      <c r="AJ318" s="1">
        <v>31</v>
      </c>
      <c r="AK318" s="1"/>
      <c r="AL318" s="94">
        <f t="shared" si="28"/>
        <v>16995000</v>
      </c>
      <c r="AM318" s="94">
        <f>+VLOOKUP(AF318,'[1]Compromisos CRP a 31 Julio de 2'!$J$428:$V$2707,13,0)</f>
        <v>8497500</v>
      </c>
      <c r="AN318" s="94">
        <f>AL318-AM318</f>
        <v>8497500</v>
      </c>
      <c r="AO318" s="1"/>
      <c r="AP318" s="1"/>
      <c r="AQ318" s="1"/>
      <c r="AR318" s="31">
        <v>43102</v>
      </c>
      <c r="AS318" s="1" t="s">
        <v>1615</v>
      </c>
      <c r="AT318" s="31">
        <v>43102</v>
      </c>
      <c r="AU318" s="1" t="s">
        <v>1623</v>
      </c>
      <c r="AV318" s="49"/>
    </row>
    <row r="319" spans="1:48" ht="384" thickTop="1" thickBot="1" x14ac:dyDescent="0.25">
      <c r="A319" s="215">
        <v>27</v>
      </c>
      <c r="B319" s="216" t="s">
        <v>1704</v>
      </c>
      <c r="C319" s="69" t="s">
        <v>1601</v>
      </c>
      <c r="D319" s="1" t="s">
        <v>485</v>
      </c>
      <c r="E319" s="69" t="s">
        <v>1612</v>
      </c>
      <c r="F319" s="1" t="s">
        <v>511</v>
      </c>
      <c r="G319" s="1" t="s">
        <v>512</v>
      </c>
      <c r="H319" s="7" t="s">
        <v>513</v>
      </c>
      <c r="I319" s="1" t="s">
        <v>54</v>
      </c>
      <c r="J319" s="69" t="s">
        <v>55</v>
      </c>
      <c r="K319" s="69">
        <v>801116</v>
      </c>
      <c r="L319" s="69" t="s">
        <v>1603</v>
      </c>
      <c r="M319" s="69" t="s">
        <v>1604</v>
      </c>
      <c r="N319" s="69" t="s">
        <v>1605</v>
      </c>
      <c r="O319" s="69" t="s">
        <v>1606</v>
      </c>
      <c r="P319" s="85" t="s">
        <v>1705</v>
      </c>
      <c r="Q319" s="91">
        <v>1545000</v>
      </c>
      <c r="R319" s="1">
        <v>1</v>
      </c>
      <c r="S319" s="92">
        <v>16995000</v>
      </c>
      <c r="T319" s="88" t="s">
        <v>1619</v>
      </c>
      <c r="U319" s="1" t="s">
        <v>58</v>
      </c>
      <c r="V319" s="31">
        <v>43125</v>
      </c>
      <c r="W319" s="90">
        <v>11</v>
      </c>
      <c r="X319" s="20" t="s">
        <v>1706</v>
      </c>
      <c r="Y319" s="31">
        <v>43103</v>
      </c>
      <c r="Z319" s="94">
        <v>16995000</v>
      </c>
      <c r="AA319" s="107"/>
      <c r="AB319" s="1">
        <v>174</v>
      </c>
      <c r="AC319" s="31">
        <v>43105</v>
      </c>
      <c r="AD319" s="94">
        <v>16995000</v>
      </c>
      <c r="AE319" s="1"/>
      <c r="AF319" s="1">
        <v>169</v>
      </c>
      <c r="AG319" s="31">
        <v>43118</v>
      </c>
      <c r="AH319" s="94">
        <v>16995000</v>
      </c>
      <c r="AI319" s="107" t="s">
        <v>1707</v>
      </c>
      <c r="AJ319" s="1">
        <v>140</v>
      </c>
      <c r="AK319" s="1"/>
      <c r="AL319" s="94">
        <f t="shared" si="28"/>
        <v>16995000</v>
      </c>
      <c r="AM319" s="94">
        <f>+VLOOKUP(AF319,'[1]Compromisos CRP a 31 Julio de 2'!$J$428:$V$2707,13,0)</f>
        <v>8343000</v>
      </c>
      <c r="AN319" s="94">
        <f>AL319-AM319</f>
        <v>8652000</v>
      </c>
      <c r="AO319" s="1"/>
      <c r="AP319" s="1"/>
      <c r="AQ319" s="1"/>
      <c r="AR319" s="31">
        <v>43102</v>
      </c>
      <c r="AS319" s="1" t="s">
        <v>1615</v>
      </c>
      <c r="AT319" s="31">
        <v>43102</v>
      </c>
      <c r="AU319" s="1" t="s">
        <v>1623</v>
      </c>
      <c r="AV319" s="49"/>
    </row>
    <row r="320" spans="1:48" ht="409.6" thickTop="1" thickBot="1" x14ac:dyDescent="0.25">
      <c r="A320" s="215">
        <v>28</v>
      </c>
      <c r="B320" s="216" t="s">
        <v>1708</v>
      </c>
      <c r="C320" s="69" t="s">
        <v>1601</v>
      </c>
      <c r="D320" s="1" t="s">
        <v>485</v>
      </c>
      <c r="E320" s="69" t="s">
        <v>1612</v>
      </c>
      <c r="F320" s="1" t="s">
        <v>511</v>
      </c>
      <c r="G320" s="1" t="s">
        <v>512</v>
      </c>
      <c r="H320" s="7" t="s">
        <v>513</v>
      </c>
      <c r="I320" s="1" t="s">
        <v>54</v>
      </c>
      <c r="J320" s="69" t="s">
        <v>55</v>
      </c>
      <c r="K320" s="69">
        <v>801116</v>
      </c>
      <c r="L320" s="69" t="s">
        <v>1603</v>
      </c>
      <c r="M320" s="69" t="s">
        <v>1604</v>
      </c>
      <c r="N320" s="69" t="s">
        <v>1605</v>
      </c>
      <c r="O320" s="69" t="s">
        <v>1606</v>
      </c>
      <c r="P320" s="85" t="s">
        <v>1709</v>
      </c>
      <c r="Q320" s="91">
        <v>7210000</v>
      </c>
      <c r="R320" s="1">
        <v>1</v>
      </c>
      <c r="S320" s="92">
        <v>79310000</v>
      </c>
      <c r="T320" s="88" t="s">
        <v>1619</v>
      </c>
      <c r="U320" s="1" t="s">
        <v>58</v>
      </c>
      <c r="V320" s="31">
        <v>43125</v>
      </c>
      <c r="W320" s="90">
        <v>11</v>
      </c>
      <c r="X320" s="20" t="s">
        <v>1710</v>
      </c>
      <c r="Y320" s="31">
        <v>43103</v>
      </c>
      <c r="Z320" s="94">
        <v>79310000</v>
      </c>
      <c r="AA320" s="107"/>
      <c r="AB320" s="1">
        <v>175</v>
      </c>
      <c r="AC320" s="31">
        <v>43105</v>
      </c>
      <c r="AD320" s="94">
        <v>79310000</v>
      </c>
      <c r="AE320" s="1"/>
      <c r="AF320" s="1">
        <v>64</v>
      </c>
      <c r="AG320" s="31">
        <v>43116</v>
      </c>
      <c r="AH320" s="94">
        <v>79310000</v>
      </c>
      <c r="AI320" s="107" t="s">
        <v>1711</v>
      </c>
      <c r="AJ320" s="1">
        <v>29</v>
      </c>
      <c r="AK320" s="1"/>
      <c r="AL320" s="94">
        <f t="shared" si="28"/>
        <v>79310000</v>
      </c>
      <c r="AM320" s="94">
        <f>+VLOOKUP(AF320,'[1]Compromisos CRP a 31 Julio de 2'!$J$428:$V$2707,13,0)</f>
        <v>36530667</v>
      </c>
      <c r="AN320" s="94">
        <f>AL320-AM320</f>
        <v>42779333</v>
      </c>
      <c r="AO320" s="1"/>
      <c r="AP320" s="1"/>
      <c r="AQ320" s="1"/>
      <c r="AR320" s="31">
        <v>43102</v>
      </c>
      <c r="AS320" s="1" t="s">
        <v>1615</v>
      </c>
      <c r="AT320" s="31">
        <v>43102</v>
      </c>
      <c r="AU320" s="1" t="s">
        <v>1623</v>
      </c>
      <c r="AV320" s="49"/>
    </row>
    <row r="321" spans="1:48" ht="371.25" thickTop="1" thickBot="1" x14ac:dyDescent="0.25">
      <c r="A321" s="215">
        <v>29</v>
      </c>
      <c r="B321" s="216" t="s">
        <v>1712</v>
      </c>
      <c r="C321" s="69" t="s">
        <v>1601</v>
      </c>
      <c r="D321" s="1" t="s">
        <v>485</v>
      </c>
      <c r="E321" s="69" t="s">
        <v>1602</v>
      </c>
      <c r="F321" s="1" t="s">
        <v>511</v>
      </c>
      <c r="G321" s="1" t="s">
        <v>512</v>
      </c>
      <c r="H321" s="7" t="s">
        <v>513</v>
      </c>
      <c r="I321" s="1" t="s">
        <v>54</v>
      </c>
      <c r="J321" s="69" t="s">
        <v>55</v>
      </c>
      <c r="K321" s="69">
        <v>801116</v>
      </c>
      <c r="L321" s="69" t="s">
        <v>1603</v>
      </c>
      <c r="M321" s="69" t="s">
        <v>1604</v>
      </c>
      <c r="N321" s="69" t="s">
        <v>1605</v>
      </c>
      <c r="O321" s="69" t="s">
        <v>1606</v>
      </c>
      <c r="P321" s="85" t="s">
        <v>1713</v>
      </c>
      <c r="Q321" s="91">
        <v>5665000</v>
      </c>
      <c r="R321" s="1">
        <v>1</v>
      </c>
      <c r="S321" s="92">
        <v>62315000</v>
      </c>
      <c r="T321" s="88" t="s">
        <v>1619</v>
      </c>
      <c r="U321" s="1" t="s">
        <v>58</v>
      </c>
      <c r="V321" s="31">
        <v>43125</v>
      </c>
      <c r="W321" s="90">
        <v>11</v>
      </c>
      <c r="X321" s="20" t="s">
        <v>1714</v>
      </c>
      <c r="Y321" s="31">
        <v>43103</v>
      </c>
      <c r="Z321" s="94">
        <v>62315000</v>
      </c>
      <c r="AA321" s="107"/>
      <c r="AB321" s="1">
        <v>176</v>
      </c>
      <c r="AC321" s="31">
        <v>43105</v>
      </c>
      <c r="AD321" s="94">
        <v>62315000</v>
      </c>
      <c r="AE321" s="1"/>
      <c r="AF321" s="1">
        <v>285</v>
      </c>
      <c r="AG321" s="31">
        <v>43122</v>
      </c>
      <c r="AH321" s="94">
        <v>62315000</v>
      </c>
      <c r="AI321" s="107" t="s">
        <v>1715</v>
      </c>
      <c r="AJ321" s="1">
        <v>255</v>
      </c>
      <c r="AK321" s="1"/>
      <c r="AL321" s="94">
        <f t="shared" si="28"/>
        <v>62315000</v>
      </c>
      <c r="AM321" s="94">
        <f>+VLOOKUP(AF321,'[1]Compromisos CRP a 31 Julio de 2'!$J$428:$V$2707,13,0)</f>
        <v>30024500</v>
      </c>
      <c r="AN321" s="94">
        <f t="shared" ref="AN321:AN322" si="29">AL321-AM321</f>
        <v>32290500</v>
      </c>
      <c r="AO321" s="1"/>
      <c r="AP321" s="1"/>
      <c r="AQ321" s="1"/>
      <c r="AR321" s="31">
        <v>43102</v>
      </c>
      <c r="AS321" s="1" t="s">
        <v>1615</v>
      </c>
      <c r="AT321" s="31">
        <v>43102</v>
      </c>
      <c r="AU321" s="1" t="s">
        <v>1623</v>
      </c>
      <c r="AV321" s="49"/>
    </row>
    <row r="322" spans="1:48" ht="384" thickTop="1" thickBot="1" x14ac:dyDescent="0.25">
      <c r="A322" s="215">
        <v>30</v>
      </c>
      <c r="B322" s="216" t="s">
        <v>1716</v>
      </c>
      <c r="C322" s="69" t="s">
        <v>1601</v>
      </c>
      <c r="D322" s="1" t="s">
        <v>485</v>
      </c>
      <c r="E322" s="69" t="s">
        <v>1602</v>
      </c>
      <c r="F322" s="1" t="s">
        <v>511</v>
      </c>
      <c r="G322" s="1" t="s">
        <v>512</v>
      </c>
      <c r="H322" s="7" t="s">
        <v>513</v>
      </c>
      <c r="I322" s="1" t="s">
        <v>54</v>
      </c>
      <c r="J322" s="69" t="s">
        <v>55</v>
      </c>
      <c r="K322" s="69">
        <v>801116</v>
      </c>
      <c r="L322" s="69" t="s">
        <v>1603</v>
      </c>
      <c r="M322" s="69" t="s">
        <v>1604</v>
      </c>
      <c r="N322" s="69" t="s">
        <v>1605</v>
      </c>
      <c r="O322" s="69" t="s">
        <v>1606</v>
      </c>
      <c r="P322" s="85" t="s">
        <v>1717</v>
      </c>
      <c r="Q322" s="91">
        <v>3038500</v>
      </c>
      <c r="R322" s="1">
        <v>1</v>
      </c>
      <c r="S322" s="92">
        <v>21269500</v>
      </c>
      <c r="T322" s="88" t="s">
        <v>1634</v>
      </c>
      <c r="U322" s="1" t="s">
        <v>58</v>
      </c>
      <c r="V322" s="31">
        <v>43125</v>
      </c>
      <c r="W322" s="90">
        <v>7</v>
      </c>
      <c r="X322" s="20" t="s">
        <v>1718</v>
      </c>
      <c r="Y322" s="31">
        <v>43103</v>
      </c>
      <c r="Z322" s="94">
        <v>21269500</v>
      </c>
      <c r="AA322" s="107"/>
      <c r="AB322" s="1">
        <v>178</v>
      </c>
      <c r="AC322" s="31">
        <v>43105</v>
      </c>
      <c r="AD322" s="94">
        <v>21269500</v>
      </c>
      <c r="AE322" s="1"/>
      <c r="AF322" s="1">
        <v>279</v>
      </c>
      <c r="AG322" s="31">
        <v>43122</v>
      </c>
      <c r="AH322" s="94">
        <v>21269500</v>
      </c>
      <c r="AI322" s="107" t="s">
        <v>1719</v>
      </c>
      <c r="AJ322" s="1">
        <v>249</v>
      </c>
      <c r="AK322" s="1"/>
      <c r="AL322" s="94">
        <f t="shared" si="28"/>
        <v>21269500</v>
      </c>
      <c r="AM322" s="94">
        <f>+VLOOKUP(AF322,'[1]Compromisos CRP a 31 Julio de 2'!$J$428:$V$2707,13,0)</f>
        <v>15901483</v>
      </c>
      <c r="AN322" s="94">
        <f t="shared" si="29"/>
        <v>5368017</v>
      </c>
      <c r="AO322" s="1"/>
      <c r="AP322" s="1"/>
      <c r="AQ322" s="1"/>
      <c r="AR322" s="31">
        <v>43102</v>
      </c>
      <c r="AS322" s="1" t="s">
        <v>1615</v>
      </c>
      <c r="AT322" s="31">
        <v>43102</v>
      </c>
      <c r="AU322" s="1" t="s">
        <v>1623</v>
      </c>
      <c r="AV322" s="49"/>
    </row>
    <row r="323" spans="1:48" ht="333" thickTop="1" thickBot="1" x14ac:dyDescent="0.25">
      <c r="A323" s="215">
        <v>31</v>
      </c>
      <c r="B323" s="216" t="s">
        <v>1720</v>
      </c>
      <c r="C323" s="69" t="s">
        <v>1601</v>
      </c>
      <c r="D323" s="1" t="s">
        <v>485</v>
      </c>
      <c r="E323" s="69" t="s">
        <v>1602</v>
      </c>
      <c r="F323" s="1" t="s">
        <v>511</v>
      </c>
      <c r="G323" s="1" t="s">
        <v>512</v>
      </c>
      <c r="H323" s="7" t="s">
        <v>513</v>
      </c>
      <c r="I323" s="1" t="s">
        <v>54</v>
      </c>
      <c r="J323" s="69" t="s">
        <v>55</v>
      </c>
      <c r="K323" s="69">
        <v>801116</v>
      </c>
      <c r="L323" s="69" t="s">
        <v>1603</v>
      </c>
      <c r="M323" s="69" t="s">
        <v>1604</v>
      </c>
      <c r="N323" s="69" t="s">
        <v>1605</v>
      </c>
      <c r="O323" s="69" t="s">
        <v>1606</v>
      </c>
      <c r="P323" s="85" t="s">
        <v>1721</v>
      </c>
      <c r="Q323" s="91">
        <v>4532000</v>
      </c>
      <c r="R323" s="1">
        <v>1</v>
      </c>
      <c r="S323" s="92">
        <v>49852000</v>
      </c>
      <c r="T323" s="88" t="s">
        <v>1619</v>
      </c>
      <c r="U323" s="1" t="s">
        <v>58</v>
      </c>
      <c r="V323" s="31">
        <v>43125</v>
      </c>
      <c r="W323" s="90">
        <v>11</v>
      </c>
      <c r="X323" s="20" t="s">
        <v>1722</v>
      </c>
      <c r="Y323" s="31">
        <v>43103</v>
      </c>
      <c r="Z323" s="94">
        <v>49852000</v>
      </c>
      <c r="AA323" s="107"/>
      <c r="AB323" s="1">
        <v>179</v>
      </c>
      <c r="AC323" s="31">
        <v>43105</v>
      </c>
      <c r="AD323" s="94">
        <v>49852000</v>
      </c>
      <c r="AE323" s="1"/>
      <c r="AF323" s="1">
        <v>8</v>
      </c>
      <c r="AG323" s="31">
        <v>43112</v>
      </c>
      <c r="AH323" s="94">
        <v>49852000</v>
      </c>
      <c r="AI323" s="107" t="s">
        <v>1723</v>
      </c>
      <c r="AJ323" s="1">
        <v>4</v>
      </c>
      <c r="AK323" s="1"/>
      <c r="AL323" s="94">
        <f t="shared" si="28"/>
        <v>49852000</v>
      </c>
      <c r="AM323" s="94">
        <f>+VLOOKUP(AF323,'[1]Compromisos CRP a 31 Julio de 2'!$J$428:$V$2707,13,0)</f>
        <v>25530267</v>
      </c>
      <c r="AN323" s="94">
        <f>AL323-AM323</f>
        <v>24321733</v>
      </c>
      <c r="AO323" s="1"/>
      <c r="AP323" s="1"/>
      <c r="AQ323" s="1"/>
      <c r="AR323" s="31">
        <v>43102</v>
      </c>
      <c r="AS323" s="1" t="s">
        <v>1615</v>
      </c>
      <c r="AT323" s="31">
        <v>43102</v>
      </c>
      <c r="AU323" s="1" t="s">
        <v>1623</v>
      </c>
      <c r="AV323" s="49"/>
    </row>
    <row r="324" spans="1:48" ht="384" thickTop="1" thickBot="1" x14ac:dyDescent="0.25">
      <c r="A324" s="215">
        <v>32</v>
      </c>
      <c r="B324" s="216" t="s">
        <v>1724</v>
      </c>
      <c r="C324" s="69" t="s">
        <v>1601</v>
      </c>
      <c r="D324" s="1" t="s">
        <v>485</v>
      </c>
      <c r="E324" s="69" t="s">
        <v>1612</v>
      </c>
      <c r="F324" s="1" t="s">
        <v>511</v>
      </c>
      <c r="G324" s="1" t="s">
        <v>512</v>
      </c>
      <c r="H324" s="7" t="s">
        <v>513</v>
      </c>
      <c r="I324" s="1" t="s">
        <v>54</v>
      </c>
      <c r="J324" s="69" t="s">
        <v>55</v>
      </c>
      <c r="K324" s="69">
        <v>801116</v>
      </c>
      <c r="L324" s="69" t="s">
        <v>1603</v>
      </c>
      <c r="M324" s="69" t="s">
        <v>1604</v>
      </c>
      <c r="N324" s="69" t="s">
        <v>1605</v>
      </c>
      <c r="O324" s="69" t="s">
        <v>1606</v>
      </c>
      <c r="P324" s="85" t="s">
        <v>1725</v>
      </c>
      <c r="Q324" s="91">
        <v>5253000</v>
      </c>
      <c r="R324" s="1">
        <v>1</v>
      </c>
      <c r="S324" s="92">
        <v>57783000</v>
      </c>
      <c r="T324" s="88" t="s">
        <v>1619</v>
      </c>
      <c r="U324" s="1" t="s">
        <v>58</v>
      </c>
      <c r="V324" s="31">
        <v>43125</v>
      </c>
      <c r="W324" s="90">
        <v>11</v>
      </c>
      <c r="X324" s="20" t="s">
        <v>1726</v>
      </c>
      <c r="Y324" s="31">
        <v>43103</v>
      </c>
      <c r="Z324" s="94">
        <v>57783000</v>
      </c>
      <c r="AA324" s="107"/>
      <c r="AB324" s="1">
        <v>181</v>
      </c>
      <c r="AC324" s="31">
        <v>43105</v>
      </c>
      <c r="AD324" s="94">
        <v>57783000</v>
      </c>
      <c r="AE324" s="1"/>
      <c r="AF324" s="1">
        <v>196</v>
      </c>
      <c r="AG324" s="31">
        <v>43118</v>
      </c>
      <c r="AH324" s="94">
        <v>57783000</v>
      </c>
      <c r="AI324" s="107" t="s">
        <v>1727</v>
      </c>
      <c r="AJ324" s="1">
        <v>182</v>
      </c>
      <c r="AK324" s="1"/>
      <c r="AL324" s="94">
        <f t="shared" si="28"/>
        <v>57783000</v>
      </c>
      <c r="AM324" s="94">
        <f>+VLOOKUP(AF324,'[1]Compromisos CRP a 31 Julio de 2'!$J$428:$V$2707,13,0)</f>
        <v>28366200</v>
      </c>
      <c r="AN324" s="94">
        <f>AL324-AM324</f>
        <v>29416800</v>
      </c>
      <c r="AO324" s="1"/>
      <c r="AP324" s="1"/>
      <c r="AQ324" s="1"/>
      <c r="AR324" s="31">
        <v>43102</v>
      </c>
      <c r="AS324" s="1" t="s">
        <v>1615</v>
      </c>
      <c r="AT324" s="31">
        <v>43102</v>
      </c>
      <c r="AU324" s="1" t="s">
        <v>1623</v>
      </c>
      <c r="AV324" s="49"/>
    </row>
    <row r="325" spans="1:48" ht="409.6" thickTop="1" thickBot="1" x14ac:dyDescent="0.25">
      <c r="A325" s="215">
        <v>33</v>
      </c>
      <c r="B325" s="216" t="s">
        <v>1728</v>
      </c>
      <c r="C325" s="69" t="s">
        <v>1601</v>
      </c>
      <c r="D325" s="1" t="s">
        <v>485</v>
      </c>
      <c r="E325" s="69" t="s">
        <v>1612</v>
      </c>
      <c r="F325" s="1" t="s">
        <v>511</v>
      </c>
      <c r="G325" s="1" t="s">
        <v>512</v>
      </c>
      <c r="H325" s="7" t="s">
        <v>513</v>
      </c>
      <c r="I325" s="1" t="s">
        <v>54</v>
      </c>
      <c r="J325" s="69" t="s">
        <v>55</v>
      </c>
      <c r="K325" s="69">
        <v>801116</v>
      </c>
      <c r="L325" s="69" t="s">
        <v>1603</v>
      </c>
      <c r="M325" s="69" t="s">
        <v>1604</v>
      </c>
      <c r="N325" s="69" t="s">
        <v>1605</v>
      </c>
      <c r="O325" s="69" t="s">
        <v>1606</v>
      </c>
      <c r="P325" s="85" t="s">
        <v>1729</v>
      </c>
      <c r="Q325" s="91">
        <v>5665000</v>
      </c>
      <c r="R325" s="1">
        <v>1</v>
      </c>
      <c r="S325" s="92">
        <v>62315000</v>
      </c>
      <c r="T325" s="88" t="s">
        <v>1619</v>
      </c>
      <c r="U325" s="1" t="s">
        <v>58</v>
      </c>
      <c r="V325" s="31">
        <v>43125</v>
      </c>
      <c r="W325" s="90">
        <v>11</v>
      </c>
      <c r="X325" s="20" t="s">
        <v>1730</v>
      </c>
      <c r="Y325" s="31">
        <v>43103</v>
      </c>
      <c r="Z325" s="94">
        <v>62315000</v>
      </c>
      <c r="AA325" s="107"/>
      <c r="AB325" s="1">
        <v>182</v>
      </c>
      <c r="AC325" s="31">
        <v>43105</v>
      </c>
      <c r="AD325" s="94">
        <v>62315000</v>
      </c>
      <c r="AE325" s="1"/>
      <c r="AF325" s="1">
        <v>27</v>
      </c>
      <c r="AG325" s="31">
        <v>43115</v>
      </c>
      <c r="AH325" s="94">
        <v>62315000</v>
      </c>
      <c r="AI325" s="107" t="s">
        <v>1731</v>
      </c>
      <c r="AJ325" s="1">
        <v>19</v>
      </c>
      <c r="AK325" s="1"/>
      <c r="AL325" s="94">
        <f t="shared" si="28"/>
        <v>62315000</v>
      </c>
      <c r="AM325" s="94">
        <f>+VLOOKUP(AF325,'[1]Compromisos CRP a 31 Julio de 2'!$J$428:$V$2707,13,0)</f>
        <v>31346333</v>
      </c>
      <c r="AN325" s="94">
        <f>AL325-AM325</f>
        <v>30968667</v>
      </c>
      <c r="AO325" s="1"/>
      <c r="AP325" s="1"/>
      <c r="AQ325" s="1"/>
      <c r="AR325" s="31">
        <v>43102</v>
      </c>
      <c r="AS325" s="1" t="s">
        <v>1615</v>
      </c>
      <c r="AT325" s="31">
        <v>43102</v>
      </c>
      <c r="AU325" s="1" t="s">
        <v>1623</v>
      </c>
      <c r="AV325" s="49"/>
    </row>
    <row r="326" spans="1:48" ht="409.6" thickTop="1" thickBot="1" x14ac:dyDescent="0.25">
      <c r="A326" s="215">
        <v>34</v>
      </c>
      <c r="B326" s="216" t="s">
        <v>1732</v>
      </c>
      <c r="C326" s="69" t="s">
        <v>1601</v>
      </c>
      <c r="D326" s="1" t="s">
        <v>485</v>
      </c>
      <c r="E326" s="69" t="s">
        <v>1610</v>
      </c>
      <c r="F326" s="1" t="s">
        <v>511</v>
      </c>
      <c r="G326" s="1" t="s">
        <v>512</v>
      </c>
      <c r="H326" s="7" t="s">
        <v>513</v>
      </c>
      <c r="I326" s="1" t="s">
        <v>54</v>
      </c>
      <c r="J326" s="69" t="s">
        <v>55</v>
      </c>
      <c r="K326" s="69">
        <v>801116</v>
      </c>
      <c r="L326" s="69" t="s">
        <v>1603</v>
      </c>
      <c r="M326" s="69" t="s">
        <v>1604</v>
      </c>
      <c r="N326" s="69" t="s">
        <v>1605</v>
      </c>
      <c r="O326" s="69" t="s">
        <v>1606</v>
      </c>
      <c r="P326" s="85" t="s">
        <v>1733</v>
      </c>
      <c r="Q326" s="91">
        <v>9520000</v>
      </c>
      <c r="R326" s="1">
        <v>1</v>
      </c>
      <c r="S326" s="92">
        <v>47600000</v>
      </c>
      <c r="T326" s="88" t="s">
        <v>1619</v>
      </c>
      <c r="U326" s="1" t="s">
        <v>58</v>
      </c>
      <c r="V326" s="31">
        <v>43125</v>
      </c>
      <c r="W326" s="90">
        <v>5</v>
      </c>
      <c r="X326" s="20" t="s">
        <v>1734</v>
      </c>
      <c r="Y326" s="31">
        <v>43103</v>
      </c>
      <c r="Z326" s="107">
        <v>47600000</v>
      </c>
      <c r="AA326" s="107"/>
      <c r="AB326" s="1">
        <v>183</v>
      </c>
      <c r="AC326" s="31">
        <v>43105</v>
      </c>
      <c r="AD326" s="94">
        <v>47600000</v>
      </c>
      <c r="AE326" s="1"/>
      <c r="AF326" s="1">
        <v>434</v>
      </c>
      <c r="AG326" s="31">
        <v>43124</v>
      </c>
      <c r="AH326" s="94">
        <v>47600000</v>
      </c>
      <c r="AI326" s="107" t="s">
        <v>1735</v>
      </c>
      <c r="AJ326" s="1">
        <v>317</v>
      </c>
      <c r="AK326" s="1"/>
      <c r="AL326" s="94">
        <f t="shared" si="28"/>
        <v>47600000</v>
      </c>
      <c r="AM326" s="94">
        <f>+VLOOKUP(AF326,'[1]Compromisos CRP a 31 Julio de 2'!$J$428:$V$2707,13,0)</f>
        <v>47600000</v>
      </c>
      <c r="AN326" s="94">
        <f>AL326-AM326</f>
        <v>0</v>
      </c>
      <c r="AO326" s="1"/>
      <c r="AP326" s="1"/>
      <c r="AQ326" s="1"/>
      <c r="AR326" s="1" t="s">
        <v>1734</v>
      </c>
      <c r="AS326" s="1" t="s">
        <v>1615</v>
      </c>
      <c r="AT326" s="1" t="s">
        <v>1734</v>
      </c>
      <c r="AU326" s="1" t="s">
        <v>1623</v>
      </c>
      <c r="AV326" s="49"/>
    </row>
    <row r="327" spans="1:48" ht="358.5" thickTop="1" thickBot="1" x14ac:dyDescent="0.25">
      <c r="A327" s="215">
        <v>35</v>
      </c>
      <c r="B327" s="216" t="s">
        <v>1736</v>
      </c>
      <c r="C327" s="69" t="s">
        <v>1601</v>
      </c>
      <c r="D327" s="1" t="s">
        <v>485</v>
      </c>
      <c r="E327" s="69" t="s">
        <v>1610</v>
      </c>
      <c r="F327" s="1" t="s">
        <v>511</v>
      </c>
      <c r="G327" s="1" t="s">
        <v>512</v>
      </c>
      <c r="H327" s="7" t="s">
        <v>513</v>
      </c>
      <c r="I327" s="1" t="s">
        <v>54</v>
      </c>
      <c r="J327" s="69" t="s">
        <v>55</v>
      </c>
      <c r="K327" s="69">
        <v>801116</v>
      </c>
      <c r="L327" s="69" t="s">
        <v>1603</v>
      </c>
      <c r="M327" s="69" t="s">
        <v>1604</v>
      </c>
      <c r="N327" s="69" t="s">
        <v>1605</v>
      </c>
      <c r="O327" s="69" t="s">
        <v>1606</v>
      </c>
      <c r="P327" s="85" t="s">
        <v>1737</v>
      </c>
      <c r="Q327" s="91">
        <v>9805600</v>
      </c>
      <c r="R327" s="1">
        <v>1</v>
      </c>
      <c r="S327" s="92">
        <f>58833600-49000000</f>
        <v>9833600</v>
      </c>
      <c r="T327" s="88" t="s">
        <v>1619</v>
      </c>
      <c r="U327" s="1" t="s">
        <v>58</v>
      </c>
      <c r="V327" s="31">
        <v>43125</v>
      </c>
      <c r="W327" s="90">
        <v>6</v>
      </c>
      <c r="X327" s="20" t="s">
        <v>1738</v>
      </c>
      <c r="Y327" s="31">
        <v>43276</v>
      </c>
      <c r="Z327" s="92">
        <v>29416800</v>
      </c>
      <c r="AA327" s="107"/>
      <c r="AB327" s="1"/>
      <c r="AC327" s="1"/>
      <c r="AD327" s="1"/>
      <c r="AE327" s="1"/>
      <c r="AF327" s="1"/>
      <c r="AG327" s="1"/>
      <c r="AH327" s="94"/>
      <c r="AI327" s="107" t="s">
        <v>1735</v>
      </c>
      <c r="AJ327" s="1"/>
      <c r="AK327" s="1"/>
      <c r="AL327" s="94"/>
      <c r="AM327" s="94"/>
      <c r="AN327" s="1"/>
      <c r="AO327" s="1"/>
      <c r="AP327" s="1"/>
      <c r="AQ327" s="1" t="s">
        <v>1739</v>
      </c>
      <c r="AR327" s="1"/>
      <c r="AS327" s="1"/>
      <c r="AT327" s="1"/>
      <c r="AU327" s="1"/>
      <c r="AV327" s="49"/>
    </row>
    <row r="328" spans="1:48" ht="320.25" thickTop="1" thickBot="1" x14ac:dyDescent="0.25">
      <c r="A328" s="215">
        <v>36</v>
      </c>
      <c r="B328" s="216" t="s">
        <v>1740</v>
      </c>
      <c r="C328" s="69" t="s">
        <v>1601</v>
      </c>
      <c r="D328" s="1" t="s">
        <v>485</v>
      </c>
      <c r="E328" s="69" t="s">
        <v>1602</v>
      </c>
      <c r="F328" s="1" t="s">
        <v>511</v>
      </c>
      <c r="G328" s="1" t="s">
        <v>512</v>
      </c>
      <c r="H328" s="7" t="s">
        <v>513</v>
      </c>
      <c r="I328" s="1" t="s">
        <v>54</v>
      </c>
      <c r="J328" s="69" t="s">
        <v>55</v>
      </c>
      <c r="K328" s="69">
        <v>801116</v>
      </c>
      <c r="L328" s="69" t="s">
        <v>1603</v>
      </c>
      <c r="M328" s="69" t="s">
        <v>1604</v>
      </c>
      <c r="N328" s="69" t="s">
        <v>1605</v>
      </c>
      <c r="O328" s="69" t="s">
        <v>1606</v>
      </c>
      <c r="P328" s="85" t="s">
        <v>1618</v>
      </c>
      <c r="Q328" s="91">
        <v>6695000</v>
      </c>
      <c r="R328" s="1">
        <v>1</v>
      </c>
      <c r="S328" s="92">
        <v>73645000</v>
      </c>
      <c r="T328" s="88" t="s">
        <v>1619</v>
      </c>
      <c r="U328" s="1" t="s">
        <v>58</v>
      </c>
      <c r="V328" s="31">
        <v>43125</v>
      </c>
      <c r="W328" s="90">
        <v>11</v>
      </c>
      <c r="X328" s="20" t="s">
        <v>1741</v>
      </c>
      <c r="Y328" s="31">
        <v>43103</v>
      </c>
      <c r="Z328" s="94">
        <v>73645000</v>
      </c>
      <c r="AA328" s="107"/>
      <c r="AB328" s="1">
        <v>185</v>
      </c>
      <c r="AC328" s="31">
        <v>43105</v>
      </c>
      <c r="AD328" s="94">
        <v>73645000</v>
      </c>
      <c r="AE328" s="107"/>
      <c r="AF328" s="1">
        <v>240</v>
      </c>
      <c r="AG328" s="31">
        <v>43119</v>
      </c>
      <c r="AH328" s="94">
        <v>73645000</v>
      </c>
      <c r="AI328" s="107" t="s">
        <v>1742</v>
      </c>
      <c r="AJ328" s="1">
        <v>221</v>
      </c>
      <c r="AK328" s="1"/>
      <c r="AL328" s="94">
        <f t="shared" ref="AL328:AL340" si="30">AH328</f>
        <v>73645000</v>
      </c>
      <c r="AM328" s="94">
        <f>+VLOOKUP(AF328,'[1]Compromisos CRP a 31 Julio de 2'!$J$428:$V$2707,13,0)</f>
        <v>35483500</v>
      </c>
      <c r="AN328" s="94">
        <f>AL328-AM328</f>
        <v>38161500</v>
      </c>
      <c r="AO328" s="1"/>
      <c r="AP328" s="1"/>
      <c r="AQ328" s="1"/>
      <c r="AR328" s="31">
        <v>43102</v>
      </c>
      <c r="AS328" s="1" t="s">
        <v>1615</v>
      </c>
      <c r="AT328" s="31">
        <v>43102</v>
      </c>
      <c r="AU328" s="1" t="s">
        <v>1623</v>
      </c>
      <c r="AV328" s="49"/>
    </row>
    <row r="329" spans="1:48" ht="256.5" thickTop="1" thickBot="1" x14ac:dyDescent="0.25">
      <c r="A329" s="215">
        <v>37</v>
      </c>
      <c r="B329" s="216" t="s">
        <v>1743</v>
      </c>
      <c r="C329" s="69" t="s">
        <v>1601</v>
      </c>
      <c r="D329" s="1" t="s">
        <v>485</v>
      </c>
      <c r="E329" s="69" t="s">
        <v>1610</v>
      </c>
      <c r="F329" s="1" t="s">
        <v>511</v>
      </c>
      <c r="G329" s="1" t="s">
        <v>512</v>
      </c>
      <c r="H329" s="7" t="s">
        <v>513</v>
      </c>
      <c r="I329" s="1" t="s">
        <v>54</v>
      </c>
      <c r="J329" s="69" t="s">
        <v>55</v>
      </c>
      <c r="K329" s="69">
        <v>801116</v>
      </c>
      <c r="L329" s="69" t="s">
        <v>1603</v>
      </c>
      <c r="M329" s="69" t="s">
        <v>1604</v>
      </c>
      <c r="N329" s="69" t="s">
        <v>1605</v>
      </c>
      <c r="O329" s="69" t="s">
        <v>1606</v>
      </c>
      <c r="P329" s="85" t="s">
        <v>1618</v>
      </c>
      <c r="Q329" s="91">
        <v>6695000</v>
      </c>
      <c r="R329" s="1">
        <v>1</v>
      </c>
      <c r="S329" s="92">
        <v>73645000</v>
      </c>
      <c r="T329" s="88" t="s">
        <v>1619</v>
      </c>
      <c r="U329" s="1" t="s">
        <v>58</v>
      </c>
      <c r="V329" s="31">
        <v>43125</v>
      </c>
      <c r="W329" s="90">
        <v>11</v>
      </c>
      <c r="X329" s="20" t="s">
        <v>1744</v>
      </c>
      <c r="Y329" s="31">
        <v>43103</v>
      </c>
      <c r="Z329" s="94">
        <v>73645000</v>
      </c>
      <c r="AA329" s="107"/>
      <c r="AB329" s="1">
        <v>186</v>
      </c>
      <c r="AC329" s="31">
        <v>43105</v>
      </c>
      <c r="AD329" s="94">
        <v>73645000</v>
      </c>
      <c r="AE329" s="1"/>
      <c r="AF329" s="1">
        <v>5</v>
      </c>
      <c r="AG329" s="31">
        <v>43112</v>
      </c>
      <c r="AH329" s="94">
        <v>73645000</v>
      </c>
      <c r="AI329" s="107" t="s">
        <v>1745</v>
      </c>
      <c r="AJ329" s="1">
        <v>5</v>
      </c>
      <c r="AK329" s="1"/>
      <c r="AL329" s="94">
        <f t="shared" si="30"/>
        <v>73645000</v>
      </c>
      <c r="AM329" s="94">
        <f>+VLOOKUP(AF329,'[1]Compromisos CRP a 31 Julio de 2'!$J$428:$V$2707,13,0)</f>
        <v>37715167</v>
      </c>
      <c r="AN329" s="94">
        <f>AL329-AM329</f>
        <v>35929833</v>
      </c>
      <c r="AO329" s="1"/>
      <c r="AP329" s="1"/>
      <c r="AQ329" s="1"/>
      <c r="AR329" s="31">
        <v>43102</v>
      </c>
      <c r="AS329" s="1" t="s">
        <v>1615</v>
      </c>
      <c r="AT329" s="31">
        <v>43102</v>
      </c>
      <c r="AU329" s="1" t="s">
        <v>1623</v>
      </c>
      <c r="AV329" s="49"/>
    </row>
    <row r="330" spans="1:48" ht="320.25" thickTop="1" thickBot="1" x14ac:dyDescent="0.25">
      <c r="A330" s="215">
        <v>38</v>
      </c>
      <c r="B330" s="216" t="s">
        <v>1746</v>
      </c>
      <c r="C330" s="69" t="s">
        <v>1601</v>
      </c>
      <c r="D330" s="1" t="s">
        <v>485</v>
      </c>
      <c r="E330" s="69" t="s">
        <v>1602</v>
      </c>
      <c r="F330" s="1" t="s">
        <v>511</v>
      </c>
      <c r="G330" s="1" t="s">
        <v>512</v>
      </c>
      <c r="H330" s="7" t="s">
        <v>513</v>
      </c>
      <c r="I330" s="1" t="s">
        <v>54</v>
      </c>
      <c r="J330" s="69" t="s">
        <v>55</v>
      </c>
      <c r="K330" s="69">
        <v>801116</v>
      </c>
      <c r="L330" s="69" t="s">
        <v>1603</v>
      </c>
      <c r="M330" s="69" t="s">
        <v>1604</v>
      </c>
      <c r="N330" s="69" t="s">
        <v>1605</v>
      </c>
      <c r="O330" s="69" t="s">
        <v>1606</v>
      </c>
      <c r="P330" s="85" t="s">
        <v>1618</v>
      </c>
      <c r="Q330" s="91">
        <v>6695000</v>
      </c>
      <c r="R330" s="1">
        <v>1</v>
      </c>
      <c r="S330" s="92">
        <v>46865000</v>
      </c>
      <c r="T330" s="88" t="s">
        <v>1619</v>
      </c>
      <c r="U330" s="1" t="s">
        <v>58</v>
      </c>
      <c r="V330" s="31">
        <v>43125</v>
      </c>
      <c r="W330" s="90">
        <v>7</v>
      </c>
      <c r="X330" s="20" t="s">
        <v>1747</v>
      </c>
      <c r="Y330" s="31">
        <v>43103</v>
      </c>
      <c r="Z330" s="94">
        <v>46865000</v>
      </c>
      <c r="AA330" s="107"/>
      <c r="AB330" s="1">
        <v>188</v>
      </c>
      <c r="AC330" s="31">
        <v>43105</v>
      </c>
      <c r="AD330" s="94">
        <v>46865000</v>
      </c>
      <c r="AE330" s="1"/>
      <c r="AF330" s="1">
        <v>143</v>
      </c>
      <c r="AG330" s="31">
        <v>43117</v>
      </c>
      <c r="AH330" s="94">
        <v>46865000</v>
      </c>
      <c r="AI330" s="107" t="s">
        <v>1748</v>
      </c>
      <c r="AJ330" s="1">
        <v>152</v>
      </c>
      <c r="AK330" s="1"/>
      <c r="AL330" s="94">
        <f t="shared" si="30"/>
        <v>46865000</v>
      </c>
      <c r="AM330" s="94">
        <f>+VLOOKUP(AF330,'[1]Compromisos CRP a 31 Julio de 2'!$J$428:$V$2707,13,0)</f>
        <v>36376167</v>
      </c>
      <c r="AN330" s="94">
        <f>AL330-AM330</f>
        <v>10488833</v>
      </c>
      <c r="AO330" s="1"/>
      <c r="AP330" s="1"/>
      <c r="AQ330" s="1"/>
      <c r="AR330" s="31">
        <v>43102</v>
      </c>
      <c r="AS330" s="1" t="s">
        <v>1615</v>
      </c>
      <c r="AT330" s="31">
        <v>43102</v>
      </c>
      <c r="AU330" s="1" t="s">
        <v>1623</v>
      </c>
      <c r="AV330" s="49"/>
    </row>
    <row r="331" spans="1:48" ht="320.25" thickTop="1" thickBot="1" x14ac:dyDescent="0.25">
      <c r="A331" s="215">
        <v>39</v>
      </c>
      <c r="B331" s="216" t="s">
        <v>1749</v>
      </c>
      <c r="C331" s="69" t="s">
        <v>1601</v>
      </c>
      <c r="D331" s="1" t="s">
        <v>485</v>
      </c>
      <c r="E331" s="69" t="s">
        <v>1602</v>
      </c>
      <c r="F331" s="1" t="s">
        <v>511</v>
      </c>
      <c r="G331" s="1" t="s">
        <v>512</v>
      </c>
      <c r="H331" s="7" t="s">
        <v>513</v>
      </c>
      <c r="I331" s="1" t="s">
        <v>54</v>
      </c>
      <c r="J331" s="69" t="s">
        <v>55</v>
      </c>
      <c r="K331" s="69">
        <v>801116</v>
      </c>
      <c r="L331" s="69" t="s">
        <v>1603</v>
      </c>
      <c r="M331" s="69" t="s">
        <v>1604</v>
      </c>
      <c r="N331" s="69" t="s">
        <v>1605</v>
      </c>
      <c r="O331" s="69" t="s">
        <v>1606</v>
      </c>
      <c r="P331" s="85" t="s">
        <v>1618</v>
      </c>
      <c r="Q331" s="91">
        <v>6695000</v>
      </c>
      <c r="R331" s="1">
        <v>1</v>
      </c>
      <c r="S331" s="92">
        <v>46865000</v>
      </c>
      <c r="T331" s="88" t="s">
        <v>1619</v>
      </c>
      <c r="U331" s="1" t="s">
        <v>58</v>
      </c>
      <c r="V331" s="31">
        <v>43125</v>
      </c>
      <c r="W331" s="90">
        <v>7</v>
      </c>
      <c r="X331" s="20" t="s">
        <v>1750</v>
      </c>
      <c r="Y331" s="31">
        <v>43103</v>
      </c>
      <c r="Z331" s="94">
        <v>46865000</v>
      </c>
      <c r="AA331" s="107"/>
      <c r="AB331" s="1">
        <v>189</v>
      </c>
      <c r="AC331" s="31">
        <v>43105</v>
      </c>
      <c r="AD331" s="94">
        <v>46865000</v>
      </c>
      <c r="AE331" s="1"/>
      <c r="AF331" s="1">
        <v>32</v>
      </c>
      <c r="AG331" s="31">
        <v>43116</v>
      </c>
      <c r="AH331" s="94">
        <v>46865000</v>
      </c>
      <c r="AI331" s="107" t="s">
        <v>1751</v>
      </c>
      <c r="AJ331" s="1">
        <v>20</v>
      </c>
      <c r="AK331" s="1"/>
      <c r="AL331" s="94">
        <f t="shared" si="30"/>
        <v>46865000</v>
      </c>
      <c r="AM331" s="94">
        <f>+VLOOKUP(AF331,'[1]Compromisos CRP a 31 Julio de 2'!$J$428:$V$2707,13,0)</f>
        <v>36822500</v>
      </c>
      <c r="AN331" s="94">
        <f t="shared" ref="AN331:AN332" si="31">AL331-AM331</f>
        <v>10042500</v>
      </c>
      <c r="AO331" s="1"/>
      <c r="AP331" s="1"/>
      <c r="AQ331" s="1"/>
      <c r="AR331" s="31">
        <v>43102</v>
      </c>
      <c r="AS331" s="1" t="s">
        <v>1615</v>
      </c>
      <c r="AT331" s="31">
        <v>43102</v>
      </c>
      <c r="AU331" s="1" t="s">
        <v>1623</v>
      </c>
      <c r="AV331" s="49"/>
    </row>
    <row r="332" spans="1:48" ht="320.25" thickTop="1" thickBot="1" x14ac:dyDescent="0.25">
      <c r="A332" s="215">
        <v>40</v>
      </c>
      <c r="B332" s="216" t="s">
        <v>1752</v>
      </c>
      <c r="C332" s="69" t="s">
        <v>1601</v>
      </c>
      <c r="D332" s="1" t="s">
        <v>485</v>
      </c>
      <c r="E332" s="69" t="s">
        <v>1602</v>
      </c>
      <c r="F332" s="1" t="s">
        <v>511</v>
      </c>
      <c r="G332" s="1" t="s">
        <v>512</v>
      </c>
      <c r="H332" s="7" t="s">
        <v>513</v>
      </c>
      <c r="I332" s="1" t="s">
        <v>54</v>
      </c>
      <c r="J332" s="69" t="s">
        <v>55</v>
      </c>
      <c r="K332" s="69">
        <v>801116</v>
      </c>
      <c r="L332" s="69" t="s">
        <v>1603</v>
      </c>
      <c r="M332" s="69" t="s">
        <v>1604</v>
      </c>
      <c r="N332" s="69" t="s">
        <v>1605</v>
      </c>
      <c r="O332" s="69" t="s">
        <v>1606</v>
      </c>
      <c r="P332" s="85" t="s">
        <v>1618</v>
      </c>
      <c r="Q332" s="91">
        <v>5036700</v>
      </c>
      <c r="R332" s="1">
        <v>1</v>
      </c>
      <c r="S332" s="92">
        <v>35256900</v>
      </c>
      <c r="T332" s="88" t="s">
        <v>1619</v>
      </c>
      <c r="U332" s="1" t="s">
        <v>58</v>
      </c>
      <c r="V332" s="31">
        <v>43125</v>
      </c>
      <c r="W332" s="90">
        <v>7</v>
      </c>
      <c r="X332" s="20" t="s">
        <v>1753</v>
      </c>
      <c r="Y332" s="31">
        <v>43103</v>
      </c>
      <c r="Z332" s="94">
        <v>35256900</v>
      </c>
      <c r="AA332" s="107"/>
      <c r="AB332" s="1">
        <v>190</v>
      </c>
      <c r="AC332" s="31">
        <v>43105</v>
      </c>
      <c r="AD332" s="94">
        <v>35256900</v>
      </c>
      <c r="AE332" s="1"/>
      <c r="AF332" s="1">
        <v>33</v>
      </c>
      <c r="AG332" s="31">
        <v>43116</v>
      </c>
      <c r="AH332" s="94">
        <v>35256900</v>
      </c>
      <c r="AI332" s="107" t="s">
        <v>1754</v>
      </c>
      <c r="AJ332" s="1">
        <v>23</v>
      </c>
      <c r="AK332" s="1"/>
      <c r="AL332" s="94">
        <f t="shared" si="30"/>
        <v>35256900</v>
      </c>
      <c r="AM332" s="94">
        <f>+VLOOKUP(AF332,'[1]Compromisos CRP a 31 Julio de 2'!$J$428:$V$2707,13,0)</f>
        <v>27701850</v>
      </c>
      <c r="AN332" s="94">
        <f t="shared" si="31"/>
        <v>7555050</v>
      </c>
      <c r="AO332" s="1"/>
      <c r="AP332" s="1"/>
      <c r="AQ332" s="1"/>
      <c r="AR332" s="31">
        <v>43102</v>
      </c>
      <c r="AS332" s="1" t="s">
        <v>1615</v>
      </c>
      <c r="AT332" s="31">
        <v>43102</v>
      </c>
      <c r="AU332" s="1" t="s">
        <v>1623</v>
      </c>
      <c r="AV332" s="49"/>
    </row>
    <row r="333" spans="1:48" ht="333" thickTop="1" thickBot="1" x14ac:dyDescent="0.25">
      <c r="A333" s="215">
        <v>41</v>
      </c>
      <c r="B333" s="216" t="s">
        <v>1755</v>
      </c>
      <c r="C333" s="69" t="s">
        <v>1601</v>
      </c>
      <c r="D333" s="1" t="s">
        <v>485</v>
      </c>
      <c r="E333" s="69" t="s">
        <v>1602</v>
      </c>
      <c r="F333" s="1" t="s">
        <v>511</v>
      </c>
      <c r="G333" s="1" t="s">
        <v>512</v>
      </c>
      <c r="H333" s="7" t="s">
        <v>513</v>
      </c>
      <c r="I333" s="1" t="s">
        <v>54</v>
      </c>
      <c r="J333" s="69" t="s">
        <v>55</v>
      </c>
      <c r="K333" s="69">
        <v>801116</v>
      </c>
      <c r="L333" s="69" t="s">
        <v>1603</v>
      </c>
      <c r="M333" s="69" t="s">
        <v>1604</v>
      </c>
      <c r="N333" s="69" t="s">
        <v>1605</v>
      </c>
      <c r="O333" s="69" t="s">
        <v>1606</v>
      </c>
      <c r="P333" s="85" t="s">
        <v>1756</v>
      </c>
      <c r="Q333" s="91">
        <v>4120000</v>
      </c>
      <c r="R333" s="1">
        <v>1</v>
      </c>
      <c r="S333" s="92">
        <v>28840000</v>
      </c>
      <c r="T333" s="88" t="s">
        <v>1619</v>
      </c>
      <c r="U333" s="1" t="s">
        <v>58</v>
      </c>
      <c r="V333" s="31">
        <v>43125</v>
      </c>
      <c r="W333" s="90">
        <v>7</v>
      </c>
      <c r="X333" s="20" t="s">
        <v>1757</v>
      </c>
      <c r="Y333" s="31">
        <v>43103</v>
      </c>
      <c r="Z333" s="94">
        <v>28840000</v>
      </c>
      <c r="AA333" s="107"/>
      <c r="AB333" s="1">
        <v>191</v>
      </c>
      <c r="AC333" s="31">
        <v>43105</v>
      </c>
      <c r="AD333" s="94">
        <v>28840000</v>
      </c>
      <c r="AE333" s="1"/>
      <c r="AF333" s="1">
        <v>141</v>
      </c>
      <c r="AG333" s="31">
        <v>43117</v>
      </c>
      <c r="AH333" s="94">
        <v>28840000</v>
      </c>
      <c r="AI333" s="107" t="s">
        <v>1758</v>
      </c>
      <c r="AJ333" s="1">
        <v>151</v>
      </c>
      <c r="AK333" s="1"/>
      <c r="AL333" s="94">
        <f t="shared" si="30"/>
        <v>28840000</v>
      </c>
      <c r="AM333" s="94">
        <f>+VLOOKUP(AF333,'[1]Compromisos CRP a 31 Julio de 2'!$J$428:$V$2707,13,0)</f>
        <v>22385333</v>
      </c>
      <c r="AN333" s="94">
        <f>+AL333-AM333</f>
        <v>6454667</v>
      </c>
      <c r="AO333" s="1"/>
      <c r="AP333" s="1"/>
      <c r="AQ333" s="1"/>
      <c r="AR333" s="31">
        <v>43102</v>
      </c>
      <c r="AS333" s="1" t="s">
        <v>1615</v>
      </c>
      <c r="AT333" s="31">
        <v>43102</v>
      </c>
      <c r="AU333" s="1" t="s">
        <v>1623</v>
      </c>
      <c r="AV333" s="49"/>
    </row>
    <row r="334" spans="1:48" ht="333" thickTop="1" thickBot="1" x14ac:dyDescent="0.25">
      <c r="A334" s="215">
        <v>42</v>
      </c>
      <c r="B334" s="216" t="s">
        <v>1759</v>
      </c>
      <c r="C334" s="69" t="s">
        <v>1601</v>
      </c>
      <c r="D334" s="1" t="s">
        <v>485</v>
      </c>
      <c r="E334" s="69" t="s">
        <v>1610</v>
      </c>
      <c r="F334" s="1" t="s">
        <v>511</v>
      </c>
      <c r="G334" s="1" t="s">
        <v>512</v>
      </c>
      <c r="H334" s="7" t="s">
        <v>513</v>
      </c>
      <c r="I334" s="1" t="s">
        <v>54</v>
      </c>
      <c r="J334" s="69" t="s">
        <v>55</v>
      </c>
      <c r="K334" s="69">
        <v>801116</v>
      </c>
      <c r="L334" s="69" t="s">
        <v>1603</v>
      </c>
      <c r="M334" s="69" t="s">
        <v>1604</v>
      </c>
      <c r="N334" s="69" t="s">
        <v>1605</v>
      </c>
      <c r="O334" s="69" t="s">
        <v>1606</v>
      </c>
      <c r="P334" s="85" t="s">
        <v>1760</v>
      </c>
      <c r="Q334" s="91">
        <v>4120000</v>
      </c>
      <c r="R334" s="1">
        <v>1</v>
      </c>
      <c r="S334" s="92">
        <v>28840000</v>
      </c>
      <c r="T334" s="88" t="s">
        <v>1619</v>
      </c>
      <c r="U334" s="1" t="s">
        <v>58</v>
      </c>
      <c r="V334" s="31">
        <v>43125</v>
      </c>
      <c r="W334" s="90">
        <v>7</v>
      </c>
      <c r="X334" s="20" t="s">
        <v>1761</v>
      </c>
      <c r="Y334" s="31">
        <v>43103</v>
      </c>
      <c r="Z334" s="94">
        <v>28840000</v>
      </c>
      <c r="AA334" s="107"/>
      <c r="AB334" s="1">
        <v>192</v>
      </c>
      <c r="AC334" s="31">
        <v>43105</v>
      </c>
      <c r="AD334" s="94">
        <v>28840000</v>
      </c>
      <c r="AE334" s="1"/>
      <c r="AF334" s="1">
        <v>34</v>
      </c>
      <c r="AG334" s="31">
        <v>43115</v>
      </c>
      <c r="AH334" s="94">
        <v>28840000</v>
      </c>
      <c r="AI334" s="107" t="s">
        <v>1762</v>
      </c>
      <c r="AJ334" s="1">
        <v>21</v>
      </c>
      <c r="AK334" s="1"/>
      <c r="AL334" s="94">
        <f t="shared" si="30"/>
        <v>28840000</v>
      </c>
      <c r="AM334" s="94">
        <f>+VLOOKUP(AF334,'[1]Compromisos CRP a 31 Julio de 2'!$J$428:$V$2707,13,0)</f>
        <v>22660000</v>
      </c>
      <c r="AN334" s="94">
        <f>AL334-AM334</f>
        <v>6180000</v>
      </c>
      <c r="AO334" s="1"/>
      <c r="AP334" s="1"/>
      <c r="AQ334" s="1"/>
      <c r="AR334" s="31">
        <v>43102</v>
      </c>
      <c r="AS334" s="1" t="s">
        <v>1615</v>
      </c>
      <c r="AT334" s="31">
        <v>43102</v>
      </c>
      <c r="AU334" s="1" t="s">
        <v>1623</v>
      </c>
      <c r="AV334" s="49"/>
    </row>
    <row r="335" spans="1:48" ht="256.5" thickTop="1" thickBot="1" x14ac:dyDescent="0.25">
      <c r="A335" s="215">
        <v>43</v>
      </c>
      <c r="B335" s="216" t="s">
        <v>1763</v>
      </c>
      <c r="C335" s="69" t="s">
        <v>1601</v>
      </c>
      <c r="D335" s="1" t="s">
        <v>485</v>
      </c>
      <c r="E335" s="69" t="s">
        <v>1610</v>
      </c>
      <c r="F335" s="1" t="s">
        <v>511</v>
      </c>
      <c r="G335" s="1" t="s">
        <v>512</v>
      </c>
      <c r="H335" s="7" t="s">
        <v>513</v>
      </c>
      <c r="I335" s="1" t="s">
        <v>54</v>
      </c>
      <c r="J335" s="69" t="s">
        <v>55</v>
      </c>
      <c r="K335" s="69">
        <v>801116</v>
      </c>
      <c r="L335" s="69" t="s">
        <v>1603</v>
      </c>
      <c r="M335" s="69" t="s">
        <v>1604</v>
      </c>
      <c r="N335" s="69" t="s">
        <v>1605</v>
      </c>
      <c r="O335" s="69" t="s">
        <v>1606</v>
      </c>
      <c r="P335" s="85" t="s">
        <v>1618</v>
      </c>
      <c r="Q335" s="91">
        <v>9805600</v>
      </c>
      <c r="R335" s="1">
        <v>1</v>
      </c>
      <c r="S335" s="92">
        <f>107861600-17221600</f>
        <v>90640000</v>
      </c>
      <c r="T335" s="88" t="s">
        <v>1619</v>
      </c>
      <c r="U335" s="1" t="s">
        <v>58</v>
      </c>
      <c r="V335" s="31">
        <v>43125</v>
      </c>
      <c r="W335" s="90">
        <v>11</v>
      </c>
      <c r="X335" s="20" t="s">
        <v>1764</v>
      </c>
      <c r="Y335" s="31">
        <v>43103</v>
      </c>
      <c r="Z335" s="94">
        <v>107861600</v>
      </c>
      <c r="AA335" s="107"/>
      <c r="AB335" s="1">
        <v>193</v>
      </c>
      <c r="AC335" s="31">
        <v>43105</v>
      </c>
      <c r="AD335" s="94">
        <v>107861600</v>
      </c>
      <c r="AE335" s="1"/>
      <c r="AF335" s="1">
        <v>306</v>
      </c>
      <c r="AG335" s="31">
        <v>43122</v>
      </c>
      <c r="AH335" s="94">
        <v>90640000</v>
      </c>
      <c r="AI335" s="107" t="s">
        <v>1765</v>
      </c>
      <c r="AJ335" s="1">
        <v>279</v>
      </c>
      <c r="AK335" s="1"/>
      <c r="AL335" s="94">
        <f t="shared" si="30"/>
        <v>90640000</v>
      </c>
      <c r="AM335" s="94">
        <f>+VLOOKUP(AF335,'[1]Compromisos CRP a 31 Julio de 2'!$J$428:$V$2707,13,0)</f>
        <v>43397333</v>
      </c>
      <c r="AN335" s="94">
        <f>AL335-AM335</f>
        <v>47242667</v>
      </c>
      <c r="AO335" s="1"/>
      <c r="AP335" s="1"/>
      <c r="AQ335" s="1"/>
      <c r="AR335" s="31">
        <v>43102</v>
      </c>
      <c r="AS335" s="1" t="s">
        <v>1615</v>
      </c>
      <c r="AT335" s="31">
        <v>43102</v>
      </c>
      <c r="AU335" s="1" t="s">
        <v>1623</v>
      </c>
      <c r="AV335" s="49"/>
    </row>
    <row r="336" spans="1:48" ht="320.25" thickTop="1" thickBot="1" x14ac:dyDescent="0.25">
      <c r="A336" s="215">
        <v>44</v>
      </c>
      <c r="B336" s="216" t="s">
        <v>1766</v>
      </c>
      <c r="C336" s="69" t="s">
        <v>1601</v>
      </c>
      <c r="D336" s="1" t="s">
        <v>485</v>
      </c>
      <c r="E336" s="69" t="s">
        <v>1602</v>
      </c>
      <c r="F336" s="1" t="s">
        <v>511</v>
      </c>
      <c r="G336" s="1" t="s">
        <v>512</v>
      </c>
      <c r="H336" s="7" t="s">
        <v>513</v>
      </c>
      <c r="I336" s="1" t="s">
        <v>54</v>
      </c>
      <c r="J336" s="69" t="s">
        <v>55</v>
      </c>
      <c r="K336" s="69">
        <v>801116</v>
      </c>
      <c r="L336" s="69" t="s">
        <v>1603</v>
      </c>
      <c r="M336" s="69" t="s">
        <v>1604</v>
      </c>
      <c r="N336" s="69" t="s">
        <v>1605</v>
      </c>
      <c r="O336" s="69" t="s">
        <v>1606</v>
      </c>
      <c r="P336" s="85" t="s">
        <v>1618</v>
      </c>
      <c r="Q336" s="91">
        <v>5253000</v>
      </c>
      <c r="R336" s="1">
        <v>1</v>
      </c>
      <c r="S336" s="92">
        <v>42024000</v>
      </c>
      <c r="T336" s="88" t="s">
        <v>1619</v>
      </c>
      <c r="U336" s="1" t="s">
        <v>58</v>
      </c>
      <c r="V336" s="31">
        <v>43125</v>
      </c>
      <c r="W336" s="90">
        <v>8</v>
      </c>
      <c r="X336" s="20" t="s">
        <v>1767</v>
      </c>
      <c r="Y336" s="31">
        <v>43103</v>
      </c>
      <c r="Z336" s="94">
        <v>42024000</v>
      </c>
      <c r="AA336" s="107"/>
      <c r="AB336" s="1">
        <v>194</v>
      </c>
      <c r="AC336" s="31">
        <v>43105</v>
      </c>
      <c r="AD336" s="94">
        <v>42024000</v>
      </c>
      <c r="AE336" s="1"/>
      <c r="AF336" s="1">
        <v>62</v>
      </c>
      <c r="AG336" s="31">
        <v>43116</v>
      </c>
      <c r="AH336" s="94">
        <v>42024000</v>
      </c>
      <c r="AI336" s="107" t="s">
        <v>1768</v>
      </c>
      <c r="AJ336" s="1">
        <v>27</v>
      </c>
      <c r="AK336" s="1"/>
      <c r="AL336" s="94">
        <f t="shared" si="30"/>
        <v>42024000</v>
      </c>
      <c r="AM336" s="94">
        <f>+VLOOKUP(AF336,'[1]Compromisos CRP a 31 Julio de 2'!$J$428:$V$2707,13,0)</f>
        <v>28891500</v>
      </c>
      <c r="AN336" s="94">
        <f>AL336-AM336</f>
        <v>13132500</v>
      </c>
      <c r="AO336" s="1"/>
      <c r="AP336" s="1"/>
      <c r="AQ336" s="1"/>
      <c r="AR336" s="31">
        <v>43102</v>
      </c>
      <c r="AS336" s="1" t="s">
        <v>1615</v>
      </c>
      <c r="AT336" s="31">
        <v>43102</v>
      </c>
      <c r="AU336" s="1" t="s">
        <v>1623</v>
      </c>
      <c r="AV336" s="49"/>
    </row>
    <row r="337" spans="1:48" ht="256.5" thickTop="1" thickBot="1" x14ac:dyDescent="0.25">
      <c r="A337" s="215">
        <v>45</v>
      </c>
      <c r="B337" s="216" t="s">
        <v>1769</v>
      </c>
      <c r="C337" s="69" t="s">
        <v>1601</v>
      </c>
      <c r="D337" s="1" t="s">
        <v>485</v>
      </c>
      <c r="E337" s="69" t="s">
        <v>1610</v>
      </c>
      <c r="F337" s="1" t="s">
        <v>511</v>
      </c>
      <c r="G337" s="1" t="s">
        <v>512</v>
      </c>
      <c r="H337" s="7" t="s">
        <v>513</v>
      </c>
      <c r="I337" s="1" t="s">
        <v>54</v>
      </c>
      <c r="J337" s="69" t="s">
        <v>55</v>
      </c>
      <c r="K337" s="69">
        <v>801116</v>
      </c>
      <c r="L337" s="69" t="s">
        <v>1603</v>
      </c>
      <c r="M337" s="69" t="s">
        <v>1604</v>
      </c>
      <c r="N337" s="69" t="s">
        <v>1605</v>
      </c>
      <c r="O337" s="69" t="s">
        <v>1606</v>
      </c>
      <c r="P337" s="85" t="s">
        <v>1618</v>
      </c>
      <c r="Q337" s="91">
        <v>5253000</v>
      </c>
      <c r="R337" s="1">
        <v>1</v>
      </c>
      <c r="S337" s="92">
        <v>57783000</v>
      </c>
      <c r="T337" s="88" t="s">
        <v>1619</v>
      </c>
      <c r="U337" s="1" t="s">
        <v>58</v>
      </c>
      <c r="V337" s="31">
        <v>43125</v>
      </c>
      <c r="W337" s="90">
        <v>11</v>
      </c>
      <c r="X337" s="20" t="s">
        <v>1770</v>
      </c>
      <c r="Y337" s="31">
        <v>43103</v>
      </c>
      <c r="Z337" s="94">
        <v>57783000</v>
      </c>
      <c r="AA337" s="107"/>
      <c r="AB337" s="1">
        <v>195</v>
      </c>
      <c r="AC337" s="31">
        <v>43105</v>
      </c>
      <c r="AD337" s="94">
        <v>57783000</v>
      </c>
      <c r="AE337" s="1"/>
      <c r="AF337" s="1">
        <v>65</v>
      </c>
      <c r="AG337" s="31">
        <v>43116</v>
      </c>
      <c r="AH337" s="94">
        <v>57783000</v>
      </c>
      <c r="AI337" s="107" t="s">
        <v>1771</v>
      </c>
      <c r="AJ337" s="1">
        <v>30</v>
      </c>
      <c r="AK337" s="1"/>
      <c r="AL337" s="94">
        <f t="shared" si="30"/>
        <v>57783000</v>
      </c>
      <c r="AM337" s="94">
        <f>+VLOOKUP(AF337,'[1]Compromisos CRP a 31 Julio de 2'!$J$428:$V$2707,13,0)</f>
        <v>28891500</v>
      </c>
      <c r="AN337" s="94">
        <f t="shared" ref="AN337:AN338" si="32">AL337-AM337</f>
        <v>28891500</v>
      </c>
      <c r="AO337" s="1"/>
      <c r="AP337" s="1"/>
      <c r="AQ337" s="1"/>
      <c r="AR337" s="31">
        <v>43102</v>
      </c>
      <c r="AS337" s="1" t="s">
        <v>1615</v>
      </c>
      <c r="AT337" s="31">
        <v>43102</v>
      </c>
      <c r="AU337" s="1" t="s">
        <v>1623</v>
      </c>
      <c r="AV337" s="49"/>
    </row>
    <row r="338" spans="1:48" ht="320.25" thickTop="1" thickBot="1" x14ac:dyDescent="0.25">
      <c r="A338" s="215">
        <v>46</v>
      </c>
      <c r="B338" s="216" t="s">
        <v>1772</v>
      </c>
      <c r="C338" s="69" t="s">
        <v>1601</v>
      </c>
      <c r="D338" s="1" t="s">
        <v>485</v>
      </c>
      <c r="E338" s="69" t="s">
        <v>1602</v>
      </c>
      <c r="F338" s="1" t="s">
        <v>511</v>
      </c>
      <c r="G338" s="1" t="s">
        <v>512</v>
      </c>
      <c r="H338" s="7" t="s">
        <v>513</v>
      </c>
      <c r="I338" s="1" t="s">
        <v>54</v>
      </c>
      <c r="J338" s="69" t="s">
        <v>55</v>
      </c>
      <c r="K338" s="69">
        <v>801116</v>
      </c>
      <c r="L338" s="69" t="s">
        <v>1603</v>
      </c>
      <c r="M338" s="69" t="s">
        <v>1604</v>
      </c>
      <c r="N338" s="69" t="s">
        <v>1605</v>
      </c>
      <c r="O338" s="69" t="s">
        <v>1606</v>
      </c>
      <c r="P338" s="85" t="s">
        <v>1618</v>
      </c>
      <c r="Q338" s="91">
        <v>5665000</v>
      </c>
      <c r="R338" s="1">
        <v>1</v>
      </c>
      <c r="S338" s="92">
        <v>62315000</v>
      </c>
      <c r="T338" s="88" t="s">
        <v>1619</v>
      </c>
      <c r="U338" s="1" t="s">
        <v>58</v>
      </c>
      <c r="V338" s="31">
        <v>43125</v>
      </c>
      <c r="W338" s="90">
        <v>11</v>
      </c>
      <c r="X338" s="20" t="s">
        <v>1773</v>
      </c>
      <c r="Y338" s="31">
        <v>43103</v>
      </c>
      <c r="Z338" s="94">
        <v>62315000</v>
      </c>
      <c r="AA338" s="107"/>
      <c r="AB338" s="1">
        <v>196</v>
      </c>
      <c r="AC338" s="31">
        <v>43105</v>
      </c>
      <c r="AD338" s="94">
        <v>62315000</v>
      </c>
      <c r="AE338" s="1"/>
      <c r="AF338" s="1">
        <v>77</v>
      </c>
      <c r="AG338" s="31">
        <v>43116</v>
      </c>
      <c r="AH338" s="94">
        <v>62315000</v>
      </c>
      <c r="AI338" s="107" t="s">
        <v>1774</v>
      </c>
      <c r="AJ338" s="1">
        <v>69</v>
      </c>
      <c r="AK338" s="1"/>
      <c r="AL338" s="94">
        <f t="shared" si="30"/>
        <v>62315000</v>
      </c>
      <c r="AM338" s="94">
        <f>+VLOOKUP(AF338,'[1]Compromisos CRP a 31 Julio de 2'!$J$428:$V$2707,13,0)</f>
        <v>30968667</v>
      </c>
      <c r="AN338" s="94">
        <f t="shared" si="32"/>
        <v>31346333</v>
      </c>
      <c r="AO338" s="1"/>
      <c r="AP338" s="1"/>
      <c r="AQ338" s="1"/>
      <c r="AR338" s="31">
        <v>43102</v>
      </c>
      <c r="AS338" s="1" t="s">
        <v>1615</v>
      </c>
      <c r="AT338" s="31">
        <v>43102</v>
      </c>
      <c r="AU338" s="1" t="s">
        <v>1623</v>
      </c>
      <c r="AV338" s="49"/>
    </row>
    <row r="339" spans="1:48" ht="409.6" thickTop="1" thickBot="1" x14ac:dyDescent="0.25">
      <c r="A339" s="215">
        <v>47</v>
      </c>
      <c r="B339" s="216" t="s">
        <v>1775</v>
      </c>
      <c r="C339" s="69" t="s">
        <v>1601</v>
      </c>
      <c r="D339" s="1" t="s">
        <v>485</v>
      </c>
      <c r="E339" s="69" t="s">
        <v>1612</v>
      </c>
      <c r="F339" s="1" t="s">
        <v>511</v>
      </c>
      <c r="G339" s="1" t="s">
        <v>512</v>
      </c>
      <c r="H339" s="7" t="s">
        <v>513</v>
      </c>
      <c r="I339" s="1" t="s">
        <v>54</v>
      </c>
      <c r="J339" s="69" t="s">
        <v>55</v>
      </c>
      <c r="K339" s="69">
        <v>801116</v>
      </c>
      <c r="L339" s="69" t="s">
        <v>1603</v>
      </c>
      <c r="M339" s="69" t="s">
        <v>1604</v>
      </c>
      <c r="N339" s="69" t="s">
        <v>1605</v>
      </c>
      <c r="O339" s="69" t="s">
        <v>1606</v>
      </c>
      <c r="P339" s="85" t="s">
        <v>1776</v>
      </c>
      <c r="Q339" s="91">
        <v>7210000</v>
      </c>
      <c r="R339" s="1">
        <v>1</v>
      </c>
      <c r="S339" s="92">
        <v>79310000</v>
      </c>
      <c r="T339" s="88" t="s">
        <v>1619</v>
      </c>
      <c r="U339" s="1" t="s">
        <v>58</v>
      </c>
      <c r="V339" s="31">
        <v>43125</v>
      </c>
      <c r="W339" s="90">
        <v>11</v>
      </c>
      <c r="X339" s="20" t="s">
        <v>1777</v>
      </c>
      <c r="Y339" s="31">
        <v>43103</v>
      </c>
      <c r="Z339" s="94">
        <v>79310000</v>
      </c>
      <c r="AA339" s="107"/>
      <c r="AB339" s="1">
        <v>197</v>
      </c>
      <c r="AC339" s="31">
        <v>43105</v>
      </c>
      <c r="AD339" s="94">
        <v>79310000</v>
      </c>
      <c r="AE339" s="1"/>
      <c r="AF339" s="1">
        <v>174</v>
      </c>
      <c r="AG339" s="31">
        <v>43118</v>
      </c>
      <c r="AH339" s="94">
        <v>79310000</v>
      </c>
      <c r="AI339" s="107" t="s">
        <v>1778</v>
      </c>
      <c r="AJ339" s="1">
        <v>100</v>
      </c>
      <c r="AK339" s="1"/>
      <c r="AL339" s="94">
        <f t="shared" si="30"/>
        <v>79310000</v>
      </c>
      <c r="AM339" s="94">
        <f>+VLOOKUP(AF339,'[1]Compromisos CRP a 31 Julio de 2'!$J$428:$V$2707,13,0)</f>
        <v>39174333</v>
      </c>
      <c r="AN339" s="94">
        <f>AL339-AM339</f>
        <v>40135667</v>
      </c>
      <c r="AO339" s="1"/>
      <c r="AP339" s="1"/>
      <c r="AQ339" s="1"/>
      <c r="AR339" s="31">
        <v>43102</v>
      </c>
      <c r="AS339" s="1" t="s">
        <v>1615</v>
      </c>
      <c r="AT339" s="31">
        <v>43102</v>
      </c>
      <c r="AU339" s="1" t="s">
        <v>1623</v>
      </c>
      <c r="AV339" s="49"/>
    </row>
    <row r="340" spans="1:48" ht="409.6" thickTop="1" thickBot="1" x14ac:dyDescent="0.25">
      <c r="A340" s="215">
        <v>48</v>
      </c>
      <c r="B340" s="216" t="s">
        <v>1779</v>
      </c>
      <c r="C340" s="69" t="s">
        <v>1601</v>
      </c>
      <c r="D340" s="1" t="s">
        <v>485</v>
      </c>
      <c r="E340" s="69" t="s">
        <v>1602</v>
      </c>
      <c r="F340" s="1" t="s">
        <v>511</v>
      </c>
      <c r="G340" s="1" t="s">
        <v>512</v>
      </c>
      <c r="H340" s="7" t="s">
        <v>513</v>
      </c>
      <c r="I340" s="1" t="s">
        <v>54</v>
      </c>
      <c r="J340" s="69" t="s">
        <v>55</v>
      </c>
      <c r="K340" s="69">
        <v>801116</v>
      </c>
      <c r="L340" s="69" t="s">
        <v>1603</v>
      </c>
      <c r="M340" s="69" t="s">
        <v>1604</v>
      </c>
      <c r="N340" s="69" t="s">
        <v>1605</v>
      </c>
      <c r="O340" s="69" t="s">
        <v>1606</v>
      </c>
      <c r="P340" s="85" t="s">
        <v>1656</v>
      </c>
      <c r="Q340" s="91">
        <v>3038500</v>
      </c>
      <c r="R340" s="1">
        <v>1</v>
      </c>
      <c r="S340" s="92">
        <v>21269500</v>
      </c>
      <c r="T340" s="88" t="s">
        <v>1634</v>
      </c>
      <c r="U340" s="1" t="s">
        <v>58</v>
      </c>
      <c r="V340" s="31">
        <v>43125</v>
      </c>
      <c r="W340" s="90">
        <v>7</v>
      </c>
      <c r="X340" s="20" t="s">
        <v>1780</v>
      </c>
      <c r="Y340" s="31">
        <v>43103</v>
      </c>
      <c r="Z340" s="94">
        <v>21269500</v>
      </c>
      <c r="AA340" s="107"/>
      <c r="AB340" s="1">
        <v>198</v>
      </c>
      <c r="AC340" s="31">
        <v>43105</v>
      </c>
      <c r="AD340" s="94">
        <v>21269500</v>
      </c>
      <c r="AE340" s="1"/>
      <c r="AF340" s="1">
        <v>472</v>
      </c>
      <c r="AG340" s="225">
        <v>43126</v>
      </c>
      <c r="AH340" s="94">
        <v>21269500</v>
      </c>
      <c r="AI340" s="107" t="s">
        <v>1781</v>
      </c>
      <c r="AJ340" s="1">
        <v>398</v>
      </c>
      <c r="AK340" s="1"/>
      <c r="AL340" s="94">
        <f t="shared" si="30"/>
        <v>21269500</v>
      </c>
      <c r="AM340" s="94">
        <f>+VLOOKUP(AF340,'[1]Compromisos CRP a 31 Julio de 2'!$J$428:$V$2707,13,0)</f>
        <v>15698917</v>
      </c>
      <c r="AN340" s="94">
        <f>+AL340-AM340</f>
        <v>5570583</v>
      </c>
      <c r="AO340" s="1"/>
      <c r="AP340" s="1"/>
      <c r="AQ340" s="1"/>
      <c r="AR340" s="31">
        <v>43102</v>
      </c>
      <c r="AS340" s="1" t="s">
        <v>1615</v>
      </c>
      <c r="AT340" s="31">
        <v>43102</v>
      </c>
      <c r="AU340" s="1" t="s">
        <v>1623</v>
      </c>
      <c r="AV340" s="49"/>
    </row>
    <row r="341" spans="1:48" ht="409.6" thickTop="1" thickBot="1" x14ac:dyDescent="0.25">
      <c r="A341" s="215">
        <v>49</v>
      </c>
      <c r="B341" s="216" t="s">
        <v>1782</v>
      </c>
      <c r="C341" s="69" t="s">
        <v>1601</v>
      </c>
      <c r="D341" s="1" t="s">
        <v>485</v>
      </c>
      <c r="E341" s="69" t="s">
        <v>1602</v>
      </c>
      <c r="F341" s="1" t="s">
        <v>511</v>
      </c>
      <c r="G341" s="1" t="s">
        <v>512</v>
      </c>
      <c r="H341" s="7" t="s">
        <v>513</v>
      </c>
      <c r="I341" s="1" t="s">
        <v>54</v>
      </c>
      <c r="J341" s="69" t="s">
        <v>55</v>
      </c>
      <c r="K341" s="69">
        <v>801116</v>
      </c>
      <c r="L341" s="69" t="s">
        <v>1603</v>
      </c>
      <c r="M341" s="69" t="s">
        <v>1604</v>
      </c>
      <c r="N341" s="69" t="s">
        <v>1605</v>
      </c>
      <c r="O341" s="69" t="s">
        <v>1606</v>
      </c>
      <c r="P341" s="85" t="s">
        <v>1783</v>
      </c>
      <c r="Q341" s="91">
        <v>3399000</v>
      </c>
      <c r="R341" s="1">
        <v>1</v>
      </c>
      <c r="S341" s="92">
        <v>37389000</v>
      </c>
      <c r="T341" s="88" t="s">
        <v>1634</v>
      </c>
      <c r="U341" s="1" t="s">
        <v>58</v>
      </c>
      <c r="V341" s="31">
        <v>43125</v>
      </c>
      <c r="W341" s="90">
        <v>11</v>
      </c>
      <c r="X341" s="20" t="s">
        <v>1784</v>
      </c>
      <c r="Y341" s="31">
        <v>43103</v>
      </c>
      <c r="Z341" s="107">
        <v>37389000</v>
      </c>
      <c r="AA341" s="107"/>
      <c r="AB341" s="1">
        <v>209</v>
      </c>
      <c r="AC341" s="31">
        <v>43105</v>
      </c>
      <c r="AD341" s="94">
        <v>37389000</v>
      </c>
      <c r="AE341" s="1"/>
      <c r="AF341" s="1">
        <v>135</v>
      </c>
      <c r="AG341" s="31">
        <v>43117</v>
      </c>
      <c r="AH341" s="94">
        <v>37389000</v>
      </c>
      <c r="AI341" s="107" t="s">
        <v>1785</v>
      </c>
      <c r="AJ341" s="1"/>
      <c r="AK341" s="1"/>
      <c r="AL341" s="94">
        <v>37389000</v>
      </c>
      <c r="AM341" s="94">
        <f>+VLOOKUP(AF341,'[1]Compromisos CRP a 31 Julio de 2'!$J$428:$V$2707,13,0)</f>
        <v>18467900</v>
      </c>
      <c r="AN341" s="94">
        <f>AL341-AM341</f>
        <v>18921100</v>
      </c>
      <c r="AO341" s="1"/>
      <c r="AP341" s="1"/>
      <c r="AQ341" s="1"/>
      <c r="AR341" s="31">
        <v>43103</v>
      </c>
      <c r="AS341" s="1" t="s">
        <v>1615</v>
      </c>
      <c r="AT341" s="31">
        <v>43103</v>
      </c>
      <c r="AU341" s="1" t="s">
        <v>1623</v>
      </c>
      <c r="AV341" s="49"/>
    </row>
    <row r="342" spans="1:48" ht="384" thickTop="1" thickBot="1" x14ac:dyDescent="0.25">
      <c r="A342" s="215">
        <v>51</v>
      </c>
      <c r="B342" s="216" t="s">
        <v>1786</v>
      </c>
      <c r="C342" s="69" t="s">
        <v>1601</v>
      </c>
      <c r="D342" s="1" t="s">
        <v>485</v>
      </c>
      <c r="E342" s="69" t="s">
        <v>1612</v>
      </c>
      <c r="F342" s="1" t="s">
        <v>511</v>
      </c>
      <c r="G342" s="1" t="s">
        <v>512</v>
      </c>
      <c r="H342" s="7" t="s">
        <v>513</v>
      </c>
      <c r="I342" s="1" t="s">
        <v>54</v>
      </c>
      <c r="J342" s="69" t="s">
        <v>55</v>
      </c>
      <c r="K342" s="69">
        <v>801116</v>
      </c>
      <c r="L342" s="69" t="s">
        <v>1603</v>
      </c>
      <c r="M342" s="69" t="s">
        <v>1604</v>
      </c>
      <c r="N342" s="69" t="s">
        <v>1605</v>
      </c>
      <c r="O342" s="69" t="s">
        <v>1606</v>
      </c>
      <c r="P342" s="85" t="s">
        <v>1667</v>
      </c>
      <c r="Q342" s="91">
        <v>4120000</v>
      </c>
      <c r="R342" s="1">
        <v>1</v>
      </c>
      <c r="S342" s="92">
        <v>45320000</v>
      </c>
      <c r="T342" s="88" t="s">
        <v>1619</v>
      </c>
      <c r="U342" s="1" t="s">
        <v>58</v>
      </c>
      <c r="V342" s="31">
        <v>43125</v>
      </c>
      <c r="W342" s="90">
        <v>11</v>
      </c>
      <c r="X342" s="20" t="s">
        <v>1787</v>
      </c>
      <c r="Y342" s="31">
        <v>43103</v>
      </c>
      <c r="Z342" s="94">
        <v>45320000</v>
      </c>
      <c r="AA342" s="107"/>
      <c r="AB342" s="1">
        <v>203</v>
      </c>
      <c r="AC342" s="31">
        <v>43105</v>
      </c>
      <c r="AD342" s="92">
        <v>45320000</v>
      </c>
      <c r="AE342" s="1"/>
      <c r="AF342" s="1">
        <v>67</v>
      </c>
      <c r="AG342" s="31">
        <v>43116</v>
      </c>
      <c r="AH342" s="94">
        <v>45320000</v>
      </c>
      <c r="AI342" s="107" t="s">
        <v>1788</v>
      </c>
      <c r="AJ342" s="1">
        <v>32</v>
      </c>
      <c r="AK342" s="1"/>
      <c r="AL342" s="94">
        <f t="shared" ref="AL342:AL343" si="33">AH342</f>
        <v>45320000</v>
      </c>
      <c r="AM342" s="94">
        <f>+VLOOKUP(AF342,'[1]Compromisos CRP a 31 Julio de 2'!$J$428:$V$2707,13,0)</f>
        <v>22660000</v>
      </c>
      <c r="AN342" s="94">
        <f>AL342-AM342</f>
        <v>22660000</v>
      </c>
      <c r="AO342" s="1"/>
      <c r="AP342" s="1"/>
      <c r="AQ342" s="1"/>
      <c r="AR342" s="31">
        <v>43102</v>
      </c>
      <c r="AS342" s="1" t="s">
        <v>1615</v>
      </c>
      <c r="AT342" s="31">
        <v>43102</v>
      </c>
      <c r="AU342" s="1" t="s">
        <v>1623</v>
      </c>
      <c r="AV342" s="49"/>
    </row>
    <row r="343" spans="1:48" ht="409.6" thickTop="1" thickBot="1" x14ac:dyDescent="0.25">
      <c r="A343" s="215">
        <v>52</v>
      </c>
      <c r="B343" s="216" t="s">
        <v>1789</v>
      </c>
      <c r="C343" s="69" t="s">
        <v>1601</v>
      </c>
      <c r="D343" s="1" t="s">
        <v>485</v>
      </c>
      <c r="E343" s="69" t="s">
        <v>1612</v>
      </c>
      <c r="F343" s="1" t="s">
        <v>511</v>
      </c>
      <c r="G343" s="1" t="s">
        <v>512</v>
      </c>
      <c r="H343" s="7" t="s">
        <v>513</v>
      </c>
      <c r="I343" s="1" t="s">
        <v>54</v>
      </c>
      <c r="J343" s="69" t="s">
        <v>55</v>
      </c>
      <c r="K343" s="69">
        <v>801116</v>
      </c>
      <c r="L343" s="69" t="s">
        <v>1603</v>
      </c>
      <c r="M343" s="69" t="s">
        <v>1604</v>
      </c>
      <c r="N343" s="69" t="s">
        <v>1605</v>
      </c>
      <c r="O343" s="69" t="s">
        <v>1606</v>
      </c>
      <c r="P343" s="85" t="s">
        <v>1790</v>
      </c>
      <c r="Q343" s="91">
        <v>4120000</v>
      </c>
      <c r="R343" s="1">
        <v>1</v>
      </c>
      <c r="S343" s="92">
        <v>45320000</v>
      </c>
      <c r="T343" s="88" t="s">
        <v>1619</v>
      </c>
      <c r="U343" s="1" t="s">
        <v>58</v>
      </c>
      <c r="V343" s="31">
        <v>43125</v>
      </c>
      <c r="W343" s="90">
        <v>11</v>
      </c>
      <c r="X343" s="20" t="s">
        <v>1791</v>
      </c>
      <c r="Y343" s="31">
        <v>43103</v>
      </c>
      <c r="Z343" s="94">
        <v>45320000</v>
      </c>
      <c r="AA343" s="107"/>
      <c r="AB343" s="1">
        <v>205</v>
      </c>
      <c r="AC343" s="31">
        <v>43105</v>
      </c>
      <c r="AD343" s="92">
        <v>45320000</v>
      </c>
      <c r="AE343" s="1"/>
      <c r="AF343" s="1">
        <v>284</v>
      </c>
      <c r="AG343" s="31">
        <v>43122</v>
      </c>
      <c r="AH343" s="94">
        <v>45320000</v>
      </c>
      <c r="AI343" s="107" t="s">
        <v>1792</v>
      </c>
      <c r="AJ343" s="1">
        <v>254</v>
      </c>
      <c r="AK343" s="1"/>
      <c r="AL343" s="94">
        <f t="shared" si="33"/>
        <v>45320000</v>
      </c>
      <c r="AM343" s="94">
        <f>+VLOOKUP(AF343,'[1]Compromisos CRP a 31 Julio de 2'!$J$428:$V$2707,13,0)</f>
        <v>21836000</v>
      </c>
      <c r="AN343" s="94">
        <f>AL343-AM343</f>
        <v>23484000</v>
      </c>
      <c r="AO343" s="1"/>
      <c r="AP343" s="1"/>
      <c r="AQ343" s="1"/>
      <c r="AR343" s="31">
        <v>43102</v>
      </c>
      <c r="AS343" s="1" t="s">
        <v>1615</v>
      </c>
      <c r="AT343" s="31">
        <v>43102</v>
      </c>
      <c r="AU343" s="1" t="s">
        <v>1623</v>
      </c>
      <c r="AV343" s="49"/>
    </row>
    <row r="344" spans="1:48" ht="384" thickTop="1" thickBot="1" x14ac:dyDescent="0.25">
      <c r="A344" s="215">
        <v>53</v>
      </c>
      <c r="B344" s="216" t="s">
        <v>1793</v>
      </c>
      <c r="C344" s="69" t="s">
        <v>1601</v>
      </c>
      <c r="D344" s="1" t="s">
        <v>485</v>
      </c>
      <c r="E344" s="69" t="s">
        <v>1612</v>
      </c>
      <c r="F344" s="1" t="s">
        <v>511</v>
      </c>
      <c r="G344" s="1" t="s">
        <v>512</v>
      </c>
      <c r="H344" s="7" t="s">
        <v>513</v>
      </c>
      <c r="I344" s="1" t="s">
        <v>54</v>
      </c>
      <c r="J344" s="69" t="s">
        <v>55</v>
      </c>
      <c r="K344" s="69">
        <v>801116</v>
      </c>
      <c r="L344" s="69" t="s">
        <v>1603</v>
      </c>
      <c r="M344" s="69" t="s">
        <v>1604</v>
      </c>
      <c r="N344" s="69" t="s">
        <v>1605</v>
      </c>
      <c r="O344" s="69" t="s">
        <v>1606</v>
      </c>
      <c r="P344" s="85" t="s">
        <v>1794</v>
      </c>
      <c r="Q344" s="91">
        <v>1259175</v>
      </c>
      <c r="R344" s="1">
        <v>1</v>
      </c>
      <c r="S344" s="92">
        <v>0</v>
      </c>
      <c r="T344" s="88" t="s">
        <v>1619</v>
      </c>
      <c r="U344" s="1" t="s">
        <v>58</v>
      </c>
      <c r="V344" s="31">
        <v>43125</v>
      </c>
      <c r="W344" s="90">
        <v>11</v>
      </c>
      <c r="X344" s="221" t="s">
        <v>1795</v>
      </c>
      <c r="Y344" s="31">
        <v>43109</v>
      </c>
      <c r="Z344" s="223" t="s">
        <v>1621</v>
      </c>
      <c r="AA344" s="223" t="s">
        <v>1621</v>
      </c>
      <c r="AB344" s="223" t="s">
        <v>1621</v>
      </c>
      <c r="AC344" s="223" t="s">
        <v>1621</v>
      </c>
      <c r="AD344" s="92" t="s">
        <v>1621</v>
      </c>
      <c r="AE344" s="223" t="s">
        <v>1621</v>
      </c>
      <c r="AF344" s="223" t="s">
        <v>1621</v>
      </c>
      <c r="AG344" s="223" t="s">
        <v>1621</v>
      </c>
      <c r="AH344" s="94" t="s">
        <v>1621</v>
      </c>
      <c r="AI344" s="223" t="s">
        <v>1621</v>
      </c>
      <c r="AJ344" s="223" t="s">
        <v>1621</v>
      </c>
      <c r="AK344" s="223" t="s">
        <v>1621</v>
      </c>
      <c r="AL344" s="94"/>
      <c r="AM344" s="94"/>
      <c r="AN344" s="223" t="s">
        <v>1621</v>
      </c>
      <c r="AO344" s="223" t="s">
        <v>1621</v>
      </c>
      <c r="AP344" s="223" t="s">
        <v>1621</v>
      </c>
      <c r="AQ344" s="224" t="s">
        <v>1796</v>
      </c>
      <c r="AR344" s="222">
        <v>43109</v>
      </c>
      <c r="AS344" s="224" t="s">
        <v>1615</v>
      </c>
      <c r="AT344" s="222">
        <v>43109</v>
      </c>
      <c r="AU344" s="224" t="s">
        <v>1623</v>
      </c>
      <c r="AV344" s="89" t="s">
        <v>1621</v>
      </c>
    </row>
    <row r="345" spans="1:48" ht="333" thickTop="1" thickBot="1" x14ac:dyDescent="0.25">
      <c r="A345" s="215">
        <v>54</v>
      </c>
      <c r="B345" s="216" t="s">
        <v>1797</v>
      </c>
      <c r="C345" s="69" t="s">
        <v>1601</v>
      </c>
      <c r="D345" s="1" t="s">
        <v>485</v>
      </c>
      <c r="E345" s="69" t="s">
        <v>1602</v>
      </c>
      <c r="F345" s="1" t="s">
        <v>511</v>
      </c>
      <c r="G345" s="1" t="s">
        <v>512</v>
      </c>
      <c r="H345" s="7" t="s">
        <v>513</v>
      </c>
      <c r="I345" s="1" t="s">
        <v>54</v>
      </c>
      <c r="J345" s="69" t="s">
        <v>55</v>
      </c>
      <c r="K345" s="69">
        <v>801116</v>
      </c>
      <c r="L345" s="69" t="s">
        <v>1603</v>
      </c>
      <c r="M345" s="69" t="s">
        <v>1604</v>
      </c>
      <c r="N345" s="69" t="s">
        <v>1605</v>
      </c>
      <c r="O345" s="69" t="s">
        <v>1606</v>
      </c>
      <c r="P345" s="85" t="s">
        <v>1798</v>
      </c>
      <c r="Q345" s="91">
        <v>1030000</v>
      </c>
      <c r="R345" s="1">
        <v>1</v>
      </c>
      <c r="S345" s="92">
        <v>0</v>
      </c>
      <c r="T345" s="88" t="s">
        <v>1619</v>
      </c>
      <c r="U345" s="1" t="s">
        <v>58</v>
      </c>
      <c r="V345" s="31">
        <v>43125</v>
      </c>
      <c r="W345" s="90">
        <v>11</v>
      </c>
      <c r="X345" s="221" t="s">
        <v>1799</v>
      </c>
      <c r="Y345" s="31">
        <v>43109</v>
      </c>
      <c r="Z345" s="223" t="s">
        <v>1621</v>
      </c>
      <c r="AA345" s="223" t="s">
        <v>1621</v>
      </c>
      <c r="AB345" s="223" t="s">
        <v>1621</v>
      </c>
      <c r="AC345" s="223" t="s">
        <v>1621</v>
      </c>
      <c r="AD345" s="92" t="s">
        <v>1621</v>
      </c>
      <c r="AE345" s="223" t="s">
        <v>1621</v>
      </c>
      <c r="AF345" s="223" t="s">
        <v>1621</v>
      </c>
      <c r="AG345" s="223" t="s">
        <v>1621</v>
      </c>
      <c r="AH345" s="94" t="s">
        <v>1621</v>
      </c>
      <c r="AI345" s="223" t="s">
        <v>1621</v>
      </c>
      <c r="AJ345" s="223" t="s">
        <v>1621</v>
      </c>
      <c r="AK345" s="223" t="s">
        <v>1621</v>
      </c>
      <c r="AL345" s="94"/>
      <c r="AM345" s="94"/>
      <c r="AN345" s="223" t="s">
        <v>1621</v>
      </c>
      <c r="AO345" s="223" t="s">
        <v>1621</v>
      </c>
      <c r="AP345" s="223" t="s">
        <v>1621</v>
      </c>
      <c r="AQ345" s="224" t="s">
        <v>1800</v>
      </c>
      <c r="AR345" s="222">
        <v>43109</v>
      </c>
      <c r="AS345" s="224" t="s">
        <v>1615</v>
      </c>
      <c r="AT345" s="222">
        <v>43109</v>
      </c>
      <c r="AU345" s="224" t="s">
        <v>1623</v>
      </c>
      <c r="AV345" s="89" t="s">
        <v>1621</v>
      </c>
    </row>
    <row r="346" spans="1:48" ht="384" thickTop="1" thickBot="1" x14ac:dyDescent="0.25">
      <c r="A346" s="215">
        <v>55</v>
      </c>
      <c r="B346" s="216" t="s">
        <v>1801</v>
      </c>
      <c r="C346" s="69" t="s">
        <v>1601</v>
      </c>
      <c r="D346" s="1" t="s">
        <v>485</v>
      </c>
      <c r="E346" s="69" t="s">
        <v>1612</v>
      </c>
      <c r="F346" s="1" t="s">
        <v>511</v>
      </c>
      <c r="G346" s="1" t="s">
        <v>512</v>
      </c>
      <c r="H346" s="7" t="s">
        <v>513</v>
      </c>
      <c r="I346" s="1" t="s">
        <v>54</v>
      </c>
      <c r="J346" s="69" t="s">
        <v>55</v>
      </c>
      <c r="K346" s="69">
        <v>801116</v>
      </c>
      <c r="L346" s="69" t="s">
        <v>1603</v>
      </c>
      <c r="M346" s="69" t="s">
        <v>1604</v>
      </c>
      <c r="N346" s="69" t="s">
        <v>1605</v>
      </c>
      <c r="O346" s="69" t="s">
        <v>1606</v>
      </c>
      <c r="P346" s="85" t="s">
        <v>569</v>
      </c>
      <c r="Q346" s="91">
        <v>2060000</v>
      </c>
      <c r="R346" s="1">
        <v>1</v>
      </c>
      <c r="S346" s="92">
        <v>22660000</v>
      </c>
      <c r="T346" s="88" t="s">
        <v>1619</v>
      </c>
      <c r="U346" s="1" t="s">
        <v>58</v>
      </c>
      <c r="V346" s="31">
        <v>43125</v>
      </c>
      <c r="W346" s="90">
        <v>11</v>
      </c>
      <c r="X346" s="20" t="s">
        <v>1802</v>
      </c>
      <c r="Y346" s="31">
        <v>43103</v>
      </c>
      <c r="Z346" s="94">
        <v>22660000</v>
      </c>
      <c r="AA346" s="107"/>
      <c r="AB346" s="1">
        <v>207</v>
      </c>
      <c r="AC346" s="226">
        <v>43105</v>
      </c>
      <c r="AD346" s="92">
        <v>22660000</v>
      </c>
      <c r="AE346" s="1"/>
      <c r="AF346" s="1">
        <v>45</v>
      </c>
      <c r="AG346" s="226">
        <v>43116</v>
      </c>
      <c r="AH346" s="94">
        <v>22660000</v>
      </c>
      <c r="AI346" s="107" t="s">
        <v>570</v>
      </c>
      <c r="AJ346" s="1">
        <v>36</v>
      </c>
      <c r="AK346" s="1"/>
      <c r="AL346" s="94">
        <v>22660000</v>
      </c>
      <c r="AM346" s="94">
        <f>+VLOOKUP(AF346,'[1]Compromisos CRP a 31 Julio de 2'!$J$428:$V$2707,13,0)</f>
        <v>10300000</v>
      </c>
      <c r="AN346" s="94">
        <f>+AL346-AM346</f>
        <v>12360000</v>
      </c>
      <c r="AO346" s="1"/>
      <c r="AP346" s="1"/>
      <c r="AQ346" s="1"/>
      <c r="AR346" s="31">
        <v>43102</v>
      </c>
      <c r="AS346" s="1" t="s">
        <v>1615</v>
      </c>
      <c r="AT346" s="31">
        <v>43102</v>
      </c>
      <c r="AU346" s="1" t="s">
        <v>1623</v>
      </c>
      <c r="AV346" s="49"/>
    </row>
    <row r="347" spans="1:48" ht="384" thickTop="1" thickBot="1" x14ac:dyDescent="0.25">
      <c r="A347" s="215">
        <v>56</v>
      </c>
      <c r="B347" s="216" t="s">
        <v>1803</v>
      </c>
      <c r="C347" s="69" t="s">
        <v>1601</v>
      </c>
      <c r="D347" s="1" t="s">
        <v>485</v>
      </c>
      <c r="E347" s="69" t="s">
        <v>1612</v>
      </c>
      <c r="F347" s="1" t="s">
        <v>511</v>
      </c>
      <c r="G347" s="1" t="s">
        <v>512</v>
      </c>
      <c r="H347" s="7" t="s">
        <v>513</v>
      </c>
      <c r="I347" s="1" t="s">
        <v>54</v>
      </c>
      <c r="J347" s="69" t="s">
        <v>55</v>
      </c>
      <c r="K347" s="69">
        <v>801116</v>
      </c>
      <c r="L347" s="69" t="s">
        <v>1603</v>
      </c>
      <c r="M347" s="69" t="s">
        <v>1604</v>
      </c>
      <c r="N347" s="69" t="s">
        <v>1605</v>
      </c>
      <c r="O347" s="69" t="s">
        <v>1606</v>
      </c>
      <c r="P347" s="85" t="s">
        <v>1804</v>
      </c>
      <c r="Q347" s="91">
        <v>2060000</v>
      </c>
      <c r="R347" s="1">
        <v>1</v>
      </c>
      <c r="S347" s="92">
        <f>22660000-68667</f>
        <v>22591333</v>
      </c>
      <c r="T347" s="88" t="s">
        <v>1619</v>
      </c>
      <c r="U347" s="1" t="s">
        <v>58</v>
      </c>
      <c r="V347" s="31">
        <v>43125</v>
      </c>
      <c r="W347" s="90">
        <v>11</v>
      </c>
      <c r="X347" s="20" t="s">
        <v>1805</v>
      </c>
      <c r="Y347" s="31">
        <v>43110</v>
      </c>
      <c r="Z347" s="94">
        <v>22591333</v>
      </c>
      <c r="AA347" s="107"/>
      <c r="AB347" s="1">
        <v>340</v>
      </c>
      <c r="AC347" s="31">
        <v>43110</v>
      </c>
      <c r="AD347" s="92">
        <v>22660000</v>
      </c>
      <c r="AE347" s="1"/>
      <c r="AF347" s="1">
        <v>153</v>
      </c>
      <c r="AG347" s="31">
        <v>43117</v>
      </c>
      <c r="AH347" s="94">
        <v>22591333</v>
      </c>
      <c r="AI347" s="107" t="s">
        <v>614</v>
      </c>
      <c r="AJ347" s="1">
        <v>155</v>
      </c>
      <c r="AK347" s="1"/>
      <c r="AL347" s="94">
        <v>22591333</v>
      </c>
      <c r="AM347" s="94">
        <f>+VLOOKUP(AF347,'[1]Compromisos CRP a 31 Julio de 2'!$J$428:$V$2707,13,0)</f>
        <v>11192666</v>
      </c>
      <c r="AN347" s="94">
        <f>AL347-AM347</f>
        <v>11398667</v>
      </c>
      <c r="AO347" s="1"/>
      <c r="AP347" s="1"/>
      <c r="AQ347" s="1"/>
      <c r="AR347" s="31">
        <v>43109</v>
      </c>
      <c r="AS347" s="1" t="s">
        <v>1615</v>
      </c>
      <c r="AT347" s="31">
        <v>43109</v>
      </c>
      <c r="AU347" s="1" t="s">
        <v>1623</v>
      </c>
      <c r="AV347" s="49"/>
    </row>
    <row r="348" spans="1:48" ht="409.6" thickTop="1" thickBot="1" x14ac:dyDescent="0.25">
      <c r="A348" s="215">
        <v>57</v>
      </c>
      <c r="B348" s="216" t="s">
        <v>1806</v>
      </c>
      <c r="C348" s="69" t="s">
        <v>1601</v>
      </c>
      <c r="D348" s="1" t="s">
        <v>485</v>
      </c>
      <c r="E348" s="69" t="s">
        <v>1612</v>
      </c>
      <c r="F348" s="1" t="s">
        <v>511</v>
      </c>
      <c r="G348" s="1" t="s">
        <v>512</v>
      </c>
      <c r="H348" s="7" t="s">
        <v>513</v>
      </c>
      <c r="I348" s="1" t="s">
        <v>54</v>
      </c>
      <c r="J348" s="69" t="s">
        <v>55</v>
      </c>
      <c r="K348" s="69">
        <v>801116</v>
      </c>
      <c r="L348" s="69" t="s">
        <v>1603</v>
      </c>
      <c r="M348" s="69" t="s">
        <v>1604</v>
      </c>
      <c r="N348" s="69" t="s">
        <v>1605</v>
      </c>
      <c r="O348" s="69" t="s">
        <v>1606</v>
      </c>
      <c r="P348" s="85" t="s">
        <v>611</v>
      </c>
      <c r="Q348" s="91">
        <v>915026</v>
      </c>
      <c r="R348" s="1">
        <v>1</v>
      </c>
      <c r="S348" s="92">
        <f>10065286-293161</f>
        <v>9772125</v>
      </c>
      <c r="T348" s="88" t="s">
        <v>1619</v>
      </c>
      <c r="U348" s="1" t="s">
        <v>58</v>
      </c>
      <c r="V348" s="31">
        <v>43125</v>
      </c>
      <c r="W348" s="90">
        <v>11</v>
      </c>
      <c r="X348" s="20" t="s">
        <v>1807</v>
      </c>
      <c r="Y348" s="31">
        <v>43110</v>
      </c>
      <c r="Z348" s="107">
        <v>9772125</v>
      </c>
      <c r="AA348" s="107"/>
      <c r="AB348" s="1">
        <v>324</v>
      </c>
      <c r="AC348" s="31">
        <v>43110</v>
      </c>
      <c r="AD348" s="92">
        <v>10065286</v>
      </c>
      <c r="AE348" s="1"/>
      <c r="AF348" s="1">
        <v>292</v>
      </c>
      <c r="AG348" s="31">
        <v>43122</v>
      </c>
      <c r="AH348" s="94">
        <v>9772125</v>
      </c>
      <c r="AI348" s="107" t="s">
        <v>612</v>
      </c>
      <c r="AJ348" s="1">
        <v>261</v>
      </c>
      <c r="AK348" s="1"/>
      <c r="AL348" s="94">
        <f t="shared" ref="AL348" si="34">AH348</f>
        <v>9772125</v>
      </c>
      <c r="AM348" s="94">
        <f>+VLOOKUP(AF348,'[1]Compromisos CRP a 31 Julio de 2'!$J$428:$V$2707,13,0)</f>
        <v>4708387</v>
      </c>
      <c r="AN348" s="94">
        <f>+AL348-AM348</f>
        <v>5063738</v>
      </c>
      <c r="AO348" s="1"/>
      <c r="AP348" s="1"/>
      <c r="AQ348" s="1"/>
      <c r="AR348" s="31">
        <v>43109</v>
      </c>
      <c r="AS348" s="1" t="s">
        <v>1615</v>
      </c>
      <c r="AT348" s="31">
        <v>43109</v>
      </c>
      <c r="AU348" s="1" t="s">
        <v>1623</v>
      </c>
      <c r="AV348" s="49"/>
    </row>
    <row r="349" spans="1:48" ht="384" thickTop="1" thickBot="1" x14ac:dyDescent="0.25">
      <c r="A349" s="215">
        <v>58</v>
      </c>
      <c r="B349" s="216" t="s">
        <v>1808</v>
      </c>
      <c r="C349" s="69" t="s">
        <v>1601</v>
      </c>
      <c r="D349" s="1" t="s">
        <v>485</v>
      </c>
      <c r="E349" s="69" t="s">
        <v>1612</v>
      </c>
      <c r="F349" s="1" t="s">
        <v>511</v>
      </c>
      <c r="G349" s="1" t="s">
        <v>512</v>
      </c>
      <c r="H349" s="7" t="s">
        <v>513</v>
      </c>
      <c r="I349" s="1" t="s">
        <v>54</v>
      </c>
      <c r="J349" s="69" t="s">
        <v>55</v>
      </c>
      <c r="K349" s="69">
        <v>801116</v>
      </c>
      <c r="L349" s="69" t="s">
        <v>1603</v>
      </c>
      <c r="M349" s="69" t="s">
        <v>1604</v>
      </c>
      <c r="N349" s="69" t="s">
        <v>1605</v>
      </c>
      <c r="O349" s="69" t="s">
        <v>1606</v>
      </c>
      <c r="P349" s="85" t="s">
        <v>1809</v>
      </c>
      <c r="Q349" s="91">
        <v>2343635</v>
      </c>
      <c r="R349" s="1">
        <v>1</v>
      </c>
      <c r="S349" s="92">
        <v>9660489</v>
      </c>
      <c r="T349" s="88" t="s">
        <v>1810</v>
      </c>
      <c r="U349" s="1" t="s">
        <v>58</v>
      </c>
      <c r="V349" s="31">
        <v>43115</v>
      </c>
      <c r="W349" s="90">
        <v>11</v>
      </c>
      <c r="X349" s="20" t="s">
        <v>1811</v>
      </c>
      <c r="Y349" s="31">
        <v>43115</v>
      </c>
      <c r="Z349" s="107">
        <v>9660489</v>
      </c>
      <c r="AA349" s="107"/>
      <c r="AB349" s="1">
        <v>536</v>
      </c>
      <c r="AC349" s="31">
        <v>43118</v>
      </c>
      <c r="AD349" s="92">
        <v>9660489</v>
      </c>
      <c r="AE349" s="1"/>
      <c r="AF349" s="1" t="s">
        <v>1812</v>
      </c>
      <c r="AG349" s="31">
        <v>43136</v>
      </c>
      <c r="AH349" s="94">
        <v>4943400</v>
      </c>
      <c r="AI349" s="107" t="s">
        <v>1813</v>
      </c>
      <c r="AJ349" s="1">
        <v>2</v>
      </c>
      <c r="AK349" s="1"/>
      <c r="AL349" s="94">
        <v>1227000</v>
      </c>
      <c r="AM349" s="94">
        <v>4943400</v>
      </c>
      <c r="AN349" s="94">
        <v>0</v>
      </c>
      <c r="AO349" s="1"/>
      <c r="AP349" s="1"/>
      <c r="AQ349" s="1"/>
      <c r="AR349" s="31">
        <v>43115</v>
      </c>
      <c r="AS349" s="1" t="s">
        <v>1615</v>
      </c>
      <c r="AT349" s="31">
        <v>43115</v>
      </c>
      <c r="AU349" s="1" t="s">
        <v>1623</v>
      </c>
      <c r="AV349" s="49"/>
    </row>
    <row r="350" spans="1:48" ht="320.25" thickTop="1" thickBot="1" x14ac:dyDescent="0.25">
      <c r="A350" s="215">
        <v>59</v>
      </c>
      <c r="B350" s="216" t="s">
        <v>1814</v>
      </c>
      <c r="C350" s="69" t="s">
        <v>1601</v>
      </c>
      <c r="D350" s="1" t="s">
        <v>485</v>
      </c>
      <c r="E350" s="69" t="s">
        <v>1602</v>
      </c>
      <c r="F350" s="1" t="s">
        <v>501</v>
      </c>
      <c r="G350" s="1" t="s">
        <v>502</v>
      </c>
      <c r="H350" s="7" t="s">
        <v>1815</v>
      </c>
      <c r="I350" s="1" t="s">
        <v>54</v>
      </c>
      <c r="J350" s="69" t="s">
        <v>55</v>
      </c>
      <c r="K350" s="69">
        <v>801116</v>
      </c>
      <c r="L350" s="1" t="s">
        <v>1603</v>
      </c>
      <c r="M350" s="1" t="s">
        <v>493</v>
      </c>
      <c r="N350" s="1" t="s">
        <v>494</v>
      </c>
      <c r="O350" s="1" t="s">
        <v>1816</v>
      </c>
      <c r="P350" s="85" t="s">
        <v>1817</v>
      </c>
      <c r="Q350" s="91">
        <v>3636363.6363636362</v>
      </c>
      <c r="R350" s="1">
        <v>1</v>
      </c>
      <c r="S350" s="92">
        <v>40000000</v>
      </c>
      <c r="T350" s="88" t="s">
        <v>1818</v>
      </c>
      <c r="U350" s="1" t="s">
        <v>497</v>
      </c>
      <c r="V350" s="31">
        <v>43348</v>
      </c>
      <c r="W350" s="90">
        <v>11</v>
      </c>
      <c r="X350" s="20"/>
      <c r="Y350" s="31"/>
      <c r="Z350" s="107"/>
      <c r="AA350" s="107"/>
      <c r="AB350" s="1"/>
      <c r="AC350" s="1"/>
      <c r="AD350" s="92"/>
      <c r="AE350" s="1"/>
      <c r="AF350" s="1"/>
      <c r="AG350" s="1"/>
      <c r="AH350" s="94"/>
      <c r="AI350" s="107" t="s">
        <v>1819</v>
      </c>
      <c r="AJ350" s="1"/>
      <c r="AK350" s="1"/>
      <c r="AL350" s="94"/>
      <c r="AM350" s="94"/>
      <c r="AN350" s="1"/>
      <c r="AO350" s="1"/>
      <c r="AP350" s="1"/>
      <c r="AQ350" s="1"/>
      <c r="AR350" s="1"/>
      <c r="AS350" s="1"/>
      <c r="AT350" s="1"/>
      <c r="AU350" s="1"/>
      <c r="AV350" s="49"/>
    </row>
    <row r="351" spans="1:48" ht="307.5" thickTop="1" thickBot="1" x14ac:dyDescent="0.25">
      <c r="A351" s="215">
        <v>60</v>
      </c>
      <c r="B351" s="216" t="s">
        <v>1820</v>
      </c>
      <c r="C351" s="69" t="s">
        <v>1601</v>
      </c>
      <c r="D351" s="1" t="s">
        <v>485</v>
      </c>
      <c r="E351" s="69" t="s">
        <v>1610</v>
      </c>
      <c r="F351" s="1" t="s">
        <v>501</v>
      </c>
      <c r="G351" s="1" t="s">
        <v>502</v>
      </c>
      <c r="H351" s="7" t="s">
        <v>1815</v>
      </c>
      <c r="I351" s="1" t="s">
        <v>54</v>
      </c>
      <c r="J351" s="69" t="s">
        <v>55</v>
      </c>
      <c r="K351" s="69">
        <v>801116</v>
      </c>
      <c r="L351" s="1" t="s">
        <v>1603</v>
      </c>
      <c r="M351" s="1" t="s">
        <v>493</v>
      </c>
      <c r="N351" s="1" t="s">
        <v>494</v>
      </c>
      <c r="O351" s="1" t="s">
        <v>1816</v>
      </c>
      <c r="P351" s="85" t="s">
        <v>1817</v>
      </c>
      <c r="Q351" s="91">
        <v>2386363.6363636362</v>
      </c>
      <c r="R351" s="1">
        <v>1</v>
      </c>
      <c r="S351" s="92">
        <v>26250000</v>
      </c>
      <c r="T351" s="88" t="s">
        <v>1818</v>
      </c>
      <c r="U351" s="1" t="s">
        <v>497</v>
      </c>
      <c r="V351" s="31">
        <v>43348</v>
      </c>
      <c r="W351" s="90">
        <v>11</v>
      </c>
      <c r="X351" s="20"/>
      <c r="Y351" s="31"/>
      <c r="Z351" s="107"/>
      <c r="AA351" s="107"/>
      <c r="AB351" s="1"/>
      <c r="AC351" s="1"/>
      <c r="AD351" s="92"/>
      <c r="AE351" s="1"/>
      <c r="AF351" s="1"/>
      <c r="AG351" s="1"/>
      <c r="AH351" s="94"/>
      <c r="AI351" s="107" t="s">
        <v>1819</v>
      </c>
      <c r="AJ351" s="1"/>
      <c r="AK351" s="1"/>
      <c r="AL351" s="94"/>
      <c r="AM351" s="94"/>
      <c r="AN351" s="1"/>
      <c r="AO351" s="1"/>
      <c r="AP351" s="1"/>
      <c r="AQ351" s="1"/>
      <c r="AR351" s="1"/>
      <c r="AS351" s="1"/>
      <c r="AT351" s="1"/>
      <c r="AU351" s="1"/>
      <c r="AV351" s="49"/>
    </row>
    <row r="352" spans="1:48" ht="384" thickTop="1" thickBot="1" x14ac:dyDescent="0.25">
      <c r="A352" s="215">
        <v>61</v>
      </c>
      <c r="B352" s="216" t="s">
        <v>1821</v>
      </c>
      <c r="C352" s="69" t="s">
        <v>1601</v>
      </c>
      <c r="D352" s="1" t="s">
        <v>485</v>
      </c>
      <c r="E352" s="69" t="s">
        <v>1612</v>
      </c>
      <c r="F352" s="1" t="s">
        <v>501</v>
      </c>
      <c r="G352" s="1" t="s">
        <v>502</v>
      </c>
      <c r="H352" s="7" t="s">
        <v>1815</v>
      </c>
      <c r="I352" s="1" t="s">
        <v>54</v>
      </c>
      <c r="J352" s="69" t="s">
        <v>55</v>
      </c>
      <c r="K352" s="69">
        <v>801116</v>
      </c>
      <c r="L352" s="1" t="s">
        <v>1603</v>
      </c>
      <c r="M352" s="1" t="s">
        <v>493</v>
      </c>
      <c r="N352" s="1" t="s">
        <v>494</v>
      </c>
      <c r="O352" s="1" t="s">
        <v>1816</v>
      </c>
      <c r="P352" s="85" t="s">
        <v>505</v>
      </c>
      <c r="Q352" s="91">
        <v>7386363.6363636367</v>
      </c>
      <c r="R352" s="1">
        <v>1</v>
      </c>
      <c r="S352" s="92">
        <v>81250000</v>
      </c>
      <c r="T352" s="88" t="s">
        <v>1822</v>
      </c>
      <c r="U352" s="1" t="s">
        <v>497</v>
      </c>
      <c r="V352" s="31">
        <v>43225</v>
      </c>
      <c r="W352" s="90">
        <v>11</v>
      </c>
      <c r="X352" s="20"/>
      <c r="Y352" s="31"/>
      <c r="Z352" s="107"/>
      <c r="AA352" s="107"/>
      <c r="AB352" s="1"/>
      <c r="AC352" s="1"/>
      <c r="AD352" s="92"/>
      <c r="AE352" s="1"/>
      <c r="AF352" s="1"/>
      <c r="AG352" s="1"/>
      <c r="AH352" s="94"/>
      <c r="AI352" s="107" t="s">
        <v>1823</v>
      </c>
      <c r="AJ352" s="1"/>
      <c r="AK352" s="1"/>
      <c r="AL352" s="94"/>
      <c r="AM352" s="94"/>
      <c r="AN352" s="1"/>
      <c r="AO352" s="1"/>
      <c r="AP352" s="1"/>
      <c r="AQ352" s="1"/>
      <c r="AR352" s="1"/>
      <c r="AS352" s="1"/>
      <c r="AT352" s="1"/>
      <c r="AU352" s="1"/>
      <c r="AV352" s="49"/>
    </row>
    <row r="353" spans="1:48" ht="409.6" thickTop="1" thickBot="1" x14ac:dyDescent="0.25">
      <c r="A353" s="215">
        <v>62</v>
      </c>
      <c r="B353" s="216" t="s">
        <v>1824</v>
      </c>
      <c r="C353" s="69" t="s">
        <v>1601</v>
      </c>
      <c r="D353" s="1" t="s">
        <v>485</v>
      </c>
      <c r="E353" s="69" t="s">
        <v>1602</v>
      </c>
      <c r="F353" s="1" t="s">
        <v>511</v>
      </c>
      <c r="G353" s="1" t="s">
        <v>512</v>
      </c>
      <c r="H353" s="7" t="s">
        <v>513</v>
      </c>
      <c r="I353" s="1" t="s">
        <v>54</v>
      </c>
      <c r="J353" s="69" t="s">
        <v>55</v>
      </c>
      <c r="K353" s="69">
        <v>801116</v>
      </c>
      <c r="L353" s="1" t="s">
        <v>1603</v>
      </c>
      <c r="M353" s="1" t="s">
        <v>493</v>
      </c>
      <c r="N353" s="1" t="s">
        <v>494</v>
      </c>
      <c r="O353" s="1" t="s">
        <v>1606</v>
      </c>
      <c r="P353" s="85" t="s">
        <v>1825</v>
      </c>
      <c r="Q353" s="91">
        <v>15000000</v>
      </c>
      <c r="R353" s="1">
        <v>1</v>
      </c>
      <c r="S353" s="92">
        <f>15000000-15000000+15000000-15000000</f>
        <v>0</v>
      </c>
      <c r="T353" s="88" t="s">
        <v>1822</v>
      </c>
      <c r="U353" s="1" t="s">
        <v>438</v>
      </c>
      <c r="V353" s="31">
        <v>43173</v>
      </c>
      <c r="W353" s="90">
        <v>1</v>
      </c>
      <c r="X353" s="20"/>
      <c r="Y353" s="31"/>
      <c r="Z353" s="107"/>
      <c r="AA353" s="107"/>
      <c r="AB353" s="1"/>
      <c r="AC353" s="1"/>
      <c r="AD353" s="92"/>
      <c r="AE353" s="1"/>
      <c r="AF353" s="1"/>
      <c r="AG353" s="1"/>
      <c r="AH353" s="94"/>
      <c r="AI353" s="107"/>
      <c r="AJ353" s="1"/>
      <c r="AK353" s="1"/>
      <c r="AL353" s="94"/>
      <c r="AM353" s="94"/>
      <c r="AN353" s="1"/>
      <c r="AO353" s="1"/>
      <c r="AP353" s="1"/>
      <c r="AQ353" s="1"/>
      <c r="AR353" s="1"/>
      <c r="AS353" s="1"/>
      <c r="AT353" s="1"/>
      <c r="AU353" s="1"/>
      <c r="AV353" s="51"/>
    </row>
    <row r="354" spans="1:48" ht="409.5" thickTop="1" thickBot="1" x14ac:dyDescent="0.25">
      <c r="A354" s="215">
        <v>63</v>
      </c>
      <c r="B354" s="216" t="s">
        <v>1826</v>
      </c>
      <c r="C354" s="69" t="s">
        <v>1601</v>
      </c>
      <c r="D354" s="1" t="s">
        <v>485</v>
      </c>
      <c r="E354" s="69" t="s">
        <v>1612</v>
      </c>
      <c r="F354" s="1" t="s">
        <v>511</v>
      </c>
      <c r="G354" s="1" t="s">
        <v>512</v>
      </c>
      <c r="H354" s="7" t="s">
        <v>1827</v>
      </c>
      <c r="I354" s="1" t="s">
        <v>1828</v>
      </c>
      <c r="J354" s="1" t="s">
        <v>1829</v>
      </c>
      <c r="K354" s="69">
        <v>801116</v>
      </c>
      <c r="L354" s="1" t="s">
        <v>1603</v>
      </c>
      <c r="M354" s="1" t="s">
        <v>493</v>
      </c>
      <c r="N354" s="1" t="s">
        <v>494</v>
      </c>
      <c r="O354" s="1" t="s">
        <v>1606</v>
      </c>
      <c r="P354" s="85" t="s">
        <v>1830</v>
      </c>
      <c r="Q354" s="91">
        <v>17018083.333333332</v>
      </c>
      <c r="R354" s="1">
        <v>1</v>
      </c>
      <c r="S354" s="92">
        <v>204217000</v>
      </c>
      <c r="T354" s="7" t="s">
        <v>1831</v>
      </c>
      <c r="U354" s="1" t="s">
        <v>497</v>
      </c>
      <c r="V354" s="31">
        <v>43291</v>
      </c>
      <c r="W354" s="90">
        <v>12</v>
      </c>
      <c r="X354" s="20"/>
      <c r="Y354" s="31"/>
      <c r="Z354" s="107"/>
      <c r="AA354" s="107"/>
      <c r="AB354" s="1"/>
      <c r="AC354" s="1"/>
      <c r="AD354" s="92"/>
      <c r="AE354" s="1"/>
      <c r="AF354" s="1"/>
      <c r="AG354" s="1"/>
      <c r="AH354" s="94"/>
      <c r="AI354" s="107" t="s">
        <v>1832</v>
      </c>
      <c r="AJ354" s="1"/>
      <c r="AK354" s="1"/>
      <c r="AL354" s="94"/>
      <c r="AM354" s="94"/>
      <c r="AN354" s="1"/>
      <c r="AO354" s="1"/>
      <c r="AP354" s="1"/>
      <c r="AQ354" s="1"/>
      <c r="AR354" s="1"/>
      <c r="AS354" s="1"/>
      <c r="AT354" s="1"/>
      <c r="AU354" s="1"/>
      <c r="AV354" s="49"/>
    </row>
    <row r="355" spans="1:48" ht="409.5" thickTop="1" thickBot="1" x14ac:dyDescent="0.25">
      <c r="A355" s="215">
        <v>64</v>
      </c>
      <c r="B355" s="216" t="s">
        <v>1833</v>
      </c>
      <c r="C355" s="69" t="s">
        <v>1601</v>
      </c>
      <c r="D355" s="1" t="s">
        <v>485</v>
      </c>
      <c r="E355" s="69" t="s">
        <v>1602</v>
      </c>
      <c r="F355" s="1" t="s">
        <v>511</v>
      </c>
      <c r="G355" s="1" t="s">
        <v>512</v>
      </c>
      <c r="H355" s="7" t="s">
        <v>513</v>
      </c>
      <c r="I355" s="1" t="s">
        <v>54</v>
      </c>
      <c r="J355" s="69" t="s">
        <v>55</v>
      </c>
      <c r="K355" s="69">
        <v>801116</v>
      </c>
      <c r="L355" s="1" t="s">
        <v>1603</v>
      </c>
      <c r="M355" s="1" t="s">
        <v>493</v>
      </c>
      <c r="N355" s="1" t="s">
        <v>494</v>
      </c>
      <c r="O355" s="1" t="s">
        <v>1606</v>
      </c>
      <c r="P355" s="85" t="s">
        <v>1834</v>
      </c>
      <c r="Q355" s="91">
        <v>3450000</v>
      </c>
      <c r="R355" s="1">
        <v>1</v>
      </c>
      <c r="S355" s="92"/>
      <c r="T355" s="88" t="s">
        <v>1619</v>
      </c>
      <c r="U355" s="1" t="s">
        <v>58</v>
      </c>
      <c r="V355" s="31">
        <v>43286</v>
      </c>
      <c r="W355" s="90">
        <v>1</v>
      </c>
      <c r="X355" s="20" t="s">
        <v>1835</v>
      </c>
      <c r="Y355" s="31">
        <v>43243</v>
      </c>
      <c r="Z355" s="92">
        <v>3450000</v>
      </c>
      <c r="AA355" s="107"/>
      <c r="AB355" s="1"/>
      <c r="AC355" s="1"/>
      <c r="AD355" s="92"/>
      <c r="AE355" s="1"/>
      <c r="AF355" s="1"/>
      <c r="AG355" s="1"/>
      <c r="AH355" s="94"/>
      <c r="AI355" s="107" t="s">
        <v>1836</v>
      </c>
      <c r="AJ355" s="1"/>
      <c r="AK355" s="1"/>
      <c r="AL355" s="94"/>
      <c r="AM355" s="94"/>
      <c r="AN355" s="1"/>
      <c r="AO355" s="1"/>
      <c r="AP355" s="1"/>
      <c r="AQ355" s="1" t="s">
        <v>1837</v>
      </c>
      <c r="AR355" s="1"/>
      <c r="AS355" s="1"/>
      <c r="AT355" s="1"/>
      <c r="AU355" s="1"/>
      <c r="AV355" s="49"/>
    </row>
    <row r="356" spans="1:48" ht="358.5" thickTop="1" thickBot="1" x14ac:dyDescent="0.25">
      <c r="A356" s="215">
        <v>65</v>
      </c>
      <c r="B356" s="216" t="s">
        <v>1838</v>
      </c>
      <c r="C356" s="69" t="s">
        <v>1601</v>
      </c>
      <c r="D356" s="1" t="s">
        <v>485</v>
      </c>
      <c r="E356" s="69" t="s">
        <v>1602</v>
      </c>
      <c r="F356" s="1" t="s">
        <v>511</v>
      </c>
      <c r="G356" s="1" t="s">
        <v>512</v>
      </c>
      <c r="H356" s="7" t="s">
        <v>513</v>
      </c>
      <c r="I356" s="1" t="s">
        <v>54</v>
      </c>
      <c r="J356" s="69" t="s">
        <v>55</v>
      </c>
      <c r="K356" s="69">
        <v>801116</v>
      </c>
      <c r="L356" s="1" t="s">
        <v>1603</v>
      </c>
      <c r="M356" s="1" t="s">
        <v>493</v>
      </c>
      <c r="N356" s="1" t="s">
        <v>494</v>
      </c>
      <c r="O356" s="1" t="s">
        <v>1606</v>
      </c>
      <c r="P356" s="85" t="s">
        <v>1839</v>
      </c>
      <c r="Q356" s="91">
        <v>3300000</v>
      </c>
      <c r="R356" s="1">
        <v>1</v>
      </c>
      <c r="S356" s="92"/>
      <c r="T356" s="88" t="s">
        <v>1619</v>
      </c>
      <c r="U356" s="1" t="s">
        <v>58</v>
      </c>
      <c r="V356" s="31">
        <v>43256</v>
      </c>
      <c r="W356" s="93">
        <v>1.5</v>
      </c>
      <c r="X356" s="20" t="s">
        <v>1840</v>
      </c>
      <c r="Y356" s="31">
        <v>43243</v>
      </c>
      <c r="Z356" s="92">
        <v>4950000</v>
      </c>
      <c r="AA356" s="107"/>
      <c r="AB356" s="1"/>
      <c r="AC356" s="1"/>
      <c r="AD356" s="92"/>
      <c r="AE356" s="1"/>
      <c r="AF356" s="1"/>
      <c r="AG356" s="1"/>
      <c r="AH356" s="94"/>
      <c r="AI356" s="107" t="s">
        <v>1841</v>
      </c>
      <c r="AJ356" s="1"/>
      <c r="AK356" s="1"/>
      <c r="AL356" s="94"/>
      <c r="AM356" s="94"/>
      <c r="AN356" s="1"/>
      <c r="AO356" s="1"/>
      <c r="AP356" s="1"/>
      <c r="AQ356" s="1" t="s">
        <v>1837</v>
      </c>
      <c r="AR356" s="1"/>
      <c r="AS356" s="1"/>
      <c r="AT356" s="1"/>
      <c r="AU356" s="1"/>
      <c r="AV356" s="49"/>
    </row>
    <row r="357" spans="1:48" ht="409.5" thickTop="1" thickBot="1" x14ac:dyDescent="0.25">
      <c r="A357" s="215">
        <v>66</v>
      </c>
      <c r="B357" s="216" t="s">
        <v>1842</v>
      </c>
      <c r="C357" s="69" t="s">
        <v>1601</v>
      </c>
      <c r="D357" s="1" t="s">
        <v>485</v>
      </c>
      <c r="E357" s="69" t="s">
        <v>1602</v>
      </c>
      <c r="F357" s="1" t="s">
        <v>511</v>
      </c>
      <c r="G357" s="1" t="s">
        <v>512</v>
      </c>
      <c r="H357" s="7" t="s">
        <v>513</v>
      </c>
      <c r="I357" s="1" t="s">
        <v>54</v>
      </c>
      <c r="J357" s="69" t="s">
        <v>55</v>
      </c>
      <c r="K357" s="69">
        <v>801116</v>
      </c>
      <c r="L357" s="1" t="s">
        <v>1603</v>
      </c>
      <c r="M357" s="1" t="s">
        <v>493</v>
      </c>
      <c r="N357" s="1" t="s">
        <v>494</v>
      </c>
      <c r="O357" s="1" t="s">
        <v>1606</v>
      </c>
      <c r="P357" s="85" t="s">
        <v>1843</v>
      </c>
      <c r="Q357" s="91">
        <v>3300000</v>
      </c>
      <c r="R357" s="1">
        <v>1</v>
      </c>
      <c r="S357" s="92"/>
      <c r="T357" s="88" t="s">
        <v>1619</v>
      </c>
      <c r="U357" s="1" t="s">
        <v>58</v>
      </c>
      <c r="V357" s="31">
        <v>43286</v>
      </c>
      <c r="W357" s="90">
        <v>1</v>
      </c>
      <c r="X357" s="20" t="s">
        <v>1844</v>
      </c>
      <c r="Y357" s="31">
        <v>43243</v>
      </c>
      <c r="Z357" s="92">
        <v>3300000</v>
      </c>
      <c r="AA357" s="107"/>
      <c r="AB357" s="1"/>
      <c r="AC357" s="1"/>
      <c r="AD357" s="92"/>
      <c r="AE357" s="1"/>
      <c r="AF357" s="1"/>
      <c r="AG357" s="1"/>
      <c r="AH357" s="94"/>
      <c r="AI357" s="107" t="s">
        <v>1845</v>
      </c>
      <c r="AJ357" s="1"/>
      <c r="AK357" s="1"/>
      <c r="AL357" s="94"/>
      <c r="AM357" s="94"/>
      <c r="AN357" s="1"/>
      <c r="AO357" s="1"/>
      <c r="AP357" s="1"/>
      <c r="AQ357" s="1" t="s">
        <v>1837</v>
      </c>
      <c r="AR357" s="1"/>
      <c r="AS357" s="1"/>
      <c r="AT357" s="1"/>
      <c r="AU357" s="1"/>
      <c r="AV357" s="49"/>
    </row>
    <row r="358" spans="1:48" ht="358.5" thickTop="1" thickBot="1" x14ac:dyDescent="0.25">
      <c r="A358" s="215">
        <v>67</v>
      </c>
      <c r="B358" s="216" t="s">
        <v>1846</v>
      </c>
      <c r="C358" s="69" t="s">
        <v>1601</v>
      </c>
      <c r="D358" s="1" t="s">
        <v>485</v>
      </c>
      <c r="E358" s="69" t="s">
        <v>1602</v>
      </c>
      <c r="F358" s="1" t="s">
        <v>511</v>
      </c>
      <c r="G358" s="1" t="s">
        <v>512</v>
      </c>
      <c r="H358" s="7" t="s">
        <v>513</v>
      </c>
      <c r="I358" s="1" t="s">
        <v>54</v>
      </c>
      <c r="J358" s="69" t="s">
        <v>55</v>
      </c>
      <c r="K358" s="69">
        <v>801116</v>
      </c>
      <c r="L358" s="1" t="s">
        <v>1603</v>
      </c>
      <c r="M358" s="1" t="s">
        <v>493</v>
      </c>
      <c r="N358" s="1" t="s">
        <v>494</v>
      </c>
      <c r="O358" s="1" t="s">
        <v>1606</v>
      </c>
      <c r="P358" s="85" t="s">
        <v>1847</v>
      </c>
      <c r="Q358" s="91">
        <v>3300000</v>
      </c>
      <c r="R358" s="1">
        <v>1</v>
      </c>
      <c r="S358" s="92"/>
      <c r="T358" s="88" t="s">
        <v>1619</v>
      </c>
      <c r="U358" s="1" t="s">
        <v>58</v>
      </c>
      <c r="V358" s="31">
        <v>43256</v>
      </c>
      <c r="W358" s="93">
        <v>1.5</v>
      </c>
      <c r="X358" s="20" t="s">
        <v>1848</v>
      </c>
      <c r="Y358" s="31">
        <v>43243</v>
      </c>
      <c r="Z358" s="92">
        <v>4950000</v>
      </c>
      <c r="AA358" s="107"/>
      <c r="AB358" s="1"/>
      <c r="AC358" s="1"/>
      <c r="AD358" s="92"/>
      <c r="AE358" s="1"/>
      <c r="AF358" s="1"/>
      <c r="AG358" s="1"/>
      <c r="AH358" s="94"/>
      <c r="AI358" s="107" t="s">
        <v>1849</v>
      </c>
      <c r="AJ358" s="1"/>
      <c r="AK358" s="1"/>
      <c r="AL358" s="94"/>
      <c r="AM358" s="94"/>
      <c r="AN358" s="1"/>
      <c r="AO358" s="1"/>
      <c r="AP358" s="1"/>
      <c r="AQ358" s="1" t="s">
        <v>1837</v>
      </c>
      <c r="AR358" s="1"/>
      <c r="AS358" s="1"/>
      <c r="AT358" s="1"/>
      <c r="AU358" s="1"/>
      <c r="AV358" s="49"/>
    </row>
    <row r="359" spans="1:48" ht="409.5" thickTop="1" thickBot="1" x14ac:dyDescent="0.25">
      <c r="A359" s="215">
        <v>68</v>
      </c>
      <c r="B359" s="216" t="s">
        <v>1850</v>
      </c>
      <c r="C359" s="69" t="s">
        <v>1601</v>
      </c>
      <c r="D359" s="1" t="s">
        <v>485</v>
      </c>
      <c r="E359" s="69" t="s">
        <v>1602</v>
      </c>
      <c r="F359" s="1" t="s">
        <v>511</v>
      </c>
      <c r="G359" s="1" t="s">
        <v>512</v>
      </c>
      <c r="H359" s="7" t="s">
        <v>513</v>
      </c>
      <c r="I359" s="1" t="s">
        <v>54</v>
      </c>
      <c r="J359" s="69" t="s">
        <v>55</v>
      </c>
      <c r="K359" s="69">
        <v>801116</v>
      </c>
      <c r="L359" s="1" t="s">
        <v>1603</v>
      </c>
      <c r="M359" s="1" t="s">
        <v>493</v>
      </c>
      <c r="N359" s="1" t="s">
        <v>494</v>
      </c>
      <c r="O359" s="1" t="s">
        <v>1606</v>
      </c>
      <c r="P359" s="85" t="s">
        <v>1851</v>
      </c>
      <c r="Q359" s="91">
        <v>3450000</v>
      </c>
      <c r="R359" s="1">
        <v>1</v>
      </c>
      <c r="S359" s="92"/>
      <c r="T359" s="88" t="s">
        <v>1619</v>
      </c>
      <c r="U359" s="1" t="s">
        <v>58</v>
      </c>
      <c r="V359" s="31">
        <v>43286</v>
      </c>
      <c r="W359" s="90">
        <v>1</v>
      </c>
      <c r="X359" s="20" t="s">
        <v>1852</v>
      </c>
      <c r="Y359" s="31">
        <v>43243</v>
      </c>
      <c r="Z359" s="92">
        <v>3450000</v>
      </c>
      <c r="AA359" s="107"/>
      <c r="AB359" s="1"/>
      <c r="AC359" s="1"/>
      <c r="AD359" s="92"/>
      <c r="AE359" s="1"/>
      <c r="AF359" s="1"/>
      <c r="AG359" s="1"/>
      <c r="AH359" s="94"/>
      <c r="AI359" s="107" t="s">
        <v>1853</v>
      </c>
      <c r="AJ359" s="1"/>
      <c r="AK359" s="1"/>
      <c r="AL359" s="94"/>
      <c r="AM359" s="94"/>
      <c r="AN359" s="1"/>
      <c r="AO359" s="1"/>
      <c r="AP359" s="1"/>
      <c r="AQ359" s="1" t="s">
        <v>1837</v>
      </c>
      <c r="AR359" s="1"/>
      <c r="AS359" s="1"/>
      <c r="AT359" s="1"/>
      <c r="AU359" s="1"/>
      <c r="AV359" s="49"/>
    </row>
    <row r="360" spans="1:48" ht="358.5" thickTop="1" thickBot="1" x14ac:dyDescent="0.25">
      <c r="A360" s="215">
        <v>69</v>
      </c>
      <c r="B360" s="216" t="s">
        <v>1854</v>
      </c>
      <c r="C360" s="69" t="s">
        <v>1601</v>
      </c>
      <c r="D360" s="1" t="s">
        <v>485</v>
      </c>
      <c r="E360" s="69" t="s">
        <v>1602</v>
      </c>
      <c r="F360" s="1" t="s">
        <v>511</v>
      </c>
      <c r="G360" s="1" t="s">
        <v>512</v>
      </c>
      <c r="H360" s="7" t="s">
        <v>513</v>
      </c>
      <c r="I360" s="1" t="s">
        <v>54</v>
      </c>
      <c r="J360" s="69" t="s">
        <v>55</v>
      </c>
      <c r="K360" s="69">
        <v>801116</v>
      </c>
      <c r="L360" s="1" t="s">
        <v>1603</v>
      </c>
      <c r="M360" s="1" t="s">
        <v>493</v>
      </c>
      <c r="N360" s="1" t="s">
        <v>494</v>
      </c>
      <c r="O360" s="1" t="s">
        <v>1606</v>
      </c>
      <c r="P360" s="85" t="s">
        <v>1855</v>
      </c>
      <c r="Q360" s="91">
        <v>4000000</v>
      </c>
      <c r="R360" s="1">
        <v>1</v>
      </c>
      <c r="S360" s="92"/>
      <c r="T360" s="88" t="s">
        <v>1619</v>
      </c>
      <c r="U360" s="1" t="s">
        <v>58</v>
      </c>
      <c r="V360" s="31">
        <v>43265</v>
      </c>
      <c r="W360" s="90">
        <v>1</v>
      </c>
      <c r="X360" s="20" t="s">
        <v>1856</v>
      </c>
      <c r="Y360" s="31">
        <v>43243</v>
      </c>
      <c r="Z360" s="92">
        <v>4000000</v>
      </c>
      <c r="AA360" s="107"/>
      <c r="AB360" s="1"/>
      <c r="AC360" s="1"/>
      <c r="AD360" s="92"/>
      <c r="AE360" s="1"/>
      <c r="AF360" s="1"/>
      <c r="AG360" s="1"/>
      <c r="AH360" s="94"/>
      <c r="AI360" s="107" t="s">
        <v>1857</v>
      </c>
      <c r="AJ360" s="1"/>
      <c r="AK360" s="1"/>
      <c r="AL360" s="94"/>
      <c r="AM360" s="94"/>
      <c r="AN360" s="1"/>
      <c r="AO360" s="1"/>
      <c r="AP360" s="1"/>
      <c r="AQ360" s="1" t="s">
        <v>1837</v>
      </c>
      <c r="AR360" s="1"/>
      <c r="AS360" s="1"/>
      <c r="AT360" s="1"/>
      <c r="AU360" s="1"/>
      <c r="AV360" s="49"/>
    </row>
    <row r="361" spans="1:48" ht="409.6" thickTop="1" thickBot="1" x14ac:dyDescent="0.25">
      <c r="A361" s="215">
        <v>70</v>
      </c>
      <c r="B361" s="216" t="s">
        <v>1858</v>
      </c>
      <c r="C361" s="69" t="s">
        <v>1601</v>
      </c>
      <c r="D361" s="1" t="s">
        <v>485</v>
      </c>
      <c r="E361" s="69" t="s">
        <v>1602</v>
      </c>
      <c r="F361" s="1" t="s">
        <v>511</v>
      </c>
      <c r="G361" s="1" t="s">
        <v>512</v>
      </c>
      <c r="H361" s="7" t="s">
        <v>513</v>
      </c>
      <c r="I361" s="1" t="s">
        <v>54</v>
      </c>
      <c r="J361" s="69" t="s">
        <v>55</v>
      </c>
      <c r="K361" s="69">
        <v>801116</v>
      </c>
      <c r="L361" s="1" t="s">
        <v>1603</v>
      </c>
      <c r="M361" s="1" t="s">
        <v>493</v>
      </c>
      <c r="N361" s="1" t="s">
        <v>494</v>
      </c>
      <c r="O361" s="1" t="s">
        <v>1606</v>
      </c>
      <c r="P361" s="85" t="s">
        <v>1859</v>
      </c>
      <c r="Q361" s="91">
        <v>4890000</v>
      </c>
      <c r="R361" s="1">
        <v>1</v>
      </c>
      <c r="S361" s="92">
        <f>7335000-7335000+7335000-7335000</f>
        <v>0</v>
      </c>
      <c r="T361" s="88" t="s">
        <v>1619</v>
      </c>
      <c r="U361" s="1" t="s">
        <v>58</v>
      </c>
      <c r="V361" s="31">
        <v>43255</v>
      </c>
      <c r="W361" s="93">
        <v>1.5</v>
      </c>
      <c r="X361" s="20" t="s">
        <v>1860</v>
      </c>
      <c r="Y361" s="31">
        <v>43243</v>
      </c>
      <c r="Z361" s="92">
        <v>7335000</v>
      </c>
      <c r="AA361" s="107"/>
      <c r="AB361" s="1"/>
      <c r="AC361" s="1"/>
      <c r="AD361" s="92"/>
      <c r="AE361" s="1"/>
      <c r="AF361" s="1"/>
      <c r="AG361" s="1"/>
      <c r="AH361" s="94"/>
      <c r="AI361" s="107" t="s">
        <v>1861</v>
      </c>
      <c r="AJ361" s="1"/>
      <c r="AK361" s="1"/>
      <c r="AL361" s="94"/>
      <c r="AM361" s="94"/>
      <c r="AN361" s="1"/>
      <c r="AO361" s="1"/>
      <c r="AP361" s="1"/>
      <c r="AQ361" s="1" t="s">
        <v>1837</v>
      </c>
      <c r="AR361" s="1"/>
      <c r="AS361" s="1"/>
      <c r="AT361" s="1"/>
      <c r="AU361" s="1"/>
      <c r="AV361" s="49"/>
    </row>
    <row r="362" spans="1:48" ht="409.5" thickTop="1" thickBot="1" x14ac:dyDescent="0.25">
      <c r="A362" s="215">
        <v>71</v>
      </c>
      <c r="B362" s="216" t="s">
        <v>1862</v>
      </c>
      <c r="C362" s="69" t="s">
        <v>1601</v>
      </c>
      <c r="D362" s="1" t="s">
        <v>485</v>
      </c>
      <c r="E362" s="69" t="s">
        <v>1602</v>
      </c>
      <c r="F362" s="1" t="s">
        <v>511</v>
      </c>
      <c r="G362" s="1" t="s">
        <v>512</v>
      </c>
      <c r="H362" s="7" t="s">
        <v>513</v>
      </c>
      <c r="I362" s="1" t="s">
        <v>54</v>
      </c>
      <c r="J362" s="69" t="s">
        <v>55</v>
      </c>
      <c r="K362" s="69">
        <v>801116</v>
      </c>
      <c r="L362" s="1" t="s">
        <v>1603</v>
      </c>
      <c r="M362" s="1" t="s">
        <v>493</v>
      </c>
      <c r="N362" s="1" t="s">
        <v>494</v>
      </c>
      <c r="O362" s="1" t="s">
        <v>1606</v>
      </c>
      <c r="P362" s="85" t="s">
        <v>1863</v>
      </c>
      <c r="Q362" s="91">
        <v>3300000</v>
      </c>
      <c r="R362" s="1">
        <v>1</v>
      </c>
      <c r="S362" s="92"/>
      <c r="T362" s="88" t="s">
        <v>1619</v>
      </c>
      <c r="U362" s="1" t="s">
        <v>58</v>
      </c>
      <c r="V362" s="31">
        <v>43291</v>
      </c>
      <c r="W362" s="90">
        <v>1</v>
      </c>
      <c r="X362" s="20" t="s">
        <v>1864</v>
      </c>
      <c r="Y362" s="31">
        <v>43243</v>
      </c>
      <c r="Z362" s="92">
        <v>3300000</v>
      </c>
      <c r="AA362" s="107"/>
      <c r="AB362" s="1"/>
      <c r="AC362" s="1"/>
      <c r="AD362" s="92"/>
      <c r="AE362" s="1"/>
      <c r="AF362" s="1"/>
      <c r="AG362" s="1"/>
      <c r="AH362" s="94"/>
      <c r="AI362" s="107" t="s">
        <v>1865</v>
      </c>
      <c r="AJ362" s="1"/>
      <c r="AK362" s="1"/>
      <c r="AL362" s="94"/>
      <c r="AM362" s="94"/>
      <c r="AN362" s="1"/>
      <c r="AO362" s="1"/>
      <c r="AP362" s="1"/>
      <c r="AQ362" s="1" t="s">
        <v>1837</v>
      </c>
      <c r="AR362" s="1"/>
      <c r="AS362" s="1"/>
      <c r="AT362" s="1"/>
      <c r="AU362" s="1"/>
      <c r="AV362" s="49"/>
    </row>
    <row r="363" spans="1:48" ht="345.75" thickTop="1" thickBot="1" x14ac:dyDescent="0.25">
      <c r="A363" s="215">
        <v>72</v>
      </c>
      <c r="B363" s="216" t="s">
        <v>1866</v>
      </c>
      <c r="C363" s="69" t="s">
        <v>1601</v>
      </c>
      <c r="D363" s="1" t="s">
        <v>485</v>
      </c>
      <c r="E363" s="69" t="s">
        <v>1602</v>
      </c>
      <c r="F363" s="1" t="s">
        <v>511</v>
      </c>
      <c r="G363" s="1" t="s">
        <v>512</v>
      </c>
      <c r="H363" s="7" t="s">
        <v>513</v>
      </c>
      <c r="I363" s="1" t="s">
        <v>54</v>
      </c>
      <c r="J363" s="69" t="s">
        <v>55</v>
      </c>
      <c r="K363" s="69">
        <v>801116</v>
      </c>
      <c r="L363" s="1" t="s">
        <v>1603</v>
      </c>
      <c r="M363" s="1" t="s">
        <v>493</v>
      </c>
      <c r="N363" s="1" t="s">
        <v>494</v>
      </c>
      <c r="O363" s="1" t="s">
        <v>1606</v>
      </c>
      <c r="P363" s="85" t="s">
        <v>1867</v>
      </c>
      <c r="Q363" s="91">
        <v>1700000</v>
      </c>
      <c r="R363" s="1">
        <v>1</v>
      </c>
      <c r="S363" s="92">
        <v>2550000</v>
      </c>
      <c r="T363" s="88" t="s">
        <v>1619</v>
      </c>
      <c r="U363" s="1" t="s">
        <v>58</v>
      </c>
      <c r="V363" s="31">
        <v>43271</v>
      </c>
      <c r="W363" s="93">
        <v>1.5</v>
      </c>
      <c r="X363" s="20" t="s">
        <v>1868</v>
      </c>
      <c r="Y363" s="31">
        <v>43243</v>
      </c>
      <c r="Z363" s="92">
        <v>2550000</v>
      </c>
      <c r="AA363" s="107"/>
      <c r="AB363" s="1"/>
      <c r="AC363" s="1"/>
      <c r="AD363" s="92"/>
      <c r="AE363" s="1"/>
      <c r="AF363" s="1"/>
      <c r="AG363" s="1"/>
      <c r="AH363" s="94"/>
      <c r="AI363" s="107" t="s">
        <v>1869</v>
      </c>
      <c r="AJ363" s="1"/>
      <c r="AK363" s="1"/>
      <c r="AL363" s="94"/>
      <c r="AM363" s="94"/>
      <c r="AN363" s="1"/>
      <c r="AO363" s="1"/>
      <c r="AP363" s="1"/>
      <c r="AQ363" s="1" t="s">
        <v>1837</v>
      </c>
      <c r="AR363" s="1"/>
      <c r="AS363" s="1"/>
      <c r="AT363" s="1"/>
      <c r="AU363" s="1"/>
      <c r="AV363" s="49"/>
    </row>
    <row r="364" spans="1:48" ht="358.5" thickTop="1" thickBot="1" x14ac:dyDescent="0.25">
      <c r="A364" s="215">
        <v>73</v>
      </c>
      <c r="B364" s="216" t="s">
        <v>1870</v>
      </c>
      <c r="C364" s="69" t="s">
        <v>1601</v>
      </c>
      <c r="D364" s="1" t="s">
        <v>485</v>
      </c>
      <c r="E364" s="69" t="s">
        <v>1602</v>
      </c>
      <c r="F364" s="1" t="s">
        <v>511</v>
      </c>
      <c r="G364" s="1" t="s">
        <v>512</v>
      </c>
      <c r="H364" s="7" t="s">
        <v>513</v>
      </c>
      <c r="I364" s="1" t="s">
        <v>54</v>
      </c>
      <c r="J364" s="69" t="s">
        <v>55</v>
      </c>
      <c r="K364" s="69">
        <v>801116</v>
      </c>
      <c r="L364" s="1" t="s">
        <v>1603</v>
      </c>
      <c r="M364" s="1" t="s">
        <v>493</v>
      </c>
      <c r="N364" s="1" t="s">
        <v>494</v>
      </c>
      <c r="O364" s="1" t="s">
        <v>1606</v>
      </c>
      <c r="P364" s="85" t="s">
        <v>1871</v>
      </c>
      <c r="Q364" s="91">
        <v>4000000</v>
      </c>
      <c r="R364" s="1">
        <v>1</v>
      </c>
      <c r="S364" s="92">
        <f>6000000-6000000</f>
        <v>0</v>
      </c>
      <c r="T364" s="88" t="s">
        <v>1619</v>
      </c>
      <c r="U364" s="1" t="s">
        <v>58</v>
      </c>
      <c r="V364" s="31">
        <v>43257</v>
      </c>
      <c r="W364" s="93">
        <v>1.5</v>
      </c>
      <c r="X364" s="20" t="s">
        <v>1872</v>
      </c>
      <c r="Y364" s="31">
        <v>43243</v>
      </c>
      <c r="Z364" s="92">
        <v>6000000</v>
      </c>
      <c r="AA364" s="107"/>
      <c r="AB364" s="1"/>
      <c r="AC364" s="1"/>
      <c r="AD364" s="92"/>
      <c r="AE364" s="1"/>
      <c r="AF364" s="1"/>
      <c r="AG364" s="1"/>
      <c r="AH364" s="94"/>
      <c r="AI364" s="107" t="s">
        <v>1873</v>
      </c>
      <c r="AJ364" s="1"/>
      <c r="AK364" s="1"/>
      <c r="AL364" s="94"/>
      <c r="AM364" s="94"/>
      <c r="AN364" s="1"/>
      <c r="AO364" s="1"/>
      <c r="AP364" s="1"/>
      <c r="AQ364" s="1" t="s">
        <v>1837</v>
      </c>
      <c r="AR364" s="1"/>
      <c r="AS364" s="1"/>
      <c r="AT364" s="1"/>
      <c r="AU364" s="1"/>
      <c r="AV364" s="49"/>
    </row>
    <row r="365" spans="1:48" ht="358.5" thickTop="1" thickBot="1" x14ac:dyDescent="0.25">
      <c r="A365" s="215">
        <v>74</v>
      </c>
      <c r="B365" s="216" t="s">
        <v>1874</v>
      </c>
      <c r="C365" s="69" t="s">
        <v>1601</v>
      </c>
      <c r="D365" s="1" t="s">
        <v>485</v>
      </c>
      <c r="E365" s="69" t="s">
        <v>1602</v>
      </c>
      <c r="F365" s="1" t="s">
        <v>511</v>
      </c>
      <c r="G365" s="1" t="s">
        <v>512</v>
      </c>
      <c r="H365" s="7" t="s">
        <v>513</v>
      </c>
      <c r="I365" s="1" t="s">
        <v>54</v>
      </c>
      <c r="J365" s="69" t="s">
        <v>55</v>
      </c>
      <c r="K365" s="69">
        <v>801116</v>
      </c>
      <c r="L365" s="1" t="s">
        <v>1603</v>
      </c>
      <c r="M365" s="1" t="s">
        <v>493</v>
      </c>
      <c r="N365" s="1" t="s">
        <v>494</v>
      </c>
      <c r="O365" s="1" t="s">
        <v>1606</v>
      </c>
      <c r="P365" s="85" t="s">
        <v>1875</v>
      </c>
      <c r="Q365" s="91">
        <v>3300000</v>
      </c>
      <c r="R365" s="1">
        <v>1</v>
      </c>
      <c r="S365" s="92">
        <f>4950000-4950000</f>
        <v>0</v>
      </c>
      <c r="T365" s="88" t="s">
        <v>1619</v>
      </c>
      <c r="U365" s="1" t="s">
        <v>58</v>
      </c>
      <c r="V365" s="31">
        <v>43256</v>
      </c>
      <c r="W365" s="93">
        <v>1.5</v>
      </c>
      <c r="X365" s="20" t="s">
        <v>1876</v>
      </c>
      <c r="Y365" s="31">
        <v>43243</v>
      </c>
      <c r="Z365" s="92">
        <v>4950000</v>
      </c>
      <c r="AA365" s="107"/>
      <c r="AB365" s="1"/>
      <c r="AC365" s="1"/>
      <c r="AD365" s="92"/>
      <c r="AE365" s="1"/>
      <c r="AF365" s="1"/>
      <c r="AG365" s="1"/>
      <c r="AH365" s="94"/>
      <c r="AI365" s="107" t="s">
        <v>1877</v>
      </c>
      <c r="AJ365" s="1"/>
      <c r="AK365" s="1"/>
      <c r="AL365" s="94"/>
      <c r="AM365" s="94"/>
      <c r="AN365" s="1"/>
      <c r="AO365" s="1"/>
      <c r="AP365" s="1"/>
      <c r="AQ365" s="1" t="s">
        <v>1837</v>
      </c>
      <c r="AR365" s="1"/>
      <c r="AS365" s="1"/>
      <c r="AT365" s="1"/>
      <c r="AU365" s="1"/>
      <c r="AV365" s="49"/>
    </row>
    <row r="366" spans="1:48" ht="358.5" thickTop="1" thickBot="1" x14ac:dyDescent="0.25">
      <c r="A366" s="215">
        <v>75</v>
      </c>
      <c r="B366" s="216" t="s">
        <v>1878</v>
      </c>
      <c r="C366" s="69" t="s">
        <v>1601</v>
      </c>
      <c r="D366" s="1" t="s">
        <v>485</v>
      </c>
      <c r="E366" s="69" t="s">
        <v>1602</v>
      </c>
      <c r="F366" s="1" t="s">
        <v>511</v>
      </c>
      <c r="G366" s="1" t="s">
        <v>512</v>
      </c>
      <c r="H366" s="7" t="s">
        <v>513</v>
      </c>
      <c r="I366" s="1" t="s">
        <v>54</v>
      </c>
      <c r="J366" s="69" t="s">
        <v>55</v>
      </c>
      <c r="K366" s="69">
        <v>801116</v>
      </c>
      <c r="L366" s="1" t="s">
        <v>1603</v>
      </c>
      <c r="M366" s="1" t="s">
        <v>493</v>
      </c>
      <c r="N366" s="1" t="s">
        <v>494</v>
      </c>
      <c r="O366" s="1" t="s">
        <v>1606</v>
      </c>
      <c r="P366" s="85" t="s">
        <v>1879</v>
      </c>
      <c r="Q366" s="91">
        <v>4000000</v>
      </c>
      <c r="R366" s="1">
        <v>1</v>
      </c>
      <c r="S366" s="92">
        <f>6000000-2343833-3656167</f>
        <v>0</v>
      </c>
      <c r="T366" s="88" t="s">
        <v>1619</v>
      </c>
      <c r="U366" s="1" t="s">
        <v>58</v>
      </c>
      <c r="V366" s="31">
        <v>43256</v>
      </c>
      <c r="W366" s="93">
        <v>1.5</v>
      </c>
      <c r="X366" s="20" t="s">
        <v>1880</v>
      </c>
      <c r="Y366" s="31">
        <v>43243</v>
      </c>
      <c r="Z366" s="92">
        <v>6000000</v>
      </c>
      <c r="AA366" s="107"/>
      <c r="AB366" s="1"/>
      <c r="AC366" s="1"/>
      <c r="AD366" s="92"/>
      <c r="AE366" s="1"/>
      <c r="AF366" s="1"/>
      <c r="AG366" s="1"/>
      <c r="AH366" s="94"/>
      <c r="AI366" s="107" t="s">
        <v>1881</v>
      </c>
      <c r="AJ366" s="1"/>
      <c r="AK366" s="1"/>
      <c r="AL366" s="94"/>
      <c r="AM366" s="94"/>
      <c r="AN366" s="1"/>
      <c r="AO366" s="1"/>
      <c r="AP366" s="1"/>
      <c r="AQ366" s="1" t="s">
        <v>1837</v>
      </c>
      <c r="AR366" s="1"/>
      <c r="AS366" s="1"/>
      <c r="AT366" s="1"/>
      <c r="AU366" s="1"/>
      <c r="AV366" s="49"/>
    </row>
    <row r="367" spans="1:48" ht="320.25" thickTop="1" thickBot="1" x14ac:dyDescent="0.25">
      <c r="A367" s="215">
        <v>76</v>
      </c>
      <c r="B367" s="216" t="s">
        <v>1882</v>
      </c>
      <c r="C367" s="69" t="s">
        <v>1601</v>
      </c>
      <c r="D367" s="1" t="s">
        <v>485</v>
      </c>
      <c r="E367" s="69" t="s">
        <v>1602</v>
      </c>
      <c r="F367" s="1" t="s">
        <v>511</v>
      </c>
      <c r="G367" s="1" t="s">
        <v>512</v>
      </c>
      <c r="H367" s="7" t="s">
        <v>513</v>
      </c>
      <c r="I367" s="1" t="s">
        <v>54</v>
      </c>
      <c r="J367" s="69" t="s">
        <v>55</v>
      </c>
      <c r="K367" s="69">
        <v>801116</v>
      </c>
      <c r="L367" s="1" t="s">
        <v>1603</v>
      </c>
      <c r="M367" s="1" t="s">
        <v>493</v>
      </c>
      <c r="N367" s="1" t="s">
        <v>494</v>
      </c>
      <c r="O367" s="1" t="s">
        <v>1606</v>
      </c>
      <c r="P367" s="85" t="s">
        <v>1883</v>
      </c>
      <c r="Q367" s="91">
        <v>2400000</v>
      </c>
      <c r="R367" s="1">
        <v>1</v>
      </c>
      <c r="S367" s="92">
        <f>3600000-1145333</f>
        <v>2454667</v>
      </c>
      <c r="T367" s="88" t="s">
        <v>1619</v>
      </c>
      <c r="U367" s="1" t="s">
        <v>58</v>
      </c>
      <c r="V367" s="31">
        <v>43261</v>
      </c>
      <c r="W367" s="93">
        <v>1.5</v>
      </c>
      <c r="X367" s="20" t="s">
        <v>1884</v>
      </c>
      <c r="Y367" s="31">
        <v>43243</v>
      </c>
      <c r="Z367" s="92">
        <v>3600000</v>
      </c>
      <c r="AA367" s="107"/>
      <c r="AB367" s="1"/>
      <c r="AC367" s="1"/>
      <c r="AD367" s="92"/>
      <c r="AE367" s="1"/>
      <c r="AF367" s="1"/>
      <c r="AG367" s="1"/>
      <c r="AH367" s="94"/>
      <c r="AI367" s="107" t="s">
        <v>1885</v>
      </c>
      <c r="AJ367" s="1"/>
      <c r="AK367" s="1"/>
      <c r="AL367" s="94"/>
      <c r="AM367" s="94"/>
      <c r="AN367" s="1"/>
      <c r="AO367" s="1"/>
      <c r="AP367" s="1"/>
      <c r="AQ367" s="1" t="s">
        <v>1837</v>
      </c>
      <c r="AR367" s="1"/>
      <c r="AS367" s="1"/>
      <c r="AT367" s="1"/>
      <c r="AU367" s="1"/>
      <c r="AV367" s="49"/>
    </row>
    <row r="368" spans="1:48" ht="345.75" thickTop="1" thickBot="1" x14ac:dyDescent="0.25">
      <c r="A368" s="215">
        <v>77</v>
      </c>
      <c r="B368" s="216" t="s">
        <v>1886</v>
      </c>
      <c r="C368" s="69" t="s">
        <v>1601</v>
      </c>
      <c r="D368" s="1" t="s">
        <v>485</v>
      </c>
      <c r="E368" s="69" t="s">
        <v>1602</v>
      </c>
      <c r="F368" s="1" t="s">
        <v>511</v>
      </c>
      <c r="G368" s="1" t="s">
        <v>512</v>
      </c>
      <c r="H368" s="7" t="s">
        <v>513</v>
      </c>
      <c r="I368" s="1" t="s">
        <v>54</v>
      </c>
      <c r="J368" s="69" t="s">
        <v>55</v>
      </c>
      <c r="K368" s="69">
        <v>801116</v>
      </c>
      <c r="L368" s="1" t="s">
        <v>1603</v>
      </c>
      <c r="M368" s="1" t="s">
        <v>493</v>
      </c>
      <c r="N368" s="1" t="s">
        <v>494</v>
      </c>
      <c r="O368" s="1" t="s">
        <v>1606</v>
      </c>
      <c r="P368" s="85" t="s">
        <v>1887</v>
      </c>
      <c r="Q368" s="91">
        <v>1700000</v>
      </c>
      <c r="R368" s="1">
        <v>1</v>
      </c>
      <c r="S368" s="92">
        <v>2550000</v>
      </c>
      <c r="T368" s="88" t="s">
        <v>1619</v>
      </c>
      <c r="U368" s="1" t="s">
        <v>58</v>
      </c>
      <c r="V368" s="31">
        <v>43255</v>
      </c>
      <c r="W368" s="93">
        <v>1.5</v>
      </c>
      <c r="X368" s="20" t="s">
        <v>1888</v>
      </c>
      <c r="Y368" s="31">
        <v>43243</v>
      </c>
      <c r="Z368" s="92">
        <v>2550000</v>
      </c>
      <c r="AA368" s="107"/>
      <c r="AB368" s="1"/>
      <c r="AC368" s="1"/>
      <c r="AD368" s="92"/>
      <c r="AE368" s="1"/>
      <c r="AF368" s="1">
        <v>1994</v>
      </c>
      <c r="AG368" s="1"/>
      <c r="AH368" s="94">
        <v>2550000</v>
      </c>
      <c r="AI368" s="107" t="s">
        <v>1889</v>
      </c>
      <c r="AJ368" s="1"/>
      <c r="AK368" s="1"/>
      <c r="AL368" s="94">
        <v>2550000</v>
      </c>
      <c r="AM368" s="94">
        <f>+VLOOKUP(AF368,'[1]Compromisos CRP a 31 Julio de 2'!$J$428:$V$2707,13,0)</f>
        <v>1473333</v>
      </c>
      <c r="AN368" s="92">
        <f>+AL368-AM368</f>
        <v>1076667</v>
      </c>
      <c r="AO368" s="1"/>
      <c r="AP368" s="1"/>
      <c r="AQ368" s="1"/>
      <c r="AR368" s="1"/>
      <c r="AS368" s="1"/>
      <c r="AT368" s="1"/>
      <c r="AU368" s="1"/>
      <c r="AV368" s="49"/>
    </row>
    <row r="369" spans="1:48" ht="358.5" thickTop="1" thickBot="1" x14ac:dyDescent="0.25">
      <c r="A369" s="215">
        <v>78</v>
      </c>
      <c r="B369" s="216" t="s">
        <v>1890</v>
      </c>
      <c r="C369" s="69" t="s">
        <v>1601</v>
      </c>
      <c r="D369" s="1" t="s">
        <v>485</v>
      </c>
      <c r="E369" s="69" t="s">
        <v>1602</v>
      </c>
      <c r="F369" s="1" t="s">
        <v>511</v>
      </c>
      <c r="G369" s="1" t="s">
        <v>512</v>
      </c>
      <c r="H369" s="7" t="s">
        <v>513</v>
      </c>
      <c r="I369" s="1" t="s">
        <v>54</v>
      </c>
      <c r="J369" s="69" t="s">
        <v>55</v>
      </c>
      <c r="K369" s="69">
        <v>801116</v>
      </c>
      <c r="L369" s="1" t="s">
        <v>1603</v>
      </c>
      <c r="M369" s="1" t="s">
        <v>493</v>
      </c>
      <c r="N369" s="1" t="s">
        <v>494</v>
      </c>
      <c r="O369" s="1" t="s">
        <v>1606</v>
      </c>
      <c r="P369" s="85" t="s">
        <v>1891</v>
      </c>
      <c r="Q369" s="91">
        <v>2400000</v>
      </c>
      <c r="R369" s="1">
        <v>1</v>
      </c>
      <c r="S369" s="92">
        <v>3600000</v>
      </c>
      <c r="T369" s="88" t="s">
        <v>1619</v>
      </c>
      <c r="U369" s="1" t="s">
        <v>58</v>
      </c>
      <c r="V369" s="31">
        <v>43269</v>
      </c>
      <c r="W369" s="93">
        <v>1.5</v>
      </c>
      <c r="X369" s="20" t="s">
        <v>1892</v>
      </c>
      <c r="Y369" s="31">
        <v>43243</v>
      </c>
      <c r="Z369" s="92">
        <v>3600000</v>
      </c>
      <c r="AA369" s="107"/>
      <c r="AB369" s="1"/>
      <c r="AC369" s="1"/>
      <c r="AD369" s="92"/>
      <c r="AE369" s="1"/>
      <c r="AF369" s="1"/>
      <c r="AG369" s="1"/>
      <c r="AH369" s="94"/>
      <c r="AI369" s="107" t="s">
        <v>1893</v>
      </c>
      <c r="AJ369" s="1"/>
      <c r="AK369" s="1"/>
      <c r="AL369" s="94"/>
      <c r="AM369" s="94"/>
      <c r="AN369" s="1"/>
      <c r="AO369" s="1"/>
      <c r="AP369" s="1"/>
      <c r="AQ369" s="1" t="s">
        <v>1837</v>
      </c>
      <c r="AR369" s="1"/>
      <c r="AS369" s="1"/>
      <c r="AT369" s="1"/>
      <c r="AU369" s="1"/>
      <c r="AV369" s="49"/>
    </row>
    <row r="370" spans="1:48" ht="384" thickTop="1" thickBot="1" x14ac:dyDescent="0.25">
      <c r="A370" s="215">
        <v>79</v>
      </c>
      <c r="B370" s="216" t="s">
        <v>1894</v>
      </c>
      <c r="C370" s="69" t="s">
        <v>1601</v>
      </c>
      <c r="D370" s="1" t="s">
        <v>485</v>
      </c>
      <c r="E370" s="69" t="s">
        <v>1602</v>
      </c>
      <c r="F370" s="1" t="s">
        <v>511</v>
      </c>
      <c r="G370" s="1" t="s">
        <v>512</v>
      </c>
      <c r="H370" s="7" t="s">
        <v>513</v>
      </c>
      <c r="I370" s="1" t="s">
        <v>54</v>
      </c>
      <c r="J370" s="69" t="s">
        <v>55</v>
      </c>
      <c r="K370" s="69">
        <v>801116</v>
      </c>
      <c r="L370" s="1" t="s">
        <v>1603</v>
      </c>
      <c r="M370" s="1" t="s">
        <v>493</v>
      </c>
      <c r="N370" s="1" t="s">
        <v>494</v>
      </c>
      <c r="O370" s="1" t="s">
        <v>1606</v>
      </c>
      <c r="P370" s="85" t="s">
        <v>1895</v>
      </c>
      <c r="Q370" s="91">
        <v>3450000</v>
      </c>
      <c r="R370" s="1">
        <v>1</v>
      </c>
      <c r="S370" s="92">
        <v>5175000</v>
      </c>
      <c r="T370" s="88" t="s">
        <v>1619</v>
      </c>
      <c r="U370" s="1" t="s">
        <v>58</v>
      </c>
      <c r="V370" s="31">
        <v>43254</v>
      </c>
      <c r="W370" s="93">
        <v>1.5</v>
      </c>
      <c r="X370" s="20" t="s">
        <v>1896</v>
      </c>
      <c r="Y370" s="31">
        <v>43243</v>
      </c>
      <c r="Z370" s="92">
        <v>5175000</v>
      </c>
      <c r="AA370" s="107"/>
      <c r="AB370" s="1"/>
      <c r="AC370" s="1"/>
      <c r="AD370" s="92"/>
      <c r="AE370" s="1"/>
      <c r="AF370" s="1">
        <v>1990</v>
      </c>
      <c r="AG370" s="1"/>
      <c r="AH370" s="94">
        <v>5175000</v>
      </c>
      <c r="AI370" s="107" t="s">
        <v>1897</v>
      </c>
      <c r="AJ370" s="1"/>
      <c r="AK370" s="1"/>
      <c r="AL370" s="92">
        <v>5175000</v>
      </c>
      <c r="AM370" s="94">
        <f>+VLOOKUP(AF370,'[1]Compromisos CRP a 31 Julio de 2'!$J$428:$V$2707,13,0)</f>
        <v>3105000</v>
      </c>
      <c r="AN370" s="92">
        <f>+AL370-AM370</f>
        <v>2070000</v>
      </c>
      <c r="AO370" s="1"/>
      <c r="AP370" s="1"/>
      <c r="AQ370" s="1"/>
      <c r="AR370" s="1"/>
      <c r="AS370" s="1"/>
      <c r="AT370" s="1"/>
      <c r="AU370" s="1"/>
      <c r="AV370" s="49"/>
    </row>
    <row r="371" spans="1:48" ht="345.75" thickTop="1" thickBot="1" x14ac:dyDescent="0.25">
      <c r="A371" s="215">
        <v>80</v>
      </c>
      <c r="B371" s="216" t="s">
        <v>1898</v>
      </c>
      <c r="C371" s="69" t="s">
        <v>1601</v>
      </c>
      <c r="D371" s="1" t="s">
        <v>485</v>
      </c>
      <c r="E371" s="69" t="s">
        <v>1602</v>
      </c>
      <c r="F371" s="1" t="s">
        <v>511</v>
      </c>
      <c r="G371" s="1" t="s">
        <v>512</v>
      </c>
      <c r="H371" s="7" t="s">
        <v>513</v>
      </c>
      <c r="I371" s="1" t="s">
        <v>54</v>
      </c>
      <c r="J371" s="69" t="s">
        <v>55</v>
      </c>
      <c r="K371" s="69">
        <v>801116</v>
      </c>
      <c r="L371" s="1" t="s">
        <v>1603</v>
      </c>
      <c r="M371" s="1" t="s">
        <v>493</v>
      </c>
      <c r="N371" s="1" t="s">
        <v>494</v>
      </c>
      <c r="O371" s="1" t="s">
        <v>1606</v>
      </c>
      <c r="P371" s="85" t="s">
        <v>1899</v>
      </c>
      <c r="Q371" s="91">
        <v>2400000</v>
      </c>
      <c r="R371" s="1">
        <v>1</v>
      </c>
      <c r="S371" s="92">
        <v>3600000</v>
      </c>
      <c r="T371" s="88" t="s">
        <v>1619</v>
      </c>
      <c r="U371" s="1" t="s">
        <v>58</v>
      </c>
      <c r="V371" s="31">
        <v>43271</v>
      </c>
      <c r="W371" s="93">
        <v>1.5</v>
      </c>
      <c r="X371" s="20" t="s">
        <v>1900</v>
      </c>
      <c r="Y371" s="31">
        <v>43243</v>
      </c>
      <c r="Z371" s="92">
        <v>3600000</v>
      </c>
      <c r="AA371" s="107"/>
      <c r="AB371" s="1"/>
      <c r="AC371" s="1"/>
      <c r="AD371" s="92"/>
      <c r="AE371" s="1"/>
      <c r="AF371" s="1"/>
      <c r="AG371" s="1"/>
      <c r="AH371" s="94"/>
      <c r="AI371" s="107" t="s">
        <v>1901</v>
      </c>
      <c r="AJ371" s="1"/>
      <c r="AK371" s="1"/>
      <c r="AL371" s="94"/>
      <c r="AM371" s="94"/>
      <c r="AN371" s="1"/>
      <c r="AO371" s="1"/>
      <c r="AP371" s="1"/>
      <c r="AQ371" s="1" t="s">
        <v>1837</v>
      </c>
      <c r="AR371" s="1"/>
      <c r="AS371" s="1"/>
      <c r="AT371" s="1"/>
      <c r="AU371" s="1"/>
      <c r="AV371" s="49"/>
    </row>
    <row r="372" spans="1:48" ht="358.5" thickTop="1" thickBot="1" x14ac:dyDescent="0.25">
      <c r="A372" s="215">
        <v>81</v>
      </c>
      <c r="B372" s="216" t="s">
        <v>1902</v>
      </c>
      <c r="C372" s="69" t="s">
        <v>1601</v>
      </c>
      <c r="D372" s="1" t="s">
        <v>485</v>
      </c>
      <c r="E372" s="69" t="s">
        <v>1602</v>
      </c>
      <c r="F372" s="1" t="s">
        <v>511</v>
      </c>
      <c r="G372" s="1" t="s">
        <v>512</v>
      </c>
      <c r="H372" s="7" t="s">
        <v>513</v>
      </c>
      <c r="I372" s="1" t="s">
        <v>54</v>
      </c>
      <c r="J372" s="69" t="s">
        <v>55</v>
      </c>
      <c r="K372" s="69">
        <v>801116</v>
      </c>
      <c r="L372" s="1" t="s">
        <v>1603</v>
      </c>
      <c r="M372" s="1" t="s">
        <v>493</v>
      </c>
      <c r="N372" s="1" t="s">
        <v>494</v>
      </c>
      <c r="O372" s="1" t="s">
        <v>1606</v>
      </c>
      <c r="P372" s="85" t="s">
        <v>1903</v>
      </c>
      <c r="Q372" s="91">
        <v>2400000</v>
      </c>
      <c r="R372" s="1">
        <v>1</v>
      </c>
      <c r="S372" s="92">
        <v>3600000</v>
      </c>
      <c r="T372" s="88" t="s">
        <v>1619</v>
      </c>
      <c r="U372" s="1" t="s">
        <v>58</v>
      </c>
      <c r="V372" s="31">
        <v>43269</v>
      </c>
      <c r="W372" s="93">
        <v>1.5</v>
      </c>
      <c r="X372" s="20" t="s">
        <v>1904</v>
      </c>
      <c r="Y372" s="31">
        <v>43243</v>
      </c>
      <c r="Z372" s="92">
        <v>3600000</v>
      </c>
      <c r="AA372" s="107"/>
      <c r="AB372" s="1"/>
      <c r="AC372" s="1"/>
      <c r="AD372" s="92"/>
      <c r="AE372" s="1"/>
      <c r="AF372" s="1"/>
      <c r="AG372" s="1"/>
      <c r="AH372" s="94"/>
      <c r="AI372" s="107" t="s">
        <v>1905</v>
      </c>
      <c r="AJ372" s="1"/>
      <c r="AK372" s="1"/>
      <c r="AL372" s="94"/>
      <c r="AM372" s="94"/>
      <c r="AN372" s="1"/>
      <c r="AO372" s="1"/>
      <c r="AP372" s="1"/>
      <c r="AQ372" s="1" t="s">
        <v>1837</v>
      </c>
      <c r="AR372" s="1"/>
      <c r="AS372" s="1"/>
      <c r="AT372" s="1"/>
      <c r="AU372" s="1"/>
      <c r="AV372" s="49"/>
    </row>
    <row r="373" spans="1:48" ht="409.5" thickTop="1" thickBot="1" x14ac:dyDescent="0.25">
      <c r="A373" s="215">
        <v>82</v>
      </c>
      <c r="B373" s="216" t="s">
        <v>1906</v>
      </c>
      <c r="C373" s="69" t="s">
        <v>1601</v>
      </c>
      <c r="D373" s="1" t="s">
        <v>485</v>
      </c>
      <c r="E373" s="69" t="s">
        <v>1602</v>
      </c>
      <c r="F373" s="1" t="s">
        <v>511</v>
      </c>
      <c r="G373" s="1" t="s">
        <v>512</v>
      </c>
      <c r="H373" s="7" t="s">
        <v>513</v>
      </c>
      <c r="I373" s="1" t="s">
        <v>54</v>
      </c>
      <c r="J373" s="69" t="s">
        <v>55</v>
      </c>
      <c r="K373" s="69">
        <v>801116</v>
      </c>
      <c r="L373" s="1" t="s">
        <v>1603</v>
      </c>
      <c r="M373" s="1" t="s">
        <v>493</v>
      </c>
      <c r="N373" s="1" t="s">
        <v>494</v>
      </c>
      <c r="O373" s="1" t="s">
        <v>1606</v>
      </c>
      <c r="P373" s="85" t="s">
        <v>1907</v>
      </c>
      <c r="Q373" s="91">
        <v>3300000</v>
      </c>
      <c r="R373" s="1">
        <v>1</v>
      </c>
      <c r="S373" s="92">
        <v>3300000</v>
      </c>
      <c r="T373" s="88" t="s">
        <v>1619</v>
      </c>
      <c r="U373" s="1" t="s">
        <v>58</v>
      </c>
      <c r="V373" s="31">
        <v>43286</v>
      </c>
      <c r="W373" s="90">
        <v>1</v>
      </c>
      <c r="X373" s="20" t="s">
        <v>1908</v>
      </c>
      <c r="Y373" s="31">
        <v>43243</v>
      </c>
      <c r="Z373" s="92">
        <v>3300000</v>
      </c>
      <c r="AA373" s="107"/>
      <c r="AB373" s="1"/>
      <c r="AC373" s="1"/>
      <c r="AD373" s="92"/>
      <c r="AE373" s="1"/>
      <c r="AF373" s="1"/>
      <c r="AG373" s="1"/>
      <c r="AH373" s="94"/>
      <c r="AI373" s="107" t="s">
        <v>1909</v>
      </c>
      <c r="AJ373" s="1"/>
      <c r="AK373" s="1"/>
      <c r="AL373" s="94"/>
      <c r="AM373" s="94"/>
      <c r="AN373" s="1"/>
      <c r="AO373" s="1"/>
      <c r="AP373" s="1"/>
      <c r="AQ373" s="1" t="s">
        <v>1837</v>
      </c>
      <c r="AR373" s="1"/>
      <c r="AS373" s="1"/>
      <c r="AT373" s="1"/>
      <c r="AU373" s="1"/>
      <c r="AV373" s="49"/>
    </row>
    <row r="374" spans="1:48" ht="358.5" thickTop="1" thickBot="1" x14ac:dyDescent="0.25">
      <c r="A374" s="215">
        <v>83</v>
      </c>
      <c r="B374" s="216" t="s">
        <v>1910</v>
      </c>
      <c r="C374" s="69" t="s">
        <v>1601</v>
      </c>
      <c r="D374" s="1" t="s">
        <v>485</v>
      </c>
      <c r="E374" s="69" t="s">
        <v>1602</v>
      </c>
      <c r="F374" s="1" t="s">
        <v>511</v>
      </c>
      <c r="G374" s="1" t="s">
        <v>512</v>
      </c>
      <c r="H374" s="7" t="s">
        <v>513</v>
      </c>
      <c r="I374" s="1" t="s">
        <v>54</v>
      </c>
      <c r="J374" s="69" t="s">
        <v>55</v>
      </c>
      <c r="K374" s="69">
        <v>801116</v>
      </c>
      <c r="L374" s="1" t="s">
        <v>1603</v>
      </c>
      <c r="M374" s="1" t="s">
        <v>493</v>
      </c>
      <c r="N374" s="1" t="s">
        <v>494</v>
      </c>
      <c r="O374" s="1" t="s">
        <v>1606</v>
      </c>
      <c r="P374" s="85" t="s">
        <v>1911</v>
      </c>
      <c r="Q374" s="91">
        <v>5100000</v>
      </c>
      <c r="R374" s="1">
        <v>1</v>
      </c>
      <c r="S374" s="92">
        <f>5100000-1273500-2568167-1258333</f>
        <v>0</v>
      </c>
      <c r="T374" s="88" t="s">
        <v>1619</v>
      </c>
      <c r="U374" s="1" t="s">
        <v>58</v>
      </c>
      <c r="V374" s="31">
        <v>43285</v>
      </c>
      <c r="W374" s="90">
        <v>1</v>
      </c>
      <c r="X374" s="20" t="s">
        <v>1912</v>
      </c>
      <c r="Y374" s="31">
        <v>43243</v>
      </c>
      <c r="Z374" s="92">
        <v>5100000</v>
      </c>
      <c r="AA374" s="107"/>
      <c r="AB374" s="1"/>
      <c r="AC374" s="1"/>
      <c r="AD374" s="92"/>
      <c r="AE374" s="1"/>
      <c r="AF374" s="1"/>
      <c r="AG374" s="1"/>
      <c r="AH374" s="94"/>
      <c r="AI374" s="107" t="s">
        <v>1913</v>
      </c>
      <c r="AJ374" s="1"/>
      <c r="AK374" s="1"/>
      <c r="AL374" s="94"/>
      <c r="AM374" s="94"/>
      <c r="AN374" s="1"/>
      <c r="AO374" s="1"/>
      <c r="AP374" s="1"/>
      <c r="AQ374" s="1" t="s">
        <v>1837</v>
      </c>
      <c r="AR374" s="1"/>
      <c r="AS374" s="1"/>
      <c r="AT374" s="1"/>
      <c r="AU374" s="1"/>
      <c r="AV374" s="49"/>
    </row>
    <row r="375" spans="1:48" ht="345.75" thickTop="1" thickBot="1" x14ac:dyDescent="0.25">
      <c r="A375" s="215">
        <v>84</v>
      </c>
      <c r="B375" s="216" t="s">
        <v>1914</v>
      </c>
      <c r="C375" s="69" t="s">
        <v>1601</v>
      </c>
      <c r="D375" s="1" t="s">
        <v>485</v>
      </c>
      <c r="E375" s="69" t="s">
        <v>1602</v>
      </c>
      <c r="F375" s="1" t="s">
        <v>511</v>
      </c>
      <c r="G375" s="1" t="s">
        <v>512</v>
      </c>
      <c r="H375" s="7" t="s">
        <v>513</v>
      </c>
      <c r="I375" s="1" t="s">
        <v>54</v>
      </c>
      <c r="J375" s="69" t="s">
        <v>55</v>
      </c>
      <c r="K375" s="69">
        <v>801116</v>
      </c>
      <c r="L375" s="1" t="s">
        <v>1603</v>
      </c>
      <c r="M375" s="1" t="s">
        <v>493</v>
      </c>
      <c r="N375" s="1" t="s">
        <v>494</v>
      </c>
      <c r="O375" s="1" t="s">
        <v>1606</v>
      </c>
      <c r="P375" s="85" t="s">
        <v>1915</v>
      </c>
      <c r="Q375" s="91">
        <v>1700000</v>
      </c>
      <c r="R375" s="1">
        <v>1</v>
      </c>
      <c r="S375" s="92">
        <v>2550000</v>
      </c>
      <c r="T375" s="88" t="s">
        <v>1619</v>
      </c>
      <c r="U375" s="1" t="s">
        <v>58</v>
      </c>
      <c r="V375" s="31">
        <v>43254</v>
      </c>
      <c r="W375" s="93">
        <v>1.5</v>
      </c>
      <c r="X375" s="20" t="s">
        <v>1916</v>
      </c>
      <c r="Y375" s="31">
        <v>43243</v>
      </c>
      <c r="Z375" s="92">
        <v>2550000</v>
      </c>
      <c r="AA375" s="107"/>
      <c r="AB375" s="1"/>
      <c r="AC375" s="1"/>
      <c r="AD375" s="92"/>
      <c r="AE375" s="1"/>
      <c r="AF375" s="1">
        <v>1995</v>
      </c>
      <c r="AG375" s="1"/>
      <c r="AH375" s="94">
        <v>2550000</v>
      </c>
      <c r="AI375" s="107" t="s">
        <v>1917</v>
      </c>
      <c r="AJ375" s="1"/>
      <c r="AK375" s="1"/>
      <c r="AL375" s="94">
        <v>2550000</v>
      </c>
      <c r="AM375" s="94">
        <f>+VLOOKUP(AF375,'[1]Compromisos CRP a 31 Julio de 2'!$J$428:$V$2707,13,0)</f>
        <v>1530000</v>
      </c>
      <c r="AN375" s="227">
        <f>+AL375-AM375</f>
        <v>1020000</v>
      </c>
      <c r="AO375" s="1"/>
      <c r="AP375" s="1"/>
      <c r="AQ375" s="1"/>
      <c r="AR375" s="1"/>
      <c r="AS375" s="1"/>
      <c r="AT375" s="1"/>
      <c r="AU375" s="1"/>
      <c r="AV375" s="49"/>
    </row>
    <row r="376" spans="1:48" ht="409.5" thickTop="1" thickBot="1" x14ac:dyDescent="0.25">
      <c r="A376" s="215">
        <v>85</v>
      </c>
      <c r="B376" s="216" t="s">
        <v>1918</v>
      </c>
      <c r="C376" s="69" t="s">
        <v>1601</v>
      </c>
      <c r="D376" s="1" t="s">
        <v>485</v>
      </c>
      <c r="E376" s="69" t="s">
        <v>1602</v>
      </c>
      <c r="F376" s="1" t="s">
        <v>511</v>
      </c>
      <c r="G376" s="1" t="s">
        <v>512</v>
      </c>
      <c r="H376" s="7" t="s">
        <v>513</v>
      </c>
      <c r="I376" s="1" t="s">
        <v>54</v>
      </c>
      <c r="J376" s="69" t="s">
        <v>55</v>
      </c>
      <c r="K376" s="69">
        <v>801116</v>
      </c>
      <c r="L376" s="1" t="s">
        <v>1603</v>
      </c>
      <c r="M376" s="1" t="s">
        <v>493</v>
      </c>
      <c r="N376" s="1" t="s">
        <v>494</v>
      </c>
      <c r="O376" s="1" t="s">
        <v>1606</v>
      </c>
      <c r="P376" s="85" t="s">
        <v>1919</v>
      </c>
      <c r="Q376" s="91">
        <v>5100000</v>
      </c>
      <c r="R376" s="1">
        <v>1</v>
      </c>
      <c r="S376" s="91">
        <f>5100000-5100000+2848500-2848500</f>
        <v>0</v>
      </c>
      <c r="T376" s="88" t="s">
        <v>1619</v>
      </c>
      <c r="U376" s="1" t="s">
        <v>58</v>
      </c>
      <c r="V376" s="31">
        <v>43256</v>
      </c>
      <c r="W376" s="93">
        <v>1.5</v>
      </c>
      <c r="X376" s="20" t="s">
        <v>1920</v>
      </c>
      <c r="Y376" s="31">
        <v>43243</v>
      </c>
      <c r="Z376" s="92">
        <v>7650000</v>
      </c>
      <c r="AA376" s="107"/>
      <c r="AB376" s="1"/>
      <c r="AC376" s="1"/>
      <c r="AD376" s="92"/>
      <c r="AE376" s="1"/>
      <c r="AF376" s="1"/>
      <c r="AG376" s="1"/>
      <c r="AH376" s="94"/>
      <c r="AI376" s="107" t="s">
        <v>1921</v>
      </c>
      <c r="AJ376" s="1"/>
      <c r="AK376" s="1"/>
      <c r="AL376" s="94"/>
      <c r="AM376" s="94"/>
      <c r="AN376" s="1"/>
      <c r="AO376" s="1"/>
      <c r="AP376" s="1"/>
      <c r="AQ376" s="1" t="s">
        <v>1837</v>
      </c>
      <c r="AR376" s="1"/>
      <c r="AS376" s="1"/>
      <c r="AT376" s="1"/>
      <c r="AU376" s="1"/>
      <c r="AV376" s="49"/>
    </row>
    <row r="377" spans="1:48" ht="409.6" thickTop="1" thickBot="1" x14ac:dyDescent="0.25">
      <c r="A377" s="215">
        <v>86</v>
      </c>
      <c r="B377" s="216" t="s">
        <v>1922</v>
      </c>
      <c r="C377" s="69" t="s">
        <v>1601</v>
      </c>
      <c r="D377" s="1" t="s">
        <v>485</v>
      </c>
      <c r="E377" s="69" t="s">
        <v>1612</v>
      </c>
      <c r="F377" s="1" t="s">
        <v>511</v>
      </c>
      <c r="G377" s="1" t="s">
        <v>512</v>
      </c>
      <c r="H377" s="7" t="s">
        <v>513</v>
      </c>
      <c r="I377" s="1" t="s">
        <v>54</v>
      </c>
      <c r="J377" s="69" t="s">
        <v>55</v>
      </c>
      <c r="K377" s="69">
        <v>801116</v>
      </c>
      <c r="L377" s="69" t="s">
        <v>1603</v>
      </c>
      <c r="M377" s="69" t="s">
        <v>1604</v>
      </c>
      <c r="N377" s="69" t="s">
        <v>1605</v>
      </c>
      <c r="O377" s="69" t="s">
        <v>1606</v>
      </c>
      <c r="P377" s="85" t="s">
        <v>1923</v>
      </c>
      <c r="Q377" s="91">
        <v>8240000</v>
      </c>
      <c r="R377" s="1">
        <v>1</v>
      </c>
      <c r="S377" s="92">
        <v>90640000</v>
      </c>
      <c r="T377" s="88" t="s">
        <v>1619</v>
      </c>
      <c r="U377" s="1" t="s">
        <v>58</v>
      </c>
      <c r="V377" s="31">
        <v>43111</v>
      </c>
      <c r="W377" s="90">
        <v>11</v>
      </c>
      <c r="X377" s="20" t="s">
        <v>1924</v>
      </c>
      <c r="Y377" s="31">
        <v>43111</v>
      </c>
      <c r="Z377" s="94">
        <v>90640000</v>
      </c>
      <c r="AA377" s="95" t="s">
        <v>1925</v>
      </c>
      <c r="AB377" s="1">
        <v>473</v>
      </c>
      <c r="AC377" s="31">
        <v>43112</v>
      </c>
      <c r="AD377" s="92">
        <v>90640000</v>
      </c>
      <c r="AE377" s="1"/>
      <c r="AF377" s="1">
        <v>222</v>
      </c>
      <c r="AG377" s="31">
        <v>43118</v>
      </c>
      <c r="AH377" s="94">
        <v>90640000</v>
      </c>
      <c r="AI377" s="107" t="s">
        <v>1926</v>
      </c>
      <c r="AJ377" s="1">
        <v>193</v>
      </c>
      <c r="AK377" s="1"/>
      <c r="AL377" s="94">
        <v>90640000</v>
      </c>
      <c r="AM377" s="94">
        <f>+VLOOKUP(AF377,'[1]Compromisos CRP a 31 Julio de 2'!$J$428:$V$2707,13,0)</f>
        <v>44496000</v>
      </c>
      <c r="AN377" s="94">
        <f t="shared" ref="AN377:AN378" si="35">AL377-AM377</f>
        <v>46144000</v>
      </c>
      <c r="AO377" s="1"/>
      <c r="AP377" s="1"/>
      <c r="AQ377" s="20" t="s">
        <v>1927</v>
      </c>
      <c r="AR377" s="31">
        <v>43111</v>
      </c>
      <c r="AS377" s="1" t="s">
        <v>1615</v>
      </c>
      <c r="AT377" s="31">
        <v>43111</v>
      </c>
      <c r="AU377" s="1" t="s">
        <v>1623</v>
      </c>
      <c r="AV377" s="1"/>
    </row>
    <row r="378" spans="1:48" ht="396.75" thickTop="1" thickBot="1" x14ac:dyDescent="0.25">
      <c r="A378" s="215">
        <v>87</v>
      </c>
      <c r="B378" s="216" t="s">
        <v>1928</v>
      </c>
      <c r="C378" s="69" t="s">
        <v>1601</v>
      </c>
      <c r="D378" s="1" t="s">
        <v>485</v>
      </c>
      <c r="E378" s="69" t="s">
        <v>1612</v>
      </c>
      <c r="F378" s="1" t="s">
        <v>511</v>
      </c>
      <c r="G378" s="1" t="s">
        <v>512</v>
      </c>
      <c r="H378" s="7" t="s">
        <v>513</v>
      </c>
      <c r="I378" s="1" t="s">
        <v>54</v>
      </c>
      <c r="J378" s="69" t="s">
        <v>55</v>
      </c>
      <c r="K378" s="69">
        <v>801116</v>
      </c>
      <c r="L378" s="69" t="s">
        <v>1603</v>
      </c>
      <c r="M378" s="69" t="s">
        <v>1604</v>
      </c>
      <c r="N378" s="69" t="s">
        <v>1605</v>
      </c>
      <c r="O378" s="69" t="s">
        <v>1606</v>
      </c>
      <c r="P378" s="85" t="s">
        <v>1929</v>
      </c>
      <c r="Q378" s="91">
        <v>1259175</v>
      </c>
      <c r="R378" s="1">
        <v>1</v>
      </c>
      <c r="S378" s="92">
        <v>13850925</v>
      </c>
      <c r="T378" s="88" t="s">
        <v>1619</v>
      </c>
      <c r="U378" s="1" t="s">
        <v>58</v>
      </c>
      <c r="V378" s="31">
        <v>43125</v>
      </c>
      <c r="W378" s="90">
        <v>11</v>
      </c>
      <c r="X378" s="20" t="s">
        <v>1930</v>
      </c>
      <c r="Y378" s="31">
        <v>43115</v>
      </c>
      <c r="Z378" s="107">
        <v>13850925</v>
      </c>
      <c r="AA378" s="95" t="s">
        <v>1931</v>
      </c>
      <c r="AB378" s="1">
        <v>499</v>
      </c>
      <c r="AC378" s="31">
        <v>43116</v>
      </c>
      <c r="AD378" s="92">
        <v>13850925</v>
      </c>
      <c r="AE378" s="1"/>
      <c r="AF378" s="1">
        <v>179</v>
      </c>
      <c r="AG378" s="31">
        <v>43118</v>
      </c>
      <c r="AH378" s="94">
        <v>13850925</v>
      </c>
      <c r="AI378" s="107" t="s">
        <v>605</v>
      </c>
      <c r="AJ378" s="1">
        <v>160</v>
      </c>
      <c r="AK378" s="1"/>
      <c r="AL378" s="94">
        <v>13850925</v>
      </c>
      <c r="AM378" s="94">
        <f>+VLOOKUP(AF378,'[1]Compromisos CRP a 31 Julio de 2'!$J$428:$V$2707,13,0)</f>
        <v>6841519</v>
      </c>
      <c r="AN378" s="94">
        <f t="shared" si="35"/>
        <v>7009406</v>
      </c>
      <c r="AO378" s="1"/>
      <c r="AP378" s="1"/>
      <c r="AQ378" s="20" t="s">
        <v>1932</v>
      </c>
      <c r="AR378" s="31">
        <v>43115</v>
      </c>
      <c r="AS378" s="1" t="s">
        <v>1615</v>
      </c>
      <c r="AT378" s="31">
        <v>43115</v>
      </c>
      <c r="AU378" s="1" t="s">
        <v>1623</v>
      </c>
      <c r="AV378" s="49"/>
    </row>
    <row r="379" spans="1:48" ht="396.75" thickTop="1" thickBot="1" x14ac:dyDescent="0.25">
      <c r="A379" s="215">
        <v>88</v>
      </c>
      <c r="B379" s="216" t="s">
        <v>1933</v>
      </c>
      <c r="C379" s="69" t="s">
        <v>1601</v>
      </c>
      <c r="D379" s="1" t="s">
        <v>485</v>
      </c>
      <c r="E379" s="69" t="s">
        <v>1602</v>
      </c>
      <c r="F379" s="1" t="s">
        <v>511</v>
      </c>
      <c r="G379" s="1" t="s">
        <v>512</v>
      </c>
      <c r="H379" s="7" t="s">
        <v>513</v>
      </c>
      <c r="I379" s="1" t="s">
        <v>54</v>
      </c>
      <c r="J379" s="69" t="s">
        <v>55</v>
      </c>
      <c r="K379" s="69">
        <v>801116</v>
      </c>
      <c r="L379" s="69" t="s">
        <v>1603</v>
      </c>
      <c r="M379" s="69" t="s">
        <v>1604</v>
      </c>
      <c r="N379" s="69" t="s">
        <v>1605</v>
      </c>
      <c r="O379" s="69" t="s">
        <v>1606</v>
      </c>
      <c r="P379" s="85" t="s">
        <v>1934</v>
      </c>
      <c r="Q379" s="91">
        <v>1030000</v>
      </c>
      <c r="R379" s="1">
        <v>1</v>
      </c>
      <c r="S379" s="92">
        <v>11330000</v>
      </c>
      <c r="T379" s="88" t="s">
        <v>1619</v>
      </c>
      <c r="U379" s="1" t="s">
        <v>58</v>
      </c>
      <c r="V379" s="31">
        <v>43125</v>
      </c>
      <c r="W379" s="90">
        <v>11</v>
      </c>
      <c r="X379" s="20" t="s">
        <v>1935</v>
      </c>
      <c r="Y379" s="31">
        <v>43115</v>
      </c>
      <c r="Z379" s="107">
        <v>11330000</v>
      </c>
      <c r="AA379" s="95" t="s">
        <v>1936</v>
      </c>
      <c r="AB379" s="1">
        <v>500</v>
      </c>
      <c r="AC379" s="31">
        <v>43116</v>
      </c>
      <c r="AD379" s="92">
        <v>11330000</v>
      </c>
      <c r="AE379" s="1"/>
      <c r="AF379" s="1">
        <v>374</v>
      </c>
      <c r="AG379" s="31">
        <v>43124</v>
      </c>
      <c r="AH379" s="94">
        <v>11330000</v>
      </c>
      <c r="AI379" s="107" t="s">
        <v>608</v>
      </c>
      <c r="AJ379" s="1">
        <v>304</v>
      </c>
      <c r="AK379" s="1"/>
      <c r="AL379" s="94">
        <v>11330000</v>
      </c>
      <c r="AM379" s="94">
        <f>+VLOOKUP(AF379,'[1]Compromisos CRP a 31 Julio de 2'!$J$428:$V$2707,13,0)</f>
        <v>5390333</v>
      </c>
      <c r="AN379" s="94">
        <f>AL379-AM379</f>
        <v>5939667</v>
      </c>
      <c r="AO379" s="1"/>
      <c r="AP379" s="1"/>
      <c r="AQ379" s="20" t="s">
        <v>1937</v>
      </c>
      <c r="AR379" s="31">
        <v>43115</v>
      </c>
      <c r="AS379" s="1" t="s">
        <v>1615</v>
      </c>
      <c r="AT379" s="31">
        <v>43115</v>
      </c>
      <c r="AU379" s="1" t="s">
        <v>1623</v>
      </c>
      <c r="AV379" s="49"/>
    </row>
    <row r="380" spans="1:48" ht="409.6" thickTop="1" thickBot="1" x14ac:dyDescent="0.25">
      <c r="A380" s="215">
        <v>89</v>
      </c>
      <c r="B380" s="216" t="s">
        <v>1938</v>
      </c>
      <c r="C380" s="69" t="s">
        <v>1601</v>
      </c>
      <c r="D380" s="1" t="s">
        <v>485</v>
      </c>
      <c r="E380" s="69" t="s">
        <v>1610</v>
      </c>
      <c r="F380" s="1" t="s">
        <v>511</v>
      </c>
      <c r="G380" s="1" t="s">
        <v>512</v>
      </c>
      <c r="H380" s="7" t="s">
        <v>513</v>
      </c>
      <c r="I380" s="1" t="s">
        <v>54</v>
      </c>
      <c r="J380" s="69" t="s">
        <v>55</v>
      </c>
      <c r="K380" s="69">
        <v>801116</v>
      </c>
      <c r="L380" s="69" t="s">
        <v>1603</v>
      </c>
      <c r="M380" s="69" t="s">
        <v>1604</v>
      </c>
      <c r="N380" s="69" t="s">
        <v>1605</v>
      </c>
      <c r="O380" s="69" t="s">
        <v>1606</v>
      </c>
      <c r="P380" s="228" t="s">
        <v>1939</v>
      </c>
      <c r="Q380" s="91">
        <v>3553000</v>
      </c>
      <c r="R380" s="1">
        <v>1</v>
      </c>
      <c r="S380" s="229">
        <f>28424000-1232000</f>
        <v>27192000</v>
      </c>
      <c r="T380" s="88" t="s">
        <v>1619</v>
      </c>
      <c r="U380" s="1" t="s">
        <v>58</v>
      </c>
      <c r="V380" s="31">
        <v>43122</v>
      </c>
      <c r="W380" s="1">
        <v>8</v>
      </c>
      <c r="X380" s="20" t="s">
        <v>1940</v>
      </c>
      <c r="Y380" s="31">
        <v>43122</v>
      </c>
      <c r="Z380" s="107">
        <v>28424000</v>
      </c>
      <c r="AA380" s="95" t="s">
        <v>1941</v>
      </c>
      <c r="AB380" s="1">
        <v>557</v>
      </c>
      <c r="AC380" s="14"/>
      <c r="AD380" s="92"/>
      <c r="AE380" s="1"/>
      <c r="AF380" s="1">
        <v>467</v>
      </c>
      <c r="AG380" s="1"/>
      <c r="AH380" s="94">
        <v>27192000</v>
      </c>
      <c r="AI380" s="107" t="s">
        <v>1942</v>
      </c>
      <c r="AJ380" s="14"/>
      <c r="AK380" s="14"/>
      <c r="AL380" s="94">
        <v>27192000</v>
      </c>
      <c r="AM380" s="94">
        <f>+VLOOKUP(AF380,'[1]Compromisos CRP a 31 Julio de 2'!$J$428:$V$2707,13,0)</f>
        <v>17561500</v>
      </c>
      <c r="AN380" s="94">
        <f>+AL380-AM380</f>
        <v>9630500</v>
      </c>
      <c r="AO380" s="14"/>
      <c r="AP380" s="14"/>
      <c r="AQ380" s="20" t="s">
        <v>1943</v>
      </c>
      <c r="AR380" s="31">
        <v>43122</v>
      </c>
      <c r="AS380" s="31" t="s">
        <v>1615</v>
      </c>
      <c r="AT380" s="31">
        <v>43122</v>
      </c>
      <c r="AU380" s="31" t="s">
        <v>1623</v>
      </c>
      <c r="AV380" s="96"/>
    </row>
    <row r="381" spans="1:48" ht="358.5" thickTop="1" thickBot="1" x14ac:dyDescent="0.25">
      <c r="A381" s="215">
        <v>90</v>
      </c>
      <c r="B381" s="216" t="s">
        <v>1944</v>
      </c>
      <c r="C381" s="69" t="s">
        <v>1601</v>
      </c>
      <c r="D381" s="1" t="s">
        <v>485</v>
      </c>
      <c r="E381" s="69" t="s">
        <v>1602</v>
      </c>
      <c r="F381" s="1" t="s">
        <v>511</v>
      </c>
      <c r="G381" s="1" t="s">
        <v>512</v>
      </c>
      <c r="H381" s="7" t="s">
        <v>513</v>
      </c>
      <c r="I381" s="1" t="s">
        <v>54</v>
      </c>
      <c r="J381" s="69" t="s">
        <v>55</v>
      </c>
      <c r="K381" s="69">
        <v>801116</v>
      </c>
      <c r="L381" s="69" t="s">
        <v>1603</v>
      </c>
      <c r="M381" s="69" t="s">
        <v>1604</v>
      </c>
      <c r="N381" s="69" t="s">
        <v>1605</v>
      </c>
      <c r="O381" s="69" t="s">
        <v>1606</v>
      </c>
      <c r="P381" s="8" t="s">
        <v>1945</v>
      </c>
      <c r="Q381" s="8">
        <v>4120000</v>
      </c>
      <c r="R381" s="8">
        <v>1</v>
      </c>
      <c r="S381" s="229">
        <v>19776000</v>
      </c>
      <c r="T381" s="88" t="s">
        <v>1619</v>
      </c>
      <c r="U381" s="1" t="s">
        <v>58</v>
      </c>
      <c r="V381" s="31">
        <v>42757</v>
      </c>
      <c r="W381" s="1">
        <v>8</v>
      </c>
      <c r="X381" s="20" t="s">
        <v>1946</v>
      </c>
      <c r="Y381" s="31">
        <v>42757</v>
      </c>
      <c r="Z381" s="107">
        <v>19776000</v>
      </c>
      <c r="AA381" s="95" t="s">
        <v>1947</v>
      </c>
      <c r="AB381" s="1">
        <v>558</v>
      </c>
      <c r="AC381" s="31">
        <v>42757</v>
      </c>
      <c r="AD381" s="92">
        <v>19776000</v>
      </c>
      <c r="AE381" s="1"/>
      <c r="AF381" s="1">
        <v>470</v>
      </c>
      <c r="AG381" s="31">
        <v>43126</v>
      </c>
      <c r="AH381" s="94">
        <v>19776000</v>
      </c>
      <c r="AI381" s="107" t="s">
        <v>1948</v>
      </c>
      <c r="AJ381" s="1">
        <v>397</v>
      </c>
      <c r="AK381" s="14"/>
      <c r="AL381" s="94">
        <f t="shared" ref="AL381" si="36">AH381</f>
        <v>19776000</v>
      </c>
      <c r="AM381" s="94">
        <f>+VLOOKUP(AF381,'[1]Compromisos CRP a 31 Julio de 2'!$J$428:$V$2707,13,0)</f>
        <v>12772000</v>
      </c>
      <c r="AN381" s="94">
        <f>AL381-AM381</f>
        <v>7004000</v>
      </c>
      <c r="AO381" s="14"/>
      <c r="AP381" s="14"/>
      <c r="AQ381" s="20" t="s">
        <v>1949</v>
      </c>
      <c r="AR381" s="31">
        <v>43122</v>
      </c>
      <c r="AS381" s="31" t="s">
        <v>1615</v>
      </c>
      <c r="AT381" s="31">
        <v>43122</v>
      </c>
      <c r="AU381" s="31" t="s">
        <v>1623</v>
      </c>
      <c r="AV381" s="48"/>
    </row>
    <row r="382" spans="1:48" ht="384" thickTop="1" thickBot="1" x14ac:dyDescent="0.25">
      <c r="A382" s="215">
        <v>93</v>
      </c>
      <c r="B382" s="216" t="s">
        <v>1950</v>
      </c>
      <c r="C382" s="69" t="s">
        <v>1601</v>
      </c>
      <c r="D382" s="1" t="s">
        <v>485</v>
      </c>
      <c r="E382" s="69" t="s">
        <v>1602</v>
      </c>
      <c r="F382" s="1" t="s">
        <v>511</v>
      </c>
      <c r="G382" s="1" t="s">
        <v>512</v>
      </c>
      <c r="H382" s="7" t="s">
        <v>513</v>
      </c>
      <c r="I382" s="1" t="s">
        <v>1828</v>
      </c>
      <c r="J382" s="1" t="s">
        <v>1951</v>
      </c>
      <c r="K382" s="69">
        <v>801116</v>
      </c>
      <c r="L382" s="69" t="s">
        <v>1603</v>
      </c>
      <c r="M382" s="69" t="s">
        <v>1604</v>
      </c>
      <c r="N382" s="69" t="s">
        <v>1605</v>
      </c>
      <c r="O382" s="69" t="s">
        <v>1606</v>
      </c>
      <c r="P382" s="85" t="s">
        <v>1952</v>
      </c>
      <c r="Q382" s="92">
        <v>5036700</v>
      </c>
      <c r="R382" s="1">
        <v>1</v>
      </c>
      <c r="S382" s="92">
        <v>28541300</v>
      </c>
      <c r="T382" s="88" t="s">
        <v>1619</v>
      </c>
      <c r="U382" s="1" t="s">
        <v>58</v>
      </c>
      <c r="V382" s="31">
        <v>43296</v>
      </c>
      <c r="W382" s="90">
        <v>1</v>
      </c>
      <c r="X382" s="20" t="s">
        <v>1953</v>
      </c>
      <c r="Y382" s="31">
        <v>43157</v>
      </c>
      <c r="Z382" s="92">
        <v>28541300</v>
      </c>
      <c r="AA382" s="107"/>
      <c r="AB382" s="1"/>
      <c r="AC382" s="230"/>
      <c r="AD382" s="92"/>
      <c r="AE382" s="1"/>
      <c r="AF382" s="1"/>
      <c r="AG382" s="31"/>
      <c r="AH382" s="94"/>
      <c r="AI382" s="107"/>
      <c r="AJ382" s="1"/>
      <c r="AK382" s="1"/>
      <c r="AL382" s="94"/>
      <c r="AM382" s="94"/>
      <c r="AN382" s="94"/>
      <c r="AO382" s="1"/>
      <c r="AP382" s="1"/>
      <c r="AQ382" s="1"/>
      <c r="AR382" s="31"/>
      <c r="AS382" s="1"/>
      <c r="AT382" s="31"/>
      <c r="AU382" s="1"/>
      <c r="AV382" s="51"/>
    </row>
    <row r="383" spans="1:48" ht="333" thickTop="1" thickBot="1" x14ac:dyDescent="0.25">
      <c r="A383" s="215">
        <v>94</v>
      </c>
      <c r="B383" s="216" t="s">
        <v>1954</v>
      </c>
      <c r="C383" s="69" t="s">
        <v>1601</v>
      </c>
      <c r="D383" s="1" t="s">
        <v>485</v>
      </c>
      <c r="E383" s="69" t="s">
        <v>1602</v>
      </c>
      <c r="F383" s="1" t="s">
        <v>511</v>
      </c>
      <c r="G383" s="1" t="s">
        <v>512</v>
      </c>
      <c r="H383" s="7" t="s">
        <v>513</v>
      </c>
      <c r="I383" s="1" t="s">
        <v>1828</v>
      </c>
      <c r="J383" s="1" t="s">
        <v>1951</v>
      </c>
      <c r="K383" s="69">
        <v>801116</v>
      </c>
      <c r="L383" s="69" t="s">
        <v>1603</v>
      </c>
      <c r="M383" s="69" t="s">
        <v>1604</v>
      </c>
      <c r="N383" s="69" t="s">
        <v>1605</v>
      </c>
      <c r="O383" s="69" t="s">
        <v>1606</v>
      </c>
      <c r="P383" s="85" t="s">
        <v>1955</v>
      </c>
      <c r="Q383" s="92">
        <v>5253000</v>
      </c>
      <c r="R383" s="1">
        <v>1</v>
      </c>
      <c r="S383" s="92">
        <f>29767000-29767000</f>
        <v>0</v>
      </c>
      <c r="T383" s="88" t="s">
        <v>1619</v>
      </c>
      <c r="U383" s="1" t="s">
        <v>58</v>
      </c>
      <c r="V383" s="31">
        <v>43296</v>
      </c>
      <c r="W383" s="90">
        <v>1</v>
      </c>
      <c r="X383" s="20" t="s">
        <v>1956</v>
      </c>
      <c r="Y383" s="31"/>
      <c r="Z383" s="92"/>
      <c r="AA383" s="107"/>
      <c r="AB383" s="1"/>
      <c r="AC383" s="230"/>
      <c r="AD383" s="92"/>
      <c r="AE383" s="1"/>
      <c r="AF383" s="1"/>
      <c r="AG383" s="31"/>
      <c r="AH383" s="94"/>
      <c r="AI383" s="107"/>
      <c r="AJ383" s="1"/>
      <c r="AK383" s="1"/>
      <c r="AL383" s="94"/>
      <c r="AM383" s="94"/>
      <c r="AN383" s="94"/>
      <c r="AO383" s="1"/>
      <c r="AP383" s="1"/>
      <c r="AQ383" s="1"/>
      <c r="AR383" s="31"/>
      <c r="AS383" s="1"/>
      <c r="AT383" s="31"/>
      <c r="AU383" s="1"/>
      <c r="AV383" s="51"/>
    </row>
    <row r="384" spans="1:48" ht="320.25" thickTop="1" thickBot="1" x14ac:dyDescent="0.25">
      <c r="A384" s="215">
        <v>95</v>
      </c>
      <c r="B384" s="216" t="s">
        <v>1957</v>
      </c>
      <c r="C384" s="69" t="s">
        <v>1601</v>
      </c>
      <c r="D384" s="1" t="s">
        <v>485</v>
      </c>
      <c r="E384" s="69" t="s">
        <v>1602</v>
      </c>
      <c r="F384" s="1" t="s">
        <v>511</v>
      </c>
      <c r="G384" s="1" t="s">
        <v>512</v>
      </c>
      <c r="H384" s="7" t="s">
        <v>513</v>
      </c>
      <c r="I384" s="1" t="s">
        <v>1828</v>
      </c>
      <c r="J384" s="1" t="s">
        <v>1951</v>
      </c>
      <c r="K384" s="69">
        <v>801116</v>
      </c>
      <c r="L384" s="69" t="s">
        <v>1603</v>
      </c>
      <c r="M384" s="69" t="s">
        <v>1604</v>
      </c>
      <c r="N384" s="69" t="s">
        <v>1605</v>
      </c>
      <c r="O384" s="69" t="s">
        <v>1606</v>
      </c>
      <c r="P384" s="85" t="s">
        <v>1958</v>
      </c>
      <c r="Q384" s="92">
        <v>3399000</v>
      </c>
      <c r="R384" s="1">
        <v>1</v>
      </c>
      <c r="S384" s="92">
        <v>19261000</v>
      </c>
      <c r="T384" s="88" t="s">
        <v>1619</v>
      </c>
      <c r="U384" s="1" t="s">
        <v>58</v>
      </c>
      <c r="V384" s="31">
        <v>43296</v>
      </c>
      <c r="W384" s="90">
        <v>1</v>
      </c>
      <c r="X384" s="20" t="s">
        <v>1959</v>
      </c>
      <c r="Y384" s="31">
        <v>43157</v>
      </c>
      <c r="Z384" s="92">
        <v>19261000</v>
      </c>
      <c r="AA384" s="107"/>
      <c r="AB384" s="1"/>
      <c r="AC384" s="230"/>
      <c r="AD384" s="92"/>
      <c r="AE384" s="1"/>
      <c r="AF384" s="1">
        <v>2519</v>
      </c>
      <c r="AG384" s="31"/>
      <c r="AH384" s="94">
        <v>19261000</v>
      </c>
      <c r="AI384" s="107" t="s">
        <v>1960</v>
      </c>
      <c r="AJ384" s="1"/>
      <c r="AK384" s="1"/>
      <c r="AL384" s="92">
        <v>19261000</v>
      </c>
      <c r="AM384" s="94">
        <f>+VLOOKUP(AF384,'[1]Compromisos CRP a 31 Julio de 2'!$J$428:$V$2707,13,0)</f>
        <v>0</v>
      </c>
      <c r="AN384" s="94">
        <f>+AL384-AM384</f>
        <v>19261000</v>
      </c>
      <c r="AO384" s="1"/>
      <c r="AP384" s="1"/>
      <c r="AQ384" s="1"/>
      <c r="AR384" s="31"/>
      <c r="AS384" s="1"/>
      <c r="AT384" s="31"/>
      <c r="AU384" s="1"/>
      <c r="AV384" s="51"/>
    </row>
    <row r="385" spans="1:48" ht="320.25" thickTop="1" thickBot="1" x14ac:dyDescent="0.25">
      <c r="A385" s="215">
        <v>96</v>
      </c>
      <c r="B385" s="216" t="s">
        <v>1961</v>
      </c>
      <c r="C385" s="69" t="s">
        <v>1601</v>
      </c>
      <c r="D385" s="1" t="s">
        <v>485</v>
      </c>
      <c r="E385" s="69" t="s">
        <v>1602</v>
      </c>
      <c r="F385" s="1" t="s">
        <v>511</v>
      </c>
      <c r="G385" s="1" t="s">
        <v>512</v>
      </c>
      <c r="H385" s="7" t="s">
        <v>513</v>
      </c>
      <c r="I385" s="1" t="s">
        <v>1828</v>
      </c>
      <c r="J385" s="1" t="s">
        <v>1951</v>
      </c>
      <c r="K385" s="69">
        <v>801116</v>
      </c>
      <c r="L385" s="69" t="s">
        <v>1603</v>
      </c>
      <c r="M385" s="69" t="s">
        <v>1604</v>
      </c>
      <c r="N385" s="69" t="s">
        <v>1605</v>
      </c>
      <c r="O385" s="69" t="s">
        <v>1606</v>
      </c>
      <c r="P385" s="85" t="s">
        <v>1962</v>
      </c>
      <c r="Q385" s="92">
        <v>3399000</v>
      </c>
      <c r="R385" s="1">
        <v>1</v>
      </c>
      <c r="S385" s="92">
        <v>0</v>
      </c>
      <c r="T385" s="88" t="s">
        <v>1619</v>
      </c>
      <c r="U385" s="1" t="s">
        <v>58</v>
      </c>
      <c r="V385" s="31">
        <v>43296</v>
      </c>
      <c r="W385" s="90">
        <v>1</v>
      </c>
      <c r="X385" s="20" t="s">
        <v>1963</v>
      </c>
      <c r="Y385" s="31"/>
      <c r="Z385" s="92"/>
      <c r="AA385" s="107"/>
      <c r="AB385" s="1"/>
      <c r="AC385" s="230"/>
      <c r="AD385" s="92"/>
      <c r="AE385" s="1"/>
      <c r="AF385" s="1"/>
      <c r="AG385" s="31"/>
      <c r="AH385" s="94"/>
      <c r="AI385" s="107"/>
      <c r="AJ385" s="1"/>
      <c r="AK385" s="1"/>
      <c r="AL385" s="94"/>
      <c r="AM385" s="94"/>
      <c r="AN385" s="94"/>
      <c r="AO385" s="1"/>
      <c r="AP385" s="1"/>
      <c r="AQ385" s="1"/>
      <c r="AR385" s="31"/>
      <c r="AS385" s="1"/>
      <c r="AT385" s="31"/>
      <c r="AU385" s="1"/>
      <c r="AV385" s="51"/>
    </row>
    <row r="386" spans="1:48" ht="320.25" thickTop="1" thickBot="1" x14ac:dyDescent="0.25">
      <c r="A386" s="215">
        <v>97</v>
      </c>
      <c r="B386" s="216" t="s">
        <v>1964</v>
      </c>
      <c r="C386" s="69" t="s">
        <v>1601</v>
      </c>
      <c r="D386" s="1" t="s">
        <v>485</v>
      </c>
      <c r="E386" s="69" t="s">
        <v>1602</v>
      </c>
      <c r="F386" s="1" t="s">
        <v>511</v>
      </c>
      <c r="G386" s="1" t="s">
        <v>512</v>
      </c>
      <c r="H386" s="7" t="s">
        <v>513</v>
      </c>
      <c r="I386" s="1" t="s">
        <v>1828</v>
      </c>
      <c r="J386" s="1" t="s">
        <v>1951</v>
      </c>
      <c r="K386" s="69">
        <v>801116</v>
      </c>
      <c r="L386" s="69" t="s">
        <v>1603</v>
      </c>
      <c r="M386" s="69" t="s">
        <v>1604</v>
      </c>
      <c r="N386" s="69" t="s">
        <v>1605</v>
      </c>
      <c r="O386" s="69" t="s">
        <v>1606</v>
      </c>
      <c r="P386" s="85" t="s">
        <v>1958</v>
      </c>
      <c r="Q386" s="92">
        <v>3399000</v>
      </c>
      <c r="R386" s="1">
        <v>1</v>
      </c>
      <c r="S386" s="92">
        <v>19261000</v>
      </c>
      <c r="T386" s="88" t="s">
        <v>1619</v>
      </c>
      <c r="U386" s="1" t="s">
        <v>58</v>
      </c>
      <c r="V386" s="31">
        <v>43296</v>
      </c>
      <c r="W386" s="90">
        <v>1</v>
      </c>
      <c r="X386" s="20" t="s">
        <v>1965</v>
      </c>
      <c r="Y386" s="31">
        <v>43157</v>
      </c>
      <c r="Z386" s="92">
        <v>19261000</v>
      </c>
      <c r="AA386" s="107"/>
      <c r="AB386" s="1"/>
      <c r="AC386" s="230"/>
      <c r="AD386" s="92"/>
      <c r="AE386" s="1"/>
      <c r="AF386" s="1">
        <v>2542</v>
      </c>
      <c r="AG386" s="31"/>
      <c r="AH386" s="94">
        <v>16955000</v>
      </c>
      <c r="AI386" s="107" t="s">
        <v>1966</v>
      </c>
      <c r="AJ386" s="1"/>
      <c r="AK386" s="1"/>
      <c r="AL386" s="94">
        <v>16955000</v>
      </c>
      <c r="AM386" s="94">
        <f>+VLOOKUP(AF386,'[1]Compromisos CRP a 31 Julio de 2'!$J$428:$V$2707,13,0)</f>
        <v>0</v>
      </c>
      <c r="AN386" s="94">
        <f>+AL386-AM386</f>
        <v>16955000</v>
      </c>
      <c r="AO386" s="1"/>
      <c r="AP386" s="1"/>
      <c r="AQ386" s="1"/>
      <c r="AR386" s="31"/>
      <c r="AS386" s="1"/>
      <c r="AT386" s="31"/>
      <c r="AU386" s="1"/>
      <c r="AV386" s="51"/>
    </row>
    <row r="387" spans="1:48" ht="320.25" thickTop="1" thickBot="1" x14ac:dyDescent="0.25">
      <c r="A387" s="215">
        <v>98</v>
      </c>
      <c r="B387" s="216" t="s">
        <v>1967</v>
      </c>
      <c r="C387" s="69" t="s">
        <v>1601</v>
      </c>
      <c r="D387" s="1" t="s">
        <v>485</v>
      </c>
      <c r="E387" s="69" t="s">
        <v>1602</v>
      </c>
      <c r="F387" s="1" t="s">
        <v>511</v>
      </c>
      <c r="G387" s="1" t="s">
        <v>512</v>
      </c>
      <c r="H387" s="7" t="s">
        <v>513</v>
      </c>
      <c r="I387" s="1" t="s">
        <v>1828</v>
      </c>
      <c r="J387" s="1" t="s">
        <v>1951</v>
      </c>
      <c r="K387" s="69">
        <v>801116</v>
      </c>
      <c r="L387" s="69" t="s">
        <v>1603</v>
      </c>
      <c r="M387" s="69" t="s">
        <v>1604</v>
      </c>
      <c r="N387" s="69" t="s">
        <v>1605</v>
      </c>
      <c r="O387" s="69" t="s">
        <v>1606</v>
      </c>
      <c r="P387" s="85" t="s">
        <v>1968</v>
      </c>
      <c r="Q387" s="92">
        <v>4120000</v>
      </c>
      <c r="R387" s="1">
        <v>1</v>
      </c>
      <c r="S387" s="92">
        <v>23346666</v>
      </c>
      <c r="T387" s="88" t="s">
        <v>1619</v>
      </c>
      <c r="U387" s="1" t="s">
        <v>58</v>
      </c>
      <c r="V387" s="31">
        <v>43296</v>
      </c>
      <c r="W387" s="90">
        <v>1</v>
      </c>
      <c r="X387" s="20" t="s">
        <v>1969</v>
      </c>
      <c r="Y387" s="31">
        <v>43157</v>
      </c>
      <c r="Z387" s="92">
        <v>23346666.666666668</v>
      </c>
      <c r="AA387" s="107"/>
      <c r="AB387" s="1"/>
      <c r="AC387" s="230"/>
      <c r="AD387" s="92"/>
      <c r="AE387" s="1"/>
      <c r="AF387" s="1"/>
      <c r="AG387" s="31"/>
      <c r="AH387" s="94"/>
      <c r="AI387" s="107"/>
      <c r="AJ387" s="1"/>
      <c r="AK387" s="1"/>
      <c r="AL387" s="92"/>
      <c r="AM387" s="94"/>
      <c r="AN387" s="94"/>
      <c r="AO387" s="1"/>
      <c r="AP387" s="1"/>
      <c r="AQ387" s="1"/>
      <c r="AR387" s="31"/>
      <c r="AS387" s="1"/>
      <c r="AT387" s="31"/>
      <c r="AU387" s="1"/>
      <c r="AV387" s="51"/>
    </row>
    <row r="388" spans="1:48" ht="320.25" thickTop="1" thickBot="1" x14ac:dyDescent="0.25">
      <c r="A388" s="215">
        <v>99</v>
      </c>
      <c r="B388" s="216" t="s">
        <v>1970</v>
      </c>
      <c r="C388" s="69" t="s">
        <v>1601</v>
      </c>
      <c r="D388" s="1" t="s">
        <v>485</v>
      </c>
      <c r="E388" s="69" t="s">
        <v>1602</v>
      </c>
      <c r="F388" s="1" t="s">
        <v>511</v>
      </c>
      <c r="G388" s="1" t="s">
        <v>512</v>
      </c>
      <c r="H388" s="7" t="s">
        <v>513</v>
      </c>
      <c r="I388" s="1" t="s">
        <v>1828</v>
      </c>
      <c r="J388" s="1" t="s">
        <v>1951</v>
      </c>
      <c r="K388" s="69">
        <v>801116</v>
      </c>
      <c r="L388" s="69" t="s">
        <v>1603</v>
      </c>
      <c r="M388" s="69" t="s">
        <v>1604</v>
      </c>
      <c r="N388" s="69" t="s">
        <v>1605</v>
      </c>
      <c r="O388" s="69" t="s">
        <v>1606</v>
      </c>
      <c r="P388" s="85" t="s">
        <v>1958</v>
      </c>
      <c r="Q388" s="92">
        <v>4120000</v>
      </c>
      <c r="R388" s="1">
        <v>1</v>
      </c>
      <c r="S388" s="92">
        <v>23346666</v>
      </c>
      <c r="T388" s="88" t="s">
        <v>1619</v>
      </c>
      <c r="U388" s="1" t="s">
        <v>58</v>
      </c>
      <c r="V388" s="31">
        <v>43296</v>
      </c>
      <c r="W388" s="90">
        <v>1</v>
      </c>
      <c r="X388" s="20" t="s">
        <v>1971</v>
      </c>
      <c r="Y388" s="31">
        <v>43157</v>
      </c>
      <c r="Z388" s="92">
        <v>23346666.666666668</v>
      </c>
      <c r="AA388" s="107"/>
      <c r="AB388" s="1"/>
      <c r="AC388" s="230"/>
      <c r="AD388" s="92"/>
      <c r="AE388" s="1"/>
      <c r="AF388" s="1"/>
      <c r="AG388" s="31"/>
      <c r="AH388" s="94"/>
      <c r="AI388" s="107"/>
      <c r="AJ388" s="1"/>
      <c r="AK388" s="1"/>
      <c r="AL388" s="94"/>
      <c r="AM388" s="94"/>
      <c r="AN388" s="94"/>
      <c r="AO388" s="1"/>
      <c r="AP388" s="1"/>
      <c r="AQ388" s="1"/>
      <c r="AR388" s="31"/>
      <c r="AS388" s="1"/>
      <c r="AT388" s="31"/>
      <c r="AU388" s="1"/>
      <c r="AV388" s="51"/>
    </row>
    <row r="389" spans="1:48" ht="320.25" thickTop="1" thickBot="1" x14ac:dyDescent="0.25">
      <c r="A389" s="215">
        <v>100</v>
      </c>
      <c r="B389" s="216" t="s">
        <v>1972</v>
      </c>
      <c r="C389" s="69" t="s">
        <v>1601</v>
      </c>
      <c r="D389" s="1" t="s">
        <v>485</v>
      </c>
      <c r="E389" s="69" t="s">
        <v>1602</v>
      </c>
      <c r="F389" s="1" t="s">
        <v>511</v>
      </c>
      <c r="G389" s="1" t="s">
        <v>512</v>
      </c>
      <c r="H389" s="7" t="s">
        <v>513</v>
      </c>
      <c r="I389" s="1" t="s">
        <v>1828</v>
      </c>
      <c r="J389" s="1" t="s">
        <v>1951</v>
      </c>
      <c r="K389" s="69">
        <v>801116</v>
      </c>
      <c r="L389" s="69" t="s">
        <v>1603</v>
      </c>
      <c r="M389" s="69" t="s">
        <v>1604</v>
      </c>
      <c r="N389" s="69" t="s">
        <v>1605</v>
      </c>
      <c r="O389" s="69" t="s">
        <v>1606</v>
      </c>
      <c r="P389" s="85" t="s">
        <v>1973</v>
      </c>
      <c r="Q389" s="92">
        <v>2472000</v>
      </c>
      <c r="R389" s="1">
        <v>1</v>
      </c>
      <c r="S389" s="92">
        <f>14008000-14008000</f>
        <v>0</v>
      </c>
      <c r="T389" s="88" t="s">
        <v>1619</v>
      </c>
      <c r="U389" s="1" t="s">
        <v>58</v>
      </c>
      <c r="V389" s="31">
        <v>43296</v>
      </c>
      <c r="W389" s="90">
        <v>1</v>
      </c>
      <c r="X389" s="20" t="s">
        <v>1974</v>
      </c>
      <c r="Y389" s="31">
        <v>43157</v>
      </c>
      <c r="Z389" s="92">
        <v>14008000</v>
      </c>
      <c r="AA389" s="107"/>
      <c r="AB389" s="1"/>
      <c r="AC389" s="230"/>
      <c r="AD389" s="92"/>
      <c r="AE389" s="1"/>
      <c r="AF389" s="1"/>
      <c r="AG389" s="31"/>
      <c r="AH389" s="94"/>
      <c r="AI389" s="107"/>
      <c r="AJ389" s="1"/>
      <c r="AK389" s="1"/>
      <c r="AL389" s="94"/>
      <c r="AM389" s="94"/>
      <c r="AN389" s="94"/>
      <c r="AO389" s="1"/>
      <c r="AP389" s="1"/>
      <c r="AQ389" s="1" t="s">
        <v>1975</v>
      </c>
      <c r="AR389" s="31"/>
      <c r="AS389" s="1"/>
      <c r="AT389" s="31"/>
      <c r="AU389" s="1"/>
      <c r="AV389" s="51"/>
    </row>
    <row r="390" spans="1:48" ht="320.25" thickTop="1" thickBot="1" x14ac:dyDescent="0.25">
      <c r="A390" s="215">
        <v>101</v>
      </c>
      <c r="B390" s="216" t="s">
        <v>1976</v>
      </c>
      <c r="C390" s="69" t="s">
        <v>1601</v>
      </c>
      <c r="D390" s="1" t="s">
        <v>485</v>
      </c>
      <c r="E390" s="69" t="s">
        <v>1602</v>
      </c>
      <c r="F390" s="1" t="s">
        <v>511</v>
      </c>
      <c r="G390" s="1" t="s">
        <v>512</v>
      </c>
      <c r="H390" s="7" t="s">
        <v>513</v>
      </c>
      <c r="I390" s="1" t="s">
        <v>1828</v>
      </c>
      <c r="J390" s="1" t="s">
        <v>1951</v>
      </c>
      <c r="K390" s="69">
        <v>801116</v>
      </c>
      <c r="L390" s="69" t="s">
        <v>1603</v>
      </c>
      <c r="M390" s="69" t="s">
        <v>1604</v>
      </c>
      <c r="N390" s="69" t="s">
        <v>1605</v>
      </c>
      <c r="O390" s="69" t="s">
        <v>1606</v>
      </c>
      <c r="P390" s="85" t="s">
        <v>1977</v>
      </c>
      <c r="Q390" s="92">
        <v>4120000</v>
      </c>
      <c r="R390" s="1">
        <v>1</v>
      </c>
      <c r="S390" s="92">
        <v>23346666</v>
      </c>
      <c r="T390" s="88" t="s">
        <v>1619</v>
      </c>
      <c r="U390" s="1" t="s">
        <v>58</v>
      </c>
      <c r="V390" s="31">
        <v>43296</v>
      </c>
      <c r="W390" s="90">
        <v>1</v>
      </c>
      <c r="X390" s="20" t="s">
        <v>1978</v>
      </c>
      <c r="Y390" s="31">
        <v>43157</v>
      </c>
      <c r="Z390" s="92">
        <v>23346666.666666668</v>
      </c>
      <c r="AA390" s="107"/>
      <c r="AB390" s="1"/>
      <c r="AC390" s="230"/>
      <c r="AD390" s="92"/>
      <c r="AE390" s="1"/>
      <c r="AF390" s="1">
        <v>2536</v>
      </c>
      <c r="AG390" s="31"/>
      <c r="AH390" s="94">
        <v>20600000</v>
      </c>
      <c r="AI390" s="107" t="s">
        <v>1979</v>
      </c>
      <c r="AJ390" s="1"/>
      <c r="AK390" s="1"/>
      <c r="AL390" s="94">
        <v>20600000</v>
      </c>
      <c r="AM390" s="94">
        <f>+VLOOKUP(AF390,'[1]Compromisos CRP a 31 Julio de 2'!$J$428:$V$2707,13,0)</f>
        <v>0</v>
      </c>
      <c r="AN390" s="94">
        <f t="shared" ref="AN390:AN397" si="37">+AL390-AM390</f>
        <v>20600000</v>
      </c>
      <c r="AO390" s="1"/>
      <c r="AP390" s="1"/>
      <c r="AQ390" s="1"/>
      <c r="AR390" s="31"/>
      <c r="AS390" s="1"/>
      <c r="AT390" s="31"/>
      <c r="AU390" s="1"/>
      <c r="AV390" s="51"/>
    </row>
    <row r="391" spans="1:48" ht="320.25" thickTop="1" thickBot="1" x14ac:dyDescent="0.25">
      <c r="A391" s="215">
        <v>102</v>
      </c>
      <c r="B391" s="216" t="s">
        <v>1980</v>
      </c>
      <c r="C391" s="69" t="s">
        <v>1601</v>
      </c>
      <c r="D391" s="1" t="s">
        <v>485</v>
      </c>
      <c r="E391" s="69" t="s">
        <v>1602</v>
      </c>
      <c r="F391" s="1" t="s">
        <v>511</v>
      </c>
      <c r="G391" s="1" t="s">
        <v>512</v>
      </c>
      <c r="H391" s="7" t="s">
        <v>513</v>
      </c>
      <c r="I391" s="1" t="s">
        <v>1828</v>
      </c>
      <c r="J391" s="1" t="s">
        <v>1951</v>
      </c>
      <c r="K391" s="69">
        <v>801116</v>
      </c>
      <c r="L391" s="69" t="s">
        <v>1603</v>
      </c>
      <c r="M391" s="69" t="s">
        <v>1604</v>
      </c>
      <c r="N391" s="69" t="s">
        <v>1605</v>
      </c>
      <c r="O391" s="69" t="s">
        <v>1606</v>
      </c>
      <c r="P391" s="85" t="s">
        <v>1962</v>
      </c>
      <c r="Q391" s="92">
        <v>2472000</v>
      </c>
      <c r="R391" s="1">
        <v>1</v>
      </c>
      <c r="S391" s="92">
        <v>14008000</v>
      </c>
      <c r="T391" s="88" t="s">
        <v>1619</v>
      </c>
      <c r="U391" s="1" t="s">
        <v>58</v>
      </c>
      <c r="V391" s="31">
        <v>43296</v>
      </c>
      <c r="W391" s="90">
        <v>1</v>
      </c>
      <c r="X391" s="20" t="s">
        <v>1981</v>
      </c>
      <c r="Y391" s="31">
        <v>43277</v>
      </c>
      <c r="Z391" s="92">
        <v>14008000</v>
      </c>
      <c r="AA391" s="107"/>
      <c r="AB391" s="1"/>
      <c r="AC391" s="230"/>
      <c r="AD391" s="92"/>
      <c r="AE391" s="1"/>
      <c r="AF391" s="1">
        <v>2547</v>
      </c>
      <c r="AG391" s="31"/>
      <c r="AH391" s="94">
        <v>12360000</v>
      </c>
      <c r="AI391" s="107" t="s">
        <v>1982</v>
      </c>
      <c r="AJ391" s="1"/>
      <c r="AK391" s="1"/>
      <c r="AL391" s="94">
        <v>12360000</v>
      </c>
      <c r="AM391" s="94">
        <f>+VLOOKUP(AF391,'[1]Compromisos CRP a 31 Julio de 2'!$J$428:$V$2707,13,0)</f>
        <v>0</v>
      </c>
      <c r="AN391" s="94">
        <f t="shared" si="37"/>
        <v>12360000</v>
      </c>
      <c r="AO391" s="1"/>
      <c r="AP391" s="1"/>
      <c r="AQ391" s="1"/>
      <c r="AR391" s="31"/>
      <c r="AS391" s="1"/>
      <c r="AT391" s="31"/>
      <c r="AU391" s="1"/>
      <c r="AV391" s="51"/>
    </row>
    <row r="392" spans="1:48" ht="320.25" thickTop="1" thickBot="1" x14ac:dyDescent="0.25">
      <c r="A392" s="215">
        <v>103</v>
      </c>
      <c r="B392" s="216" t="s">
        <v>1983</v>
      </c>
      <c r="C392" s="69" t="s">
        <v>1601</v>
      </c>
      <c r="D392" s="1" t="s">
        <v>485</v>
      </c>
      <c r="E392" s="69" t="s">
        <v>1602</v>
      </c>
      <c r="F392" s="1" t="s">
        <v>511</v>
      </c>
      <c r="G392" s="1" t="s">
        <v>512</v>
      </c>
      <c r="H392" s="7" t="s">
        <v>513</v>
      </c>
      <c r="I392" s="1" t="s">
        <v>1828</v>
      </c>
      <c r="J392" s="1" t="s">
        <v>1951</v>
      </c>
      <c r="K392" s="69">
        <v>801116</v>
      </c>
      <c r="L392" s="69" t="s">
        <v>1603</v>
      </c>
      <c r="M392" s="69" t="s">
        <v>1604</v>
      </c>
      <c r="N392" s="69" t="s">
        <v>1605</v>
      </c>
      <c r="O392" s="69" t="s">
        <v>1606</v>
      </c>
      <c r="P392" s="85" t="s">
        <v>1962</v>
      </c>
      <c r="Q392" s="92">
        <v>2472000</v>
      </c>
      <c r="R392" s="1">
        <v>1</v>
      </c>
      <c r="S392" s="92">
        <v>14008000</v>
      </c>
      <c r="T392" s="88" t="s">
        <v>1619</v>
      </c>
      <c r="U392" s="1" t="s">
        <v>58</v>
      </c>
      <c r="V392" s="31">
        <v>43296</v>
      </c>
      <c r="W392" s="90">
        <v>1</v>
      </c>
      <c r="X392" s="20" t="s">
        <v>1984</v>
      </c>
      <c r="Y392" s="31">
        <v>43157</v>
      </c>
      <c r="Z392" s="92">
        <v>14008000</v>
      </c>
      <c r="AA392" s="107"/>
      <c r="AB392" s="1"/>
      <c r="AC392" s="230"/>
      <c r="AD392" s="92"/>
      <c r="AE392" s="1"/>
      <c r="AF392" s="1">
        <v>2544</v>
      </c>
      <c r="AG392" s="31"/>
      <c r="AH392" s="94">
        <v>12360000</v>
      </c>
      <c r="AI392" s="107" t="s">
        <v>1985</v>
      </c>
      <c r="AJ392" s="1"/>
      <c r="AK392" s="1"/>
      <c r="AL392" s="94">
        <v>12360000</v>
      </c>
      <c r="AM392" s="94">
        <f>+VLOOKUP(AF392,'[1]Compromisos CRP a 31 Julio de 2'!$J$428:$V$2707,13,0)</f>
        <v>0</v>
      </c>
      <c r="AN392" s="94">
        <f t="shared" si="37"/>
        <v>12360000</v>
      </c>
      <c r="AO392" s="1"/>
      <c r="AP392" s="1"/>
      <c r="AQ392" s="1"/>
      <c r="AR392" s="31"/>
      <c r="AS392" s="1"/>
      <c r="AT392" s="31"/>
      <c r="AU392" s="1"/>
      <c r="AV392" s="51"/>
    </row>
    <row r="393" spans="1:48" ht="320.25" thickTop="1" thickBot="1" x14ac:dyDescent="0.25">
      <c r="A393" s="215">
        <v>104</v>
      </c>
      <c r="B393" s="216" t="s">
        <v>1986</v>
      </c>
      <c r="C393" s="69" t="s">
        <v>1601</v>
      </c>
      <c r="D393" s="1" t="s">
        <v>485</v>
      </c>
      <c r="E393" s="69" t="s">
        <v>1602</v>
      </c>
      <c r="F393" s="1" t="s">
        <v>511</v>
      </c>
      <c r="G393" s="1" t="s">
        <v>512</v>
      </c>
      <c r="H393" s="7" t="s">
        <v>513</v>
      </c>
      <c r="I393" s="1" t="s">
        <v>1828</v>
      </c>
      <c r="J393" s="1" t="s">
        <v>1951</v>
      </c>
      <c r="K393" s="69">
        <v>801116</v>
      </c>
      <c r="L393" s="69" t="s">
        <v>1603</v>
      </c>
      <c r="M393" s="69" t="s">
        <v>1604</v>
      </c>
      <c r="N393" s="69" t="s">
        <v>1605</v>
      </c>
      <c r="O393" s="69" t="s">
        <v>1606</v>
      </c>
      <c r="P393" s="85" t="s">
        <v>1987</v>
      </c>
      <c r="Q393" s="92">
        <v>2472000</v>
      </c>
      <c r="R393" s="1">
        <v>1</v>
      </c>
      <c r="S393" s="92">
        <v>14008000</v>
      </c>
      <c r="T393" s="88" t="s">
        <v>1619</v>
      </c>
      <c r="U393" s="1" t="s">
        <v>58</v>
      </c>
      <c r="V393" s="31">
        <v>43296</v>
      </c>
      <c r="W393" s="90">
        <v>1</v>
      </c>
      <c r="X393" s="20" t="s">
        <v>1988</v>
      </c>
      <c r="Y393" s="31">
        <v>43157</v>
      </c>
      <c r="Z393" s="92">
        <v>14008000</v>
      </c>
      <c r="AA393" s="107"/>
      <c r="AB393" s="1"/>
      <c r="AC393" s="230"/>
      <c r="AD393" s="92"/>
      <c r="AE393" s="1"/>
      <c r="AF393" s="1">
        <v>2535</v>
      </c>
      <c r="AG393" s="31"/>
      <c r="AH393" s="94">
        <v>12360000</v>
      </c>
      <c r="AI393" s="107" t="s">
        <v>1989</v>
      </c>
      <c r="AJ393" s="1"/>
      <c r="AK393" s="1"/>
      <c r="AL393" s="94">
        <v>12360000</v>
      </c>
      <c r="AM393" s="94">
        <f>+VLOOKUP(AF393,'[1]Compromisos CRP a 31 Julio de 2'!$J$428:$V$2707,13,0)</f>
        <v>0</v>
      </c>
      <c r="AN393" s="94">
        <f t="shared" si="37"/>
        <v>12360000</v>
      </c>
      <c r="AO393" s="1"/>
      <c r="AP393" s="1"/>
      <c r="AQ393" s="1"/>
      <c r="AR393" s="31"/>
      <c r="AS393" s="1"/>
      <c r="AT393" s="31"/>
      <c r="AU393" s="1"/>
      <c r="AV393" s="51"/>
    </row>
    <row r="394" spans="1:48" ht="320.25" thickTop="1" thickBot="1" x14ac:dyDescent="0.25">
      <c r="A394" s="215">
        <v>105</v>
      </c>
      <c r="B394" s="216" t="s">
        <v>1990</v>
      </c>
      <c r="C394" s="69" t="s">
        <v>1601</v>
      </c>
      <c r="D394" s="1" t="s">
        <v>485</v>
      </c>
      <c r="E394" s="69" t="s">
        <v>1602</v>
      </c>
      <c r="F394" s="1" t="s">
        <v>511</v>
      </c>
      <c r="G394" s="1" t="s">
        <v>512</v>
      </c>
      <c r="H394" s="7" t="s">
        <v>513</v>
      </c>
      <c r="I394" s="1" t="s">
        <v>1828</v>
      </c>
      <c r="J394" s="1" t="s">
        <v>1951</v>
      </c>
      <c r="K394" s="69">
        <v>801116</v>
      </c>
      <c r="L394" s="69" t="s">
        <v>1603</v>
      </c>
      <c r="M394" s="69" t="s">
        <v>1604</v>
      </c>
      <c r="N394" s="69" t="s">
        <v>1605</v>
      </c>
      <c r="O394" s="69" t="s">
        <v>1606</v>
      </c>
      <c r="P394" s="85" t="s">
        <v>1991</v>
      </c>
      <c r="Q394" s="92">
        <v>1751000</v>
      </c>
      <c r="R394" s="1">
        <v>1</v>
      </c>
      <c r="S394" s="92">
        <v>9922333</v>
      </c>
      <c r="T394" s="88" t="s">
        <v>1619</v>
      </c>
      <c r="U394" s="1" t="s">
        <v>58</v>
      </c>
      <c r="V394" s="31">
        <v>43296</v>
      </c>
      <c r="W394" s="90">
        <v>1</v>
      </c>
      <c r="X394" s="20" t="s">
        <v>1992</v>
      </c>
      <c r="Y394" s="31">
        <v>43157</v>
      </c>
      <c r="Z394" s="92">
        <v>9922333</v>
      </c>
      <c r="AA394" s="107"/>
      <c r="AB394" s="1"/>
      <c r="AC394" s="230"/>
      <c r="AD394" s="92"/>
      <c r="AE394" s="1"/>
      <c r="AF394" s="1">
        <v>2539</v>
      </c>
      <c r="AG394" s="31"/>
      <c r="AH394" s="94">
        <v>8755000</v>
      </c>
      <c r="AI394" s="107" t="s">
        <v>1993</v>
      </c>
      <c r="AJ394" s="1"/>
      <c r="AK394" s="1"/>
      <c r="AL394" s="94">
        <v>8755000</v>
      </c>
      <c r="AM394" s="94">
        <f>+VLOOKUP(AF394,'[1]Compromisos CRP a 31 Julio de 2'!$J$428:$V$2707,13,0)</f>
        <v>0</v>
      </c>
      <c r="AN394" s="94">
        <f t="shared" si="37"/>
        <v>8755000</v>
      </c>
      <c r="AO394" s="1"/>
      <c r="AP394" s="1"/>
      <c r="AQ394" s="1"/>
      <c r="AR394" s="31"/>
      <c r="AS394" s="1"/>
      <c r="AT394" s="31"/>
      <c r="AU394" s="1"/>
      <c r="AV394" s="51"/>
    </row>
    <row r="395" spans="1:48" ht="320.25" thickTop="1" thickBot="1" x14ac:dyDescent="0.25">
      <c r="A395" s="215">
        <v>106</v>
      </c>
      <c r="B395" s="216" t="s">
        <v>1994</v>
      </c>
      <c r="C395" s="69" t="s">
        <v>1601</v>
      </c>
      <c r="D395" s="1" t="s">
        <v>485</v>
      </c>
      <c r="E395" s="69" t="s">
        <v>1602</v>
      </c>
      <c r="F395" s="1" t="s">
        <v>511</v>
      </c>
      <c r="G395" s="1" t="s">
        <v>512</v>
      </c>
      <c r="H395" s="7" t="s">
        <v>513</v>
      </c>
      <c r="I395" s="1" t="s">
        <v>1828</v>
      </c>
      <c r="J395" s="1" t="s">
        <v>1951</v>
      </c>
      <c r="K395" s="69">
        <v>801116</v>
      </c>
      <c r="L395" s="69" t="s">
        <v>1603</v>
      </c>
      <c r="M395" s="69" t="s">
        <v>1604</v>
      </c>
      <c r="N395" s="69" t="s">
        <v>1605</v>
      </c>
      <c r="O395" s="69" t="s">
        <v>1606</v>
      </c>
      <c r="P395" s="85" t="s">
        <v>1995</v>
      </c>
      <c r="Q395" s="92">
        <v>5253000</v>
      </c>
      <c r="R395" s="1">
        <v>1</v>
      </c>
      <c r="S395" s="92">
        <v>29767000</v>
      </c>
      <c r="T395" s="88" t="s">
        <v>1619</v>
      </c>
      <c r="U395" s="1" t="s">
        <v>58</v>
      </c>
      <c r="V395" s="31">
        <v>43296</v>
      </c>
      <c r="W395" s="90">
        <v>1</v>
      </c>
      <c r="X395" s="20" t="s">
        <v>1996</v>
      </c>
      <c r="Y395" s="31">
        <v>43157</v>
      </c>
      <c r="Z395" s="92">
        <v>29767000</v>
      </c>
      <c r="AA395" s="107"/>
      <c r="AB395" s="1"/>
      <c r="AC395" s="230"/>
      <c r="AD395" s="92"/>
      <c r="AE395" s="1"/>
      <c r="AF395" s="1">
        <v>2537</v>
      </c>
      <c r="AG395" s="31"/>
      <c r="AH395" s="94">
        <v>26265000</v>
      </c>
      <c r="AI395" s="107" t="s">
        <v>1997</v>
      </c>
      <c r="AJ395" s="1"/>
      <c r="AK395" s="1"/>
      <c r="AL395" s="94">
        <v>26265000</v>
      </c>
      <c r="AM395" s="94">
        <f>+VLOOKUP(AF395,'[1]Compromisos CRP a 31 Julio de 2'!$J$428:$V$2707,13,0)</f>
        <v>0</v>
      </c>
      <c r="AN395" s="94">
        <f t="shared" si="37"/>
        <v>26265000</v>
      </c>
      <c r="AO395" s="1"/>
      <c r="AP395" s="1"/>
      <c r="AQ395" s="1"/>
      <c r="AR395" s="31"/>
      <c r="AS395" s="1"/>
      <c r="AT395" s="31"/>
      <c r="AU395" s="1"/>
      <c r="AV395" s="51"/>
    </row>
    <row r="396" spans="1:48" ht="333" thickTop="1" thickBot="1" x14ac:dyDescent="0.25">
      <c r="A396" s="215">
        <v>107</v>
      </c>
      <c r="B396" s="216" t="s">
        <v>1998</v>
      </c>
      <c r="C396" s="69" t="s">
        <v>1601</v>
      </c>
      <c r="D396" s="1" t="s">
        <v>485</v>
      </c>
      <c r="E396" s="69" t="s">
        <v>1602</v>
      </c>
      <c r="F396" s="1" t="s">
        <v>511</v>
      </c>
      <c r="G396" s="1" t="s">
        <v>512</v>
      </c>
      <c r="H396" s="7" t="s">
        <v>513</v>
      </c>
      <c r="I396" s="1" t="s">
        <v>1828</v>
      </c>
      <c r="J396" s="1" t="s">
        <v>1951</v>
      </c>
      <c r="K396" s="69">
        <v>801116</v>
      </c>
      <c r="L396" s="69" t="s">
        <v>1603</v>
      </c>
      <c r="M396" s="69" t="s">
        <v>1604</v>
      </c>
      <c r="N396" s="69" t="s">
        <v>1605</v>
      </c>
      <c r="O396" s="69" t="s">
        <v>1606</v>
      </c>
      <c r="P396" s="85" t="s">
        <v>1955</v>
      </c>
      <c r="Q396" s="92">
        <v>3553500</v>
      </c>
      <c r="R396" s="1">
        <v>1</v>
      </c>
      <c r="S396" s="92">
        <v>20136500</v>
      </c>
      <c r="T396" s="88" t="s">
        <v>1619</v>
      </c>
      <c r="U396" s="1" t="s">
        <v>58</v>
      </c>
      <c r="V396" s="31">
        <v>43296</v>
      </c>
      <c r="W396" s="90">
        <v>1</v>
      </c>
      <c r="X396" s="20" t="s">
        <v>1999</v>
      </c>
      <c r="Y396" s="31">
        <v>43157</v>
      </c>
      <c r="Z396" s="92">
        <v>20136500</v>
      </c>
      <c r="AA396" s="107"/>
      <c r="AB396" s="1"/>
      <c r="AC396" s="230"/>
      <c r="AD396" s="92"/>
      <c r="AE396" s="1"/>
      <c r="AF396" s="1">
        <v>2533</v>
      </c>
      <c r="AG396" s="31"/>
      <c r="AH396" s="94">
        <v>17767500</v>
      </c>
      <c r="AI396" s="107" t="s">
        <v>2000</v>
      </c>
      <c r="AJ396" s="1"/>
      <c r="AK396" s="1"/>
      <c r="AL396" s="94">
        <v>17767500</v>
      </c>
      <c r="AM396" s="94">
        <f>+VLOOKUP(AF396,'[1]Compromisos CRP a 31 Julio de 2'!$J$428:$V$2707,13,0)</f>
        <v>0</v>
      </c>
      <c r="AN396" s="94">
        <f t="shared" si="37"/>
        <v>17767500</v>
      </c>
      <c r="AO396" s="1"/>
      <c r="AP396" s="1"/>
      <c r="AQ396" s="1"/>
      <c r="AR396" s="31"/>
      <c r="AS396" s="1"/>
      <c r="AT396" s="31"/>
      <c r="AU396" s="1"/>
      <c r="AV396" s="51"/>
    </row>
    <row r="397" spans="1:48" ht="333" thickTop="1" thickBot="1" x14ac:dyDescent="0.25">
      <c r="A397" s="215">
        <v>108</v>
      </c>
      <c r="B397" s="216" t="s">
        <v>2001</v>
      </c>
      <c r="C397" s="69" t="s">
        <v>1601</v>
      </c>
      <c r="D397" s="1" t="s">
        <v>485</v>
      </c>
      <c r="E397" s="69" t="s">
        <v>1602</v>
      </c>
      <c r="F397" s="1" t="s">
        <v>511</v>
      </c>
      <c r="G397" s="1" t="s">
        <v>512</v>
      </c>
      <c r="H397" s="7" t="s">
        <v>513</v>
      </c>
      <c r="I397" s="1" t="s">
        <v>1828</v>
      </c>
      <c r="J397" s="1" t="s">
        <v>1951</v>
      </c>
      <c r="K397" s="69">
        <v>801116</v>
      </c>
      <c r="L397" s="69" t="s">
        <v>1603</v>
      </c>
      <c r="M397" s="69" t="s">
        <v>1604</v>
      </c>
      <c r="N397" s="69" t="s">
        <v>1605</v>
      </c>
      <c r="O397" s="69" t="s">
        <v>1606</v>
      </c>
      <c r="P397" s="85" t="s">
        <v>1955</v>
      </c>
      <c r="Q397" s="92">
        <v>3399000</v>
      </c>
      <c r="R397" s="1">
        <v>1</v>
      </c>
      <c r="S397" s="92">
        <v>19261000</v>
      </c>
      <c r="T397" s="88" t="s">
        <v>1619</v>
      </c>
      <c r="U397" s="1" t="s">
        <v>58</v>
      </c>
      <c r="V397" s="31">
        <v>43296</v>
      </c>
      <c r="W397" s="90">
        <v>1</v>
      </c>
      <c r="X397" s="20" t="s">
        <v>2002</v>
      </c>
      <c r="Y397" s="31">
        <v>43157</v>
      </c>
      <c r="Z397" s="92">
        <v>19261000</v>
      </c>
      <c r="AA397" s="107"/>
      <c r="AB397" s="1"/>
      <c r="AC397" s="230"/>
      <c r="AD397" s="92"/>
      <c r="AE397" s="1"/>
      <c r="AF397" s="1">
        <v>2533</v>
      </c>
      <c r="AG397" s="31"/>
      <c r="AH397" s="94">
        <v>16995000</v>
      </c>
      <c r="AI397" s="107" t="s">
        <v>2003</v>
      </c>
      <c r="AJ397" s="1"/>
      <c r="AK397" s="1"/>
      <c r="AL397" s="94">
        <v>16995000</v>
      </c>
      <c r="AM397" s="94">
        <f>+VLOOKUP(AF397,'[1]Compromisos CRP a 31 Julio de 2'!$J$428:$V$2707,13,0)</f>
        <v>0</v>
      </c>
      <c r="AN397" s="94">
        <f t="shared" si="37"/>
        <v>16995000</v>
      </c>
      <c r="AO397" s="1"/>
      <c r="AP397" s="1"/>
      <c r="AQ397" s="1"/>
      <c r="AR397" s="31"/>
      <c r="AS397" s="1"/>
      <c r="AT397" s="31"/>
      <c r="AU397" s="1"/>
      <c r="AV397" s="51"/>
    </row>
    <row r="398" spans="1:48" ht="333" thickTop="1" thickBot="1" x14ac:dyDescent="0.25">
      <c r="A398" s="215">
        <v>109</v>
      </c>
      <c r="B398" s="216" t="s">
        <v>2004</v>
      </c>
      <c r="C398" s="69" t="s">
        <v>1601</v>
      </c>
      <c r="D398" s="1" t="s">
        <v>485</v>
      </c>
      <c r="E398" s="69" t="s">
        <v>1602</v>
      </c>
      <c r="F398" s="1" t="s">
        <v>511</v>
      </c>
      <c r="G398" s="1" t="s">
        <v>512</v>
      </c>
      <c r="H398" s="7" t="s">
        <v>513</v>
      </c>
      <c r="I398" s="1" t="s">
        <v>1828</v>
      </c>
      <c r="J398" s="1" t="s">
        <v>1951</v>
      </c>
      <c r="K398" s="69">
        <v>801116</v>
      </c>
      <c r="L398" s="69" t="s">
        <v>1603</v>
      </c>
      <c r="M398" s="69" t="s">
        <v>1604</v>
      </c>
      <c r="N398" s="69" t="s">
        <v>1605</v>
      </c>
      <c r="O398" s="69" t="s">
        <v>1606</v>
      </c>
      <c r="P398" s="85" t="s">
        <v>1955</v>
      </c>
      <c r="Q398" s="92">
        <v>3399000</v>
      </c>
      <c r="R398" s="1">
        <v>1</v>
      </c>
      <c r="S398" s="92">
        <v>19261000</v>
      </c>
      <c r="T398" s="88" t="s">
        <v>1619</v>
      </c>
      <c r="U398" s="1" t="s">
        <v>58</v>
      </c>
      <c r="V398" s="31">
        <v>43296</v>
      </c>
      <c r="W398" s="90">
        <v>1</v>
      </c>
      <c r="X398" s="20" t="s">
        <v>2005</v>
      </c>
      <c r="Y398" s="31">
        <v>43157</v>
      </c>
      <c r="Z398" s="92">
        <v>19261000</v>
      </c>
      <c r="AA398" s="107"/>
      <c r="AB398" s="1"/>
      <c r="AC398" s="230"/>
      <c r="AD398" s="92"/>
      <c r="AE398" s="1"/>
      <c r="AF398" s="1"/>
      <c r="AG398" s="31"/>
      <c r="AH398" s="94"/>
      <c r="AI398" s="107"/>
      <c r="AJ398" s="1"/>
      <c r="AK398" s="1"/>
      <c r="AL398" s="94"/>
      <c r="AM398" s="94"/>
      <c r="AN398" s="94"/>
      <c r="AO398" s="1"/>
      <c r="AP398" s="1"/>
      <c r="AQ398" s="1"/>
      <c r="AR398" s="31"/>
      <c r="AS398" s="1"/>
      <c r="AT398" s="31"/>
      <c r="AU398" s="1"/>
      <c r="AV398" s="51"/>
    </row>
    <row r="399" spans="1:48" ht="333" thickTop="1" thickBot="1" x14ac:dyDescent="0.25">
      <c r="A399" s="215">
        <v>110</v>
      </c>
      <c r="B399" s="216" t="s">
        <v>2006</v>
      </c>
      <c r="C399" s="69" t="s">
        <v>1601</v>
      </c>
      <c r="D399" s="1" t="s">
        <v>485</v>
      </c>
      <c r="E399" s="69" t="s">
        <v>1602</v>
      </c>
      <c r="F399" s="1" t="s">
        <v>511</v>
      </c>
      <c r="G399" s="1" t="s">
        <v>512</v>
      </c>
      <c r="H399" s="7" t="s">
        <v>513</v>
      </c>
      <c r="I399" s="1" t="s">
        <v>1828</v>
      </c>
      <c r="J399" s="1" t="s">
        <v>1951</v>
      </c>
      <c r="K399" s="69">
        <v>801116</v>
      </c>
      <c r="L399" s="69" t="s">
        <v>1603</v>
      </c>
      <c r="M399" s="69" t="s">
        <v>1604</v>
      </c>
      <c r="N399" s="69" t="s">
        <v>1605</v>
      </c>
      <c r="O399" s="69" t="s">
        <v>1606</v>
      </c>
      <c r="P399" s="85" t="s">
        <v>1955</v>
      </c>
      <c r="Q399" s="92">
        <v>3553500</v>
      </c>
      <c r="R399" s="1">
        <v>1</v>
      </c>
      <c r="S399" s="92">
        <v>20136500</v>
      </c>
      <c r="T399" s="88" t="s">
        <v>1619</v>
      </c>
      <c r="U399" s="1" t="s">
        <v>58</v>
      </c>
      <c r="V399" s="31">
        <v>43296</v>
      </c>
      <c r="W399" s="90">
        <v>1</v>
      </c>
      <c r="X399" s="20" t="s">
        <v>2007</v>
      </c>
      <c r="Y399" s="31">
        <v>43157</v>
      </c>
      <c r="Z399" s="92">
        <v>20136500</v>
      </c>
      <c r="AA399" s="107"/>
      <c r="AB399" s="1"/>
      <c r="AC399" s="230"/>
      <c r="AD399" s="92"/>
      <c r="AE399" s="1"/>
      <c r="AF399" s="1"/>
      <c r="AG399" s="31"/>
      <c r="AH399" s="94"/>
      <c r="AI399" s="107"/>
      <c r="AJ399" s="1"/>
      <c r="AK399" s="1"/>
      <c r="AL399" s="94"/>
      <c r="AM399" s="94"/>
      <c r="AN399" s="94"/>
      <c r="AO399" s="1"/>
      <c r="AP399" s="1"/>
      <c r="AQ399" s="1"/>
      <c r="AR399" s="31"/>
      <c r="AS399" s="1"/>
      <c r="AT399" s="31"/>
      <c r="AU399" s="1"/>
      <c r="AV399" s="51"/>
    </row>
    <row r="400" spans="1:48" ht="333" thickTop="1" thickBot="1" x14ac:dyDescent="0.25">
      <c r="A400" s="215">
        <v>111</v>
      </c>
      <c r="B400" s="216" t="s">
        <v>2008</v>
      </c>
      <c r="C400" s="69" t="s">
        <v>1601</v>
      </c>
      <c r="D400" s="1" t="s">
        <v>485</v>
      </c>
      <c r="E400" s="69" t="s">
        <v>1602</v>
      </c>
      <c r="F400" s="1" t="s">
        <v>511</v>
      </c>
      <c r="G400" s="1" t="s">
        <v>512</v>
      </c>
      <c r="H400" s="7" t="s">
        <v>513</v>
      </c>
      <c r="I400" s="1" t="s">
        <v>1828</v>
      </c>
      <c r="J400" s="1" t="s">
        <v>1951</v>
      </c>
      <c r="K400" s="69">
        <v>801116</v>
      </c>
      <c r="L400" s="69" t="s">
        <v>1603</v>
      </c>
      <c r="M400" s="69" t="s">
        <v>1604</v>
      </c>
      <c r="N400" s="69" t="s">
        <v>1605</v>
      </c>
      <c r="O400" s="69" t="s">
        <v>1606</v>
      </c>
      <c r="P400" s="85" t="s">
        <v>1955</v>
      </c>
      <c r="Q400" s="92">
        <v>3399000</v>
      </c>
      <c r="R400" s="1">
        <v>1</v>
      </c>
      <c r="S400" s="92">
        <v>19261000</v>
      </c>
      <c r="T400" s="88" t="s">
        <v>1619</v>
      </c>
      <c r="U400" s="1" t="s">
        <v>58</v>
      </c>
      <c r="V400" s="31">
        <v>43296</v>
      </c>
      <c r="W400" s="90">
        <v>1</v>
      </c>
      <c r="X400" s="20" t="s">
        <v>2009</v>
      </c>
      <c r="Y400" s="31">
        <v>43279</v>
      </c>
      <c r="Z400" s="92">
        <v>19261000</v>
      </c>
      <c r="AA400" s="107"/>
      <c r="AB400" s="1"/>
      <c r="AC400" s="230"/>
      <c r="AD400" s="92"/>
      <c r="AE400" s="1"/>
      <c r="AF400" s="1">
        <v>2538</v>
      </c>
      <c r="AG400" s="31"/>
      <c r="AH400" s="94">
        <v>16995000</v>
      </c>
      <c r="AI400" s="107" t="s">
        <v>2010</v>
      </c>
      <c r="AJ400" s="1"/>
      <c r="AK400" s="1"/>
      <c r="AL400" s="94">
        <v>16995000</v>
      </c>
      <c r="AM400" s="94">
        <f>+VLOOKUP(AF400,'[1]Compromisos CRP a 31 Julio de 2'!$J$428:$V$2707,13,0)</f>
        <v>0</v>
      </c>
      <c r="AN400" s="94">
        <f>AL400-AM400</f>
        <v>16995000</v>
      </c>
      <c r="AO400" s="1"/>
      <c r="AP400" s="1"/>
      <c r="AQ400" s="1"/>
      <c r="AR400" s="31"/>
      <c r="AS400" s="1"/>
      <c r="AT400" s="31"/>
      <c r="AU400" s="1"/>
      <c r="AV400" s="51"/>
    </row>
    <row r="401" spans="1:48" ht="320.25" thickTop="1" thickBot="1" x14ac:dyDescent="0.25">
      <c r="A401" s="215">
        <v>112</v>
      </c>
      <c r="B401" s="216" t="s">
        <v>2011</v>
      </c>
      <c r="C401" s="69" t="s">
        <v>1601</v>
      </c>
      <c r="D401" s="1" t="s">
        <v>485</v>
      </c>
      <c r="E401" s="69" t="s">
        <v>1602</v>
      </c>
      <c r="F401" s="1" t="s">
        <v>511</v>
      </c>
      <c r="G401" s="1" t="s">
        <v>512</v>
      </c>
      <c r="H401" s="7" t="s">
        <v>513</v>
      </c>
      <c r="I401" s="1" t="s">
        <v>1828</v>
      </c>
      <c r="J401" s="1" t="s">
        <v>1951</v>
      </c>
      <c r="K401" s="69">
        <v>801116</v>
      </c>
      <c r="L401" s="69" t="s">
        <v>1603</v>
      </c>
      <c r="M401" s="69" t="s">
        <v>1604</v>
      </c>
      <c r="N401" s="69" t="s">
        <v>1605</v>
      </c>
      <c r="O401" s="69" t="s">
        <v>1606</v>
      </c>
      <c r="P401" s="85" t="s">
        <v>2012</v>
      </c>
      <c r="Q401" s="92">
        <v>3553500</v>
      </c>
      <c r="R401" s="1">
        <v>1</v>
      </c>
      <c r="S401" s="92">
        <f>18952000-17175250</f>
        <v>1776750</v>
      </c>
      <c r="T401" s="88" t="s">
        <v>1619</v>
      </c>
      <c r="U401" s="1" t="s">
        <v>58</v>
      </c>
      <c r="V401" s="31">
        <v>43296</v>
      </c>
      <c r="W401" s="90">
        <v>1</v>
      </c>
      <c r="X401" s="20"/>
      <c r="Y401" s="31"/>
      <c r="Z401" s="92"/>
      <c r="AA401" s="107"/>
      <c r="AB401" s="1"/>
      <c r="AC401" s="230"/>
      <c r="AD401" s="92"/>
      <c r="AE401" s="1"/>
      <c r="AF401" s="1"/>
      <c r="AG401" s="31"/>
      <c r="AH401" s="94"/>
      <c r="AI401" s="107"/>
      <c r="AJ401" s="1"/>
      <c r="AK401" s="1"/>
      <c r="AL401" s="94"/>
      <c r="AM401" s="94"/>
      <c r="AN401" s="94"/>
      <c r="AO401" s="1"/>
      <c r="AP401" s="1"/>
      <c r="AQ401" s="1"/>
      <c r="AR401" s="31"/>
      <c r="AS401" s="1"/>
      <c r="AT401" s="31"/>
      <c r="AU401" s="1"/>
      <c r="AV401" s="51"/>
    </row>
    <row r="402" spans="1:48" ht="320.25" thickTop="1" thickBot="1" x14ac:dyDescent="0.25">
      <c r="A402" s="215">
        <v>113</v>
      </c>
      <c r="B402" s="216" t="s">
        <v>2013</v>
      </c>
      <c r="C402" s="69" t="s">
        <v>1601</v>
      </c>
      <c r="D402" s="1" t="s">
        <v>485</v>
      </c>
      <c r="E402" s="69" t="s">
        <v>1602</v>
      </c>
      <c r="F402" s="1" t="s">
        <v>511</v>
      </c>
      <c r="G402" s="1" t="s">
        <v>512</v>
      </c>
      <c r="H402" s="7" t="s">
        <v>513</v>
      </c>
      <c r="I402" s="1" t="s">
        <v>1828</v>
      </c>
      <c r="J402" s="1" t="s">
        <v>1951</v>
      </c>
      <c r="K402" s="69">
        <v>801116</v>
      </c>
      <c r="L402" s="69" t="s">
        <v>1603</v>
      </c>
      <c r="M402" s="69" t="s">
        <v>1604</v>
      </c>
      <c r="N402" s="69" t="s">
        <v>1605</v>
      </c>
      <c r="O402" s="69" t="s">
        <v>1606</v>
      </c>
      <c r="P402" s="7" t="s">
        <v>1991</v>
      </c>
      <c r="Q402" s="92">
        <v>1751000</v>
      </c>
      <c r="R402" s="1">
        <v>1</v>
      </c>
      <c r="S402" s="92">
        <f>9338667-8463167</f>
        <v>875500</v>
      </c>
      <c r="T402" s="88" t="s">
        <v>1619</v>
      </c>
      <c r="U402" s="1" t="s">
        <v>58</v>
      </c>
      <c r="V402" s="31">
        <v>43296</v>
      </c>
      <c r="W402" s="90">
        <v>1</v>
      </c>
      <c r="X402" s="20"/>
      <c r="Y402" s="31"/>
      <c r="Z402" s="92"/>
      <c r="AA402" s="107"/>
      <c r="AB402" s="1"/>
      <c r="AC402" s="230"/>
      <c r="AD402" s="92"/>
      <c r="AE402" s="1"/>
      <c r="AF402" s="1"/>
      <c r="AG402" s="31"/>
      <c r="AH402" s="94"/>
      <c r="AI402" s="107"/>
      <c r="AJ402" s="1"/>
      <c r="AK402" s="1"/>
      <c r="AL402" s="94"/>
      <c r="AM402" s="94"/>
      <c r="AN402" s="94"/>
      <c r="AO402" s="1"/>
      <c r="AP402" s="1"/>
      <c r="AQ402" s="1"/>
      <c r="AR402" s="31"/>
      <c r="AS402" s="1"/>
      <c r="AT402" s="31"/>
      <c r="AU402" s="1"/>
      <c r="AV402" s="51"/>
    </row>
    <row r="403" spans="1:48" ht="320.25" thickTop="1" thickBot="1" x14ac:dyDescent="0.25">
      <c r="A403" s="215">
        <v>114</v>
      </c>
      <c r="B403" s="216" t="s">
        <v>2014</v>
      </c>
      <c r="C403" s="69" t="s">
        <v>1601</v>
      </c>
      <c r="D403" s="1" t="s">
        <v>485</v>
      </c>
      <c r="E403" s="69" t="s">
        <v>1602</v>
      </c>
      <c r="F403" s="1" t="s">
        <v>511</v>
      </c>
      <c r="G403" s="1" t="s">
        <v>512</v>
      </c>
      <c r="H403" s="7" t="s">
        <v>513</v>
      </c>
      <c r="I403" s="1" t="s">
        <v>1828</v>
      </c>
      <c r="J403" s="1" t="s">
        <v>1951</v>
      </c>
      <c r="K403" s="69">
        <v>801116</v>
      </c>
      <c r="L403" s="69" t="s">
        <v>1603</v>
      </c>
      <c r="M403" s="69" t="s">
        <v>1604</v>
      </c>
      <c r="N403" s="69" t="s">
        <v>1605</v>
      </c>
      <c r="O403" s="69" t="s">
        <v>1606</v>
      </c>
      <c r="P403" s="7" t="s">
        <v>1991</v>
      </c>
      <c r="Q403" s="92">
        <v>1751000</v>
      </c>
      <c r="R403" s="1">
        <v>1</v>
      </c>
      <c r="S403" s="92">
        <f>9338667-8463167</f>
        <v>875500</v>
      </c>
      <c r="T403" s="88" t="s">
        <v>1619</v>
      </c>
      <c r="U403" s="1" t="s">
        <v>58</v>
      </c>
      <c r="V403" s="31">
        <v>43296</v>
      </c>
      <c r="W403" s="90">
        <v>1</v>
      </c>
      <c r="X403" s="20"/>
      <c r="Y403" s="31"/>
      <c r="Z403" s="92"/>
      <c r="AA403" s="107"/>
      <c r="AB403" s="1"/>
      <c r="AC403" s="230"/>
      <c r="AD403" s="92"/>
      <c r="AE403" s="1"/>
      <c r="AF403" s="1"/>
      <c r="AG403" s="31"/>
      <c r="AH403" s="94"/>
      <c r="AI403" s="107"/>
      <c r="AJ403" s="1"/>
      <c r="AK403" s="1"/>
      <c r="AL403" s="94"/>
      <c r="AM403" s="94"/>
      <c r="AN403" s="94"/>
      <c r="AO403" s="1"/>
      <c r="AP403" s="1"/>
      <c r="AQ403" s="1"/>
      <c r="AR403" s="31"/>
      <c r="AS403" s="1"/>
      <c r="AT403" s="31"/>
      <c r="AU403" s="1"/>
      <c r="AV403" s="51"/>
    </row>
    <row r="404" spans="1:48" ht="358.5" thickTop="1" thickBot="1" x14ac:dyDescent="0.25">
      <c r="A404" s="215">
        <v>115</v>
      </c>
      <c r="B404" s="216" t="s">
        <v>2015</v>
      </c>
      <c r="C404" s="69" t="s">
        <v>1601</v>
      </c>
      <c r="D404" s="1" t="s">
        <v>485</v>
      </c>
      <c r="E404" s="69" t="s">
        <v>1602</v>
      </c>
      <c r="F404" s="1" t="s">
        <v>511</v>
      </c>
      <c r="G404" s="1" t="s">
        <v>512</v>
      </c>
      <c r="H404" s="7" t="s">
        <v>513</v>
      </c>
      <c r="I404" s="1" t="s">
        <v>1828</v>
      </c>
      <c r="J404" s="1" t="s">
        <v>1951</v>
      </c>
      <c r="K404" s="69">
        <v>801116</v>
      </c>
      <c r="L404" s="69" t="s">
        <v>1603</v>
      </c>
      <c r="M404" s="69" t="s">
        <v>1604</v>
      </c>
      <c r="N404" s="69" t="s">
        <v>1605</v>
      </c>
      <c r="O404" s="69" t="s">
        <v>1606</v>
      </c>
      <c r="P404" s="7" t="s">
        <v>1839</v>
      </c>
      <c r="Q404" s="92">
        <v>4532000</v>
      </c>
      <c r="R404" s="1">
        <v>1</v>
      </c>
      <c r="S404" s="92">
        <f>20394000-20394000</f>
        <v>0</v>
      </c>
      <c r="T404" s="88" t="s">
        <v>1619</v>
      </c>
      <c r="U404" s="1" t="s">
        <v>58</v>
      </c>
      <c r="V404" s="31">
        <v>43296</v>
      </c>
      <c r="W404" s="90">
        <v>1</v>
      </c>
      <c r="X404" s="20"/>
      <c r="Y404" s="31"/>
      <c r="Z404" s="92"/>
      <c r="AA404" s="107"/>
      <c r="AB404" s="1"/>
      <c r="AC404" s="230"/>
      <c r="AD404" s="92"/>
      <c r="AE404" s="1"/>
      <c r="AF404" s="1"/>
      <c r="AG404" s="31"/>
      <c r="AH404" s="94"/>
      <c r="AI404" s="107"/>
      <c r="AJ404" s="1"/>
      <c r="AK404" s="1"/>
      <c r="AL404" s="94"/>
      <c r="AM404" s="94"/>
      <c r="AN404" s="94"/>
      <c r="AO404" s="1"/>
      <c r="AP404" s="1"/>
      <c r="AQ404" s="1"/>
      <c r="AR404" s="31"/>
      <c r="AS404" s="1"/>
      <c r="AT404" s="31"/>
      <c r="AU404" s="1"/>
      <c r="AV404" s="51"/>
    </row>
    <row r="405" spans="1:48" ht="320.25" thickTop="1" thickBot="1" x14ac:dyDescent="0.25">
      <c r="A405" s="215">
        <v>116</v>
      </c>
      <c r="B405" s="216" t="s">
        <v>2016</v>
      </c>
      <c r="C405" s="69" t="s">
        <v>1601</v>
      </c>
      <c r="D405" s="1" t="s">
        <v>485</v>
      </c>
      <c r="E405" s="69" t="s">
        <v>1602</v>
      </c>
      <c r="F405" s="1" t="s">
        <v>511</v>
      </c>
      <c r="G405" s="1" t="s">
        <v>512</v>
      </c>
      <c r="H405" s="7" t="s">
        <v>513</v>
      </c>
      <c r="I405" s="1" t="s">
        <v>1828</v>
      </c>
      <c r="J405" s="1" t="s">
        <v>1951</v>
      </c>
      <c r="K405" s="69">
        <v>801116</v>
      </c>
      <c r="L405" s="69" t="s">
        <v>1603</v>
      </c>
      <c r="M405" s="69" t="s">
        <v>1604</v>
      </c>
      <c r="N405" s="69" t="s">
        <v>1605</v>
      </c>
      <c r="O405" s="69" t="s">
        <v>1606</v>
      </c>
      <c r="P405" s="7" t="s">
        <v>2017</v>
      </c>
      <c r="Q405" s="92">
        <v>6695000</v>
      </c>
      <c r="R405" s="1">
        <v>1</v>
      </c>
      <c r="S405" s="92">
        <f>30127500-30127500</f>
        <v>0</v>
      </c>
      <c r="T405" s="88" t="s">
        <v>1619</v>
      </c>
      <c r="U405" s="1" t="s">
        <v>58</v>
      </c>
      <c r="V405" s="31">
        <v>43296</v>
      </c>
      <c r="W405" s="90">
        <v>1</v>
      </c>
      <c r="X405" s="20"/>
      <c r="Y405" s="31"/>
      <c r="Z405" s="92"/>
      <c r="AA405" s="107"/>
      <c r="AB405" s="1"/>
      <c r="AC405" s="230"/>
      <c r="AD405" s="92"/>
      <c r="AE405" s="1"/>
      <c r="AF405" s="1"/>
      <c r="AG405" s="31"/>
      <c r="AH405" s="94"/>
      <c r="AI405" s="107"/>
      <c r="AJ405" s="1"/>
      <c r="AK405" s="1"/>
      <c r="AL405" s="94"/>
      <c r="AM405" s="94"/>
      <c r="AN405" s="94"/>
      <c r="AO405" s="1"/>
      <c r="AP405" s="1"/>
      <c r="AQ405" s="1"/>
      <c r="AR405" s="31"/>
      <c r="AS405" s="1"/>
      <c r="AT405" s="31"/>
      <c r="AU405" s="1"/>
      <c r="AV405" s="51"/>
    </row>
    <row r="406" spans="1:48" ht="320.25" thickTop="1" thickBot="1" x14ac:dyDescent="0.25">
      <c r="A406" s="215">
        <v>117</v>
      </c>
      <c r="B406" s="216" t="s">
        <v>2018</v>
      </c>
      <c r="C406" s="69" t="s">
        <v>1601</v>
      </c>
      <c r="D406" s="1" t="s">
        <v>485</v>
      </c>
      <c r="E406" s="69" t="s">
        <v>1602</v>
      </c>
      <c r="F406" s="1" t="s">
        <v>511</v>
      </c>
      <c r="G406" s="1" t="s">
        <v>512</v>
      </c>
      <c r="H406" s="7" t="s">
        <v>513</v>
      </c>
      <c r="I406" s="1" t="s">
        <v>1828</v>
      </c>
      <c r="J406" s="1" t="s">
        <v>1951</v>
      </c>
      <c r="K406" s="69">
        <v>801116</v>
      </c>
      <c r="L406" s="69" t="s">
        <v>1603</v>
      </c>
      <c r="M406" s="69" t="s">
        <v>1604</v>
      </c>
      <c r="N406" s="69" t="s">
        <v>1605</v>
      </c>
      <c r="O406" s="69" t="s">
        <v>1606</v>
      </c>
      <c r="P406" s="7" t="s">
        <v>1991</v>
      </c>
      <c r="Q406" s="92">
        <v>1751000</v>
      </c>
      <c r="R406" s="1">
        <v>1</v>
      </c>
      <c r="S406" s="92">
        <f>8171333-8171333</f>
        <v>0</v>
      </c>
      <c r="T406" s="88" t="s">
        <v>1619</v>
      </c>
      <c r="U406" s="1" t="s">
        <v>58</v>
      </c>
      <c r="V406" s="31">
        <v>43296</v>
      </c>
      <c r="W406" s="90">
        <v>1</v>
      </c>
      <c r="X406" s="20"/>
      <c r="Y406" s="31"/>
      <c r="Z406" s="92"/>
      <c r="AA406" s="107"/>
      <c r="AB406" s="1"/>
      <c r="AC406" s="230"/>
      <c r="AD406" s="92"/>
      <c r="AE406" s="1"/>
      <c r="AF406" s="1"/>
      <c r="AG406" s="31"/>
      <c r="AH406" s="94"/>
      <c r="AI406" s="107"/>
      <c r="AJ406" s="1"/>
      <c r="AK406" s="1"/>
      <c r="AL406" s="94"/>
      <c r="AM406" s="94"/>
      <c r="AN406" s="94"/>
      <c r="AO406" s="1"/>
      <c r="AP406" s="1"/>
      <c r="AQ406" s="1"/>
      <c r="AR406" s="31"/>
      <c r="AS406" s="1"/>
      <c r="AT406" s="31"/>
      <c r="AU406" s="1"/>
      <c r="AV406" s="51"/>
    </row>
    <row r="407" spans="1:48" ht="320.25" thickTop="1" thickBot="1" x14ac:dyDescent="0.25">
      <c r="A407" s="215">
        <v>118</v>
      </c>
      <c r="B407" s="216" t="s">
        <v>2019</v>
      </c>
      <c r="C407" s="69" t="s">
        <v>1601</v>
      </c>
      <c r="D407" s="1" t="s">
        <v>485</v>
      </c>
      <c r="E407" s="69" t="s">
        <v>1602</v>
      </c>
      <c r="F407" s="1" t="s">
        <v>511</v>
      </c>
      <c r="G407" s="1" t="s">
        <v>512</v>
      </c>
      <c r="H407" s="7" t="s">
        <v>513</v>
      </c>
      <c r="I407" s="1" t="s">
        <v>1828</v>
      </c>
      <c r="J407" s="1" t="s">
        <v>1951</v>
      </c>
      <c r="K407" s="69">
        <v>801116</v>
      </c>
      <c r="L407" s="69" t="s">
        <v>1603</v>
      </c>
      <c r="M407" s="69" t="s">
        <v>1604</v>
      </c>
      <c r="N407" s="69" t="s">
        <v>1605</v>
      </c>
      <c r="O407" s="69" t="s">
        <v>1606</v>
      </c>
      <c r="P407" s="7" t="s">
        <v>2017</v>
      </c>
      <c r="Q407" s="92">
        <v>8240000</v>
      </c>
      <c r="R407" s="1">
        <v>1</v>
      </c>
      <c r="S407" s="92">
        <f>39826666-39826666</f>
        <v>0</v>
      </c>
      <c r="T407" s="88" t="s">
        <v>1619</v>
      </c>
      <c r="U407" s="1" t="s">
        <v>58</v>
      </c>
      <c r="V407" s="31">
        <v>43296</v>
      </c>
      <c r="W407" s="90">
        <v>1</v>
      </c>
      <c r="X407" s="20"/>
      <c r="Y407" s="31"/>
      <c r="Z407" s="92"/>
      <c r="AA407" s="107"/>
      <c r="AB407" s="1"/>
      <c r="AC407" s="230"/>
      <c r="AD407" s="92"/>
      <c r="AE407" s="1"/>
      <c r="AF407" s="1"/>
      <c r="AG407" s="31"/>
      <c r="AH407" s="94"/>
      <c r="AI407" s="107"/>
      <c r="AJ407" s="1"/>
      <c r="AK407" s="1"/>
      <c r="AL407" s="94"/>
      <c r="AM407" s="94"/>
      <c r="AN407" s="94"/>
      <c r="AO407" s="1"/>
      <c r="AP407" s="1"/>
      <c r="AQ407" s="1"/>
      <c r="AR407" s="31"/>
      <c r="AS407" s="1"/>
      <c r="AT407" s="31"/>
      <c r="AU407" s="1"/>
      <c r="AV407" s="51"/>
    </row>
    <row r="408" spans="1:48" ht="320.25" thickTop="1" thickBot="1" x14ac:dyDescent="0.25">
      <c r="A408" s="215">
        <v>119</v>
      </c>
      <c r="B408" s="216" t="s">
        <v>2020</v>
      </c>
      <c r="C408" s="69" t="s">
        <v>1601</v>
      </c>
      <c r="D408" s="1" t="s">
        <v>485</v>
      </c>
      <c r="E408" s="69" t="s">
        <v>1602</v>
      </c>
      <c r="F408" s="1" t="s">
        <v>511</v>
      </c>
      <c r="G408" s="1" t="s">
        <v>512</v>
      </c>
      <c r="H408" s="7" t="s">
        <v>513</v>
      </c>
      <c r="I408" s="1" t="s">
        <v>1828</v>
      </c>
      <c r="J408" s="1" t="s">
        <v>1951</v>
      </c>
      <c r="K408" s="69">
        <v>801116</v>
      </c>
      <c r="L408" s="69" t="s">
        <v>1603</v>
      </c>
      <c r="M408" s="69" t="s">
        <v>1604</v>
      </c>
      <c r="N408" s="69" t="s">
        <v>1605</v>
      </c>
      <c r="O408" s="69" t="s">
        <v>1606</v>
      </c>
      <c r="P408" s="7" t="s">
        <v>2021</v>
      </c>
      <c r="Q408" s="92">
        <v>4532000</v>
      </c>
      <c r="R408" s="1">
        <v>1</v>
      </c>
      <c r="S408" s="92">
        <f>21149333-21149333</f>
        <v>0</v>
      </c>
      <c r="T408" s="88" t="s">
        <v>1619</v>
      </c>
      <c r="U408" s="1" t="s">
        <v>58</v>
      </c>
      <c r="V408" s="31">
        <v>43296</v>
      </c>
      <c r="W408" s="90">
        <v>1</v>
      </c>
      <c r="X408" s="20"/>
      <c r="Y408" s="31"/>
      <c r="Z408" s="92"/>
      <c r="AA408" s="107"/>
      <c r="AB408" s="1"/>
      <c r="AC408" s="230"/>
      <c r="AD408" s="92"/>
      <c r="AE408" s="1"/>
      <c r="AF408" s="1"/>
      <c r="AG408" s="31"/>
      <c r="AH408" s="94"/>
      <c r="AI408" s="107"/>
      <c r="AJ408" s="1"/>
      <c r="AK408" s="1"/>
      <c r="AL408" s="94"/>
      <c r="AM408" s="94"/>
      <c r="AN408" s="94"/>
      <c r="AO408" s="1"/>
      <c r="AP408" s="1"/>
      <c r="AQ408" s="1"/>
      <c r="AR408" s="31"/>
      <c r="AS408" s="1"/>
      <c r="AT408" s="31"/>
      <c r="AU408" s="1"/>
      <c r="AV408" s="51"/>
    </row>
    <row r="409" spans="1:48" ht="409.6" thickTop="1" thickBot="1" x14ac:dyDescent="0.25">
      <c r="A409" s="215">
        <v>120</v>
      </c>
      <c r="B409" s="216" t="s">
        <v>2022</v>
      </c>
      <c r="C409" s="69" t="s">
        <v>1601</v>
      </c>
      <c r="D409" s="1" t="s">
        <v>485</v>
      </c>
      <c r="E409" s="69" t="s">
        <v>1602</v>
      </c>
      <c r="F409" s="1" t="s">
        <v>511</v>
      </c>
      <c r="G409" s="1" t="s">
        <v>512</v>
      </c>
      <c r="H409" s="7" t="s">
        <v>513</v>
      </c>
      <c r="I409" s="1" t="s">
        <v>1828</v>
      </c>
      <c r="J409" s="1" t="s">
        <v>1951</v>
      </c>
      <c r="K409" s="69">
        <v>801116</v>
      </c>
      <c r="L409" s="69" t="s">
        <v>1603</v>
      </c>
      <c r="M409" s="69" t="s">
        <v>1604</v>
      </c>
      <c r="N409" s="69" t="s">
        <v>1605</v>
      </c>
      <c r="O409" s="69" t="s">
        <v>1606</v>
      </c>
      <c r="P409" s="7" t="s">
        <v>1656</v>
      </c>
      <c r="Q409" s="92">
        <v>3129655</v>
      </c>
      <c r="R409" s="1">
        <v>1</v>
      </c>
      <c r="S409" s="92">
        <v>12518620</v>
      </c>
      <c r="T409" s="88" t="s">
        <v>1619</v>
      </c>
      <c r="U409" s="1" t="s">
        <v>58</v>
      </c>
      <c r="V409" s="31">
        <v>43296</v>
      </c>
      <c r="W409" s="90">
        <v>1</v>
      </c>
      <c r="X409" s="20"/>
      <c r="Y409" s="31"/>
      <c r="Z409" s="92"/>
      <c r="AA409" s="107"/>
      <c r="AB409" s="1"/>
      <c r="AC409" s="230"/>
      <c r="AD409" s="92"/>
      <c r="AE409" s="1"/>
      <c r="AF409" s="1"/>
      <c r="AG409" s="31"/>
      <c r="AH409" s="94"/>
      <c r="AI409" s="107"/>
      <c r="AJ409" s="1"/>
      <c r="AK409" s="1"/>
      <c r="AL409" s="94"/>
      <c r="AM409" s="94"/>
      <c r="AN409" s="94"/>
      <c r="AO409" s="1"/>
      <c r="AP409" s="1"/>
      <c r="AQ409" s="1"/>
      <c r="AR409" s="31"/>
      <c r="AS409" s="1"/>
      <c r="AT409" s="31"/>
      <c r="AU409" s="1"/>
      <c r="AV409" s="51"/>
    </row>
    <row r="410" spans="1:48" ht="409.6" thickTop="1" thickBot="1" x14ac:dyDescent="0.25">
      <c r="A410" s="215">
        <v>121</v>
      </c>
      <c r="B410" s="216" t="s">
        <v>2023</v>
      </c>
      <c r="C410" s="69" t="s">
        <v>1601</v>
      </c>
      <c r="D410" s="1" t="s">
        <v>485</v>
      </c>
      <c r="E410" s="69" t="s">
        <v>1602</v>
      </c>
      <c r="F410" s="1" t="s">
        <v>511</v>
      </c>
      <c r="G410" s="1" t="s">
        <v>512</v>
      </c>
      <c r="H410" s="7" t="s">
        <v>513</v>
      </c>
      <c r="I410" s="1" t="s">
        <v>1828</v>
      </c>
      <c r="J410" s="1" t="s">
        <v>1951</v>
      </c>
      <c r="K410" s="69">
        <v>801116</v>
      </c>
      <c r="L410" s="69" t="s">
        <v>1603</v>
      </c>
      <c r="M410" s="69" t="s">
        <v>1604</v>
      </c>
      <c r="N410" s="69" t="s">
        <v>1605</v>
      </c>
      <c r="O410" s="69" t="s">
        <v>1606</v>
      </c>
      <c r="P410" s="7" t="s">
        <v>1939</v>
      </c>
      <c r="Q410" s="92">
        <v>3500970</v>
      </c>
      <c r="R410" s="1">
        <v>1</v>
      </c>
      <c r="S410" s="92">
        <v>10502910</v>
      </c>
      <c r="T410" s="88" t="s">
        <v>1619</v>
      </c>
      <c r="U410" s="1" t="s">
        <v>58</v>
      </c>
      <c r="V410" s="31">
        <v>43296</v>
      </c>
      <c r="W410" s="90">
        <v>1</v>
      </c>
      <c r="X410" s="20"/>
      <c r="Y410" s="31"/>
      <c r="Z410" s="92"/>
      <c r="AA410" s="107"/>
      <c r="AB410" s="1"/>
      <c r="AC410" s="230"/>
      <c r="AD410" s="92"/>
      <c r="AE410" s="1"/>
      <c r="AF410" s="1"/>
      <c r="AG410" s="31"/>
      <c r="AH410" s="94"/>
      <c r="AI410" s="107"/>
      <c r="AJ410" s="1"/>
      <c r="AK410" s="1"/>
      <c r="AL410" s="94"/>
      <c r="AM410" s="94"/>
      <c r="AN410" s="94"/>
      <c r="AO410" s="1"/>
      <c r="AP410" s="1"/>
      <c r="AQ410" s="1"/>
      <c r="AR410" s="31"/>
      <c r="AS410" s="1"/>
      <c r="AT410" s="31"/>
      <c r="AU410" s="1"/>
      <c r="AV410" s="51"/>
    </row>
    <row r="411" spans="1:48" ht="358.5" thickTop="1" thickBot="1" x14ac:dyDescent="0.25">
      <c r="A411" s="215">
        <v>122</v>
      </c>
      <c r="B411" s="216" t="s">
        <v>2024</v>
      </c>
      <c r="C411" s="69" t="s">
        <v>1601</v>
      </c>
      <c r="D411" s="1" t="s">
        <v>485</v>
      </c>
      <c r="E411" s="69" t="s">
        <v>1602</v>
      </c>
      <c r="F411" s="1" t="s">
        <v>511</v>
      </c>
      <c r="G411" s="1" t="s">
        <v>512</v>
      </c>
      <c r="H411" s="7" t="s">
        <v>513</v>
      </c>
      <c r="I411" s="1" t="s">
        <v>1828</v>
      </c>
      <c r="J411" s="1" t="s">
        <v>1951</v>
      </c>
      <c r="K411" s="69">
        <v>801116</v>
      </c>
      <c r="L411" s="69" t="s">
        <v>1603</v>
      </c>
      <c r="M411" s="69" t="s">
        <v>1604</v>
      </c>
      <c r="N411" s="69" t="s">
        <v>1605</v>
      </c>
      <c r="O411" s="69" t="s">
        <v>1606</v>
      </c>
      <c r="P411" s="7" t="s">
        <v>1945</v>
      </c>
      <c r="Q411" s="92">
        <v>2546160</v>
      </c>
      <c r="R411" s="1">
        <v>1</v>
      </c>
      <c r="S411" s="92">
        <v>7638480</v>
      </c>
      <c r="T411" s="88" t="s">
        <v>1619</v>
      </c>
      <c r="U411" s="1" t="s">
        <v>58</v>
      </c>
      <c r="V411" s="31">
        <v>43296</v>
      </c>
      <c r="W411" s="90">
        <v>1</v>
      </c>
      <c r="X411" s="20"/>
      <c r="Y411" s="31"/>
      <c r="Z411" s="92"/>
      <c r="AA411" s="107"/>
      <c r="AB411" s="1"/>
      <c r="AC411" s="230"/>
      <c r="AD411" s="92"/>
      <c r="AE411" s="1"/>
      <c r="AF411" s="1"/>
      <c r="AG411" s="31"/>
      <c r="AH411" s="94"/>
      <c r="AI411" s="107"/>
      <c r="AJ411" s="1"/>
      <c r="AK411" s="1"/>
      <c r="AL411" s="94"/>
      <c r="AM411" s="94"/>
      <c r="AN411" s="94"/>
      <c r="AO411" s="1"/>
      <c r="AP411" s="1"/>
      <c r="AQ411" s="1"/>
      <c r="AR411" s="31"/>
      <c r="AS411" s="1"/>
      <c r="AT411" s="31"/>
      <c r="AU411" s="1"/>
      <c r="AV411" s="51"/>
    </row>
    <row r="412" spans="1:48" ht="320.25" thickTop="1" thickBot="1" x14ac:dyDescent="0.25">
      <c r="A412" s="215">
        <v>123</v>
      </c>
      <c r="B412" s="216" t="s">
        <v>2025</v>
      </c>
      <c r="C412" s="69" t="s">
        <v>1601</v>
      </c>
      <c r="D412" s="1" t="s">
        <v>485</v>
      </c>
      <c r="E412" s="69" t="s">
        <v>1602</v>
      </c>
      <c r="F412" s="1" t="s">
        <v>511</v>
      </c>
      <c r="G412" s="1" t="s">
        <v>512</v>
      </c>
      <c r="H412" s="7" t="s">
        <v>513</v>
      </c>
      <c r="I412" s="1" t="s">
        <v>1828</v>
      </c>
      <c r="J412" s="1" t="s">
        <v>1951</v>
      </c>
      <c r="K412" s="69">
        <v>801116</v>
      </c>
      <c r="L412" s="69" t="s">
        <v>1603</v>
      </c>
      <c r="M412" s="69" t="s">
        <v>1604</v>
      </c>
      <c r="N412" s="69" t="s">
        <v>1605</v>
      </c>
      <c r="O412" s="69" t="s">
        <v>1606</v>
      </c>
      <c r="P412" s="231" t="s">
        <v>2026</v>
      </c>
      <c r="Q412" s="92">
        <v>4532000</v>
      </c>
      <c r="R412" s="1">
        <v>1</v>
      </c>
      <c r="S412" s="92">
        <f>24926000-2581810-1510667-2231667-291833-755333</f>
        <v>17554690</v>
      </c>
      <c r="T412" s="88" t="s">
        <v>1619</v>
      </c>
      <c r="U412" s="1" t="s">
        <v>58</v>
      </c>
      <c r="V412" s="31">
        <v>43296</v>
      </c>
      <c r="W412" s="90">
        <v>1</v>
      </c>
      <c r="X412" s="20"/>
      <c r="Y412" s="31"/>
      <c r="Z412" s="92"/>
      <c r="AA412" s="107"/>
      <c r="AB412" s="1"/>
      <c r="AC412" s="230"/>
      <c r="AD412" s="92"/>
      <c r="AE412" s="1"/>
      <c r="AF412" s="1"/>
      <c r="AG412" s="31"/>
      <c r="AH412" s="94"/>
      <c r="AI412" s="107"/>
      <c r="AJ412" s="1"/>
      <c r="AK412" s="1"/>
      <c r="AL412" s="94"/>
      <c r="AM412" s="94"/>
      <c r="AN412" s="94"/>
      <c r="AO412" s="1"/>
      <c r="AP412" s="1"/>
      <c r="AQ412" s="1"/>
      <c r="AR412" s="31"/>
      <c r="AS412" s="1"/>
      <c r="AT412" s="31"/>
      <c r="AU412" s="1"/>
      <c r="AV412" s="51"/>
    </row>
    <row r="413" spans="1:48" ht="320.25" thickTop="1" thickBot="1" x14ac:dyDescent="0.25">
      <c r="A413" s="215">
        <v>124</v>
      </c>
      <c r="B413" s="216" t="s">
        <v>2027</v>
      </c>
      <c r="C413" s="69" t="s">
        <v>1601</v>
      </c>
      <c r="D413" s="1" t="s">
        <v>485</v>
      </c>
      <c r="E413" s="69" t="s">
        <v>1602</v>
      </c>
      <c r="F413" s="1" t="s">
        <v>511</v>
      </c>
      <c r="G413" s="1" t="s">
        <v>512</v>
      </c>
      <c r="H413" s="7" t="s">
        <v>513</v>
      </c>
      <c r="I413" s="1" t="s">
        <v>1828</v>
      </c>
      <c r="J413" s="1" t="s">
        <v>1951</v>
      </c>
      <c r="K413" s="69">
        <v>801116</v>
      </c>
      <c r="L413" s="69" t="s">
        <v>1603</v>
      </c>
      <c r="M413" s="69" t="s">
        <v>1604</v>
      </c>
      <c r="N413" s="69" t="s">
        <v>1605</v>
      </c>
      <c r="O413" s="69" t="s">
        <v>1606</v>
      </c>
      <c r="P413" s="231" t="s">
        <v>1991</v>
      </c>
      <c r="Q413" s="92">
        <v>1751000</v>
      </c>
      <c r="R413" s="1">
        <v>1</v>
      </c>
      <c r="S413" s="92">
        <f>9572133-8755000-817133</f>
        <v>0</v>
      </c>
      <c r="T413" s="88" t="s">
        <v>1619</v>
      </c>
      <c r="U413" s="1" t="s">
        <v>58</v>
      </c>
      <c r="V413" s="31">
        <v>43296</v>
      </c>
      <c r="W413" s="90">
        <v>1</v>
      </c>
      <c r="X413" s="20"/>
      <c r="Y413" s="31"/>
      <c r="Z413" s="92"/>
      <c r="AA413" s="107"/>
      <c r="AB413" s="1"/>
      <c r="AC413" s="230"/>
      <c r="AD413" s="92"/>
      <c r="AE413" s="1"/>
      <c r="AF413" s="1"/>
      <c r="AG413" s="31"/>
      <c r="AH413" s="94"/>
      <c r="AI413" s="107"/>
      <c r="AJ413" s="1"/>
      <c r="AK413" s="1"/>
      <c r="AL413" s="94"/>
      <c r="AM413" s="94"/>
      <c r="AN413" s="94"/>
      <c r="AO413" s="1"/>
      <c r="AP413" s="1"/>
      <c r="AQ413" s="1"/>
      <c r="AR413" s="31"/>
      <c r="AS413" s="1"/>
      <c r="AT413" s="31"/>
      <c r="AU413" s="1"/>
      <c r="AV413" s="51"/>
    </row>
    <row r="414" spans="1:48" ht="320.25" thickTop="1" thickBot="1" x14ac:dyDescent="0.25">
      <c r="A414" s="215">
        <v>125</v>
      </c>
      <c r="B414" s="216" t="s">
        <v>2028</v>
      </c>
      <c r="C414" s="69" t="s">
        <v>1601</v>
      </c>
      <c r="D414" s="1" t="s">
        <v>485</v>
      </c>
      <c r="E414" s="69" t="s">
        <v>1602</v>
      </c>
      <c r="F414" s="1" t="s">
        <v>511</v>
      </c>
      <c r="G414" s="1" t="s">
        <v>512</v>
      </c>
      <c r="H414" s="7" t="s">
        <v>513</v>
      </c>
      <c r="I414" s="1" t="s">
        <v>1828</v>
      </c>
      <c r="J414" s="1" t="s">
        <v>1951</v>
      </c>
      <c r="K414" s="69">
        <v>801116</v>
      </c>
      <c r="L414" s="69" t="s">
        <v>1603</v>
      </c>
      <c r="M414" s="69" t="s">
        <v>1604</v>
      </c>
      <c r="N414" s="69" t="s">
        <v>1605</v>
      </c>
      <c r="O414" s="69" t="s">
        <v>1606</v>
      </c>
      <c r="P414" s="231" t="s">
        <v>2029</v>
      </c>
      <c r="Q414" s="92">
        <v>3399000</v>
      </c>
      <c r="R414" s="1">
        <v>1</v>
      </c>
      <c r="S414" s="92">
        <f>18694500-3399000-2169867-13125633</f>
        <v>0</v>
      </c>
      <c r="T414" s="88" t="s">
        <v>1619</v>
      </c>
      <c r="U414" s="1" t="s">
        <v>58</v>
      </c>
      <c r="V414" s="31">
        <v>43296</v>
      </c>
      <c r="W414" s="90">
        <v>1</v>
      </c>
      <c r="X414" s="20"/>
      <c r="Y414" s="31"/>
      <c r="Z414" s="92"/>
      <c r="AA414" s="107"/>
      <c r="AB414" s="1"/>
      <c r="AC414" s="230"/>
      <c r="AD414" s="92"/>
      <c r="AE414" s="1"/>
      <c r="AF414" s="1"/>
      <c r="AG414" s="31"/>
      <c r="AH414" s="94"/>
      <c r="AI414" s="107"/>
      <c r="AJ414" s="1"/>
      <c r="AK414" s="1"/>
      <c r="AL414" s="94"/>
      <c r="AM414" s="94"/>
      <c r="AN414" s="94"/>
      <c r="AO414" s="1"/>
      <c r="AP414" s="1"/>
      <c r="AQ414" s="1"/>
      <c r="AR414" s="31"/>
      <c r="AS414" s="1"/>
      <c r="AT414" s="31"/>
      <c r="AU414" s="1"/>
      <c r="AV414" s="51"/>
    </row>
    <row r="415" spans="1:48" ht="333" thickTop="1" thickBot="1" x14ac:dyDescent="0.25">
      <c r="A415" s="215">
        <v>126</v>
      </c>
      <c r="B415" s="216" t="s">
        <v>2030</v>
      </c>
      <c r="C415" s="69" t="s">
        <v>1601</v>
      </c>
      <c r="D415" s="1" t="s">
        <v>485</v>
      </c>
      <c r="E415" s="69" t="s">
        <v>1602</v>
      </c>
      <c r="F415" s="1" t="s">
        <v>511</v>
      </c>
      <c r="G415" s="1" t="s">
        <v>512</v>
      </c>
      <c r="H415" s="7" t="s">
        <v>513</v>
      </c>
      <c r="I415" s="1" t="s">
        <v>1828</v>
      </c>
      <c r="J415" s="1" t="s">
        <v>1951</v>
      </c>
      <c r="K415" s="69">
        <v>801116</v>
      </c>
      <c r="L415" s="69" t="s">
        <v>1603</v>
      </c>
      <c r="M415" s="69" t="s">
        <v>1604</v>
      </c>
      <c r="N415" s="69" t="s">
        <v>1605</v>
      </c>
      <c r="O415" s="69" t="s">
        <v>1606</v>
      </c>
      <c r="P415" s="231" t="s">
        <v>1955</v>
      </c>
      <c r="Q415" s="92">
        <v>5253000</v>
      </c>
      <c r="R415" s="1">
        <v>1</v>
      </c>
      <c r="S415" s="92">
        <f>28940557-1133000-4639367-16995000-6173190</f>
        <v>0</v>
      </c>
      <c r="T415" s="88" t="s">
        <v>1619</v>
      </c>
      <c r="U415" s="1" t="s">
        <v>58</v>
      </c>
      <c r="V415" s="31">
        <v>43296</v>
      </c>
      <c r="W415" s="90">
        <v>1</v>
      </c>
      <c r="X415" s="20"/>
      <c r="Y415" s="31"/>
      <c r="Z415" s="92"/>
      <c r="AA415" s="107"/>
      <c r="AB415" s="1"/>
      <c r="AC415" s="230"/>
      <c r="AD415" s="92"/>
      <c r="AE415" s="1"/>
      <c r="AF415" s="1"/>
      <c r="AG415" s="31"/>
      <c r="AH415" s="94"/>
      <c r="AI415" s="107"/>
      <c r="AJ415" s="1"/>
      <c r="AK415" s="1"/>
      <c r="AL415" s="94"/>
      <c r="AM415" s="94"/>
      <c r="AN415" s="94"/>
      <c r="AO415" s="1"/>
      <c r="AP415" s="1"/>
      <c r="AQ415" s="1"/>
      <c r="AR415" s="31"/>
      <c r="AS415" s="1"/>
      <c r="AT415" s="31"/>
      <c r="AU415" s="1"/>
      <c r="AV415" s="51"/>
    </row>
    <row r="416" spans="1:48" ht="320.25" thickTop="1" thickBot="1" x14ac:dyDescent="0.25">
      <c r="A416" s="215">
        <v>127</v>
      </c>
      <c r="B416" s="216" t="s">
        <v>2031</v>
      </c>
      <c r="C416" s="69" t="s">
        <v>1601</v>
      </c>
      <c r="D416" s="1" t="s">
        <v>485</v>
      </c>
      <c r="E416" s="69" t="s">
        <v>1602</v>
      </c>
      <c r="F416" s="1" t="s">
        <v>511</v>
      </c>
      <c r="G416" s="1" t="s">
        <v>512</v>
      </c>
      <c r="H416" s="7" t="s">
        <v>513</v>
      </c>
      <c r="I416" s="1" t="s">
        <v>1828</v>
      </c>
      <c r="J416" s="1" t="s">
        <v>1951</v>
      </c>
      <c r="K416" s="69">
        <v>801116</v>
      </c>
      <c r="L416" s="69" t="s">
        <v>1603</v>
      </c>
      <c r="M416" s="69" t="s">
        <v>1604</v>
      </c>
      <c r="N416" s="69" t="s">
        <v>1605</v>
      </c>
      <c r="O416" s="69" t="s">
        <v>1606</v>
      </c>
      <c r="P416" s="7" t="s">
        <v>2032</v>
      </c>
      <c r="Q416" s="92"/>
      <c r="R416" s="1">
        <v>1</v>
      </c>
      <c r="S416" s="92">
        <v>8755000</v>
      </c>
      <c r="T416" s="88" t="s">
        <v>1619</v>
      </c>
      <c r="U416" s="1" t="s">
        <v>58</v>
      </c>
      <c r="V416" s="31">
        <v>43293</v>
      </c>
      <c r="W416" s="90">
        <v>5</v>
      </c>
      <c r="X416" s="20" t="s">
        <v>2033</v>
      </c>
      <c r="Y416" s="31"/>
      <c r="Z416" s="92"/>
      <c r="AA416" s="107"/>
      <c r="AB416" s="1"/>
      <c r="AC416" s="230"/>
      <c r="AD416" s="92"/>
      <c r="AE416" s="1"/>
      <c r="AF416" s="1">
        <v>2512</v>
      </c>
      <c r="AG416" s="31"/>
      <c r="AH416" s="94">
        <v>7725000</v>
      </c>
      <c r="AI416" s="107" t="s">
        <v>2034</v>
      </c>
      <c r="AJ416" s="1"/>
      <c r="AK416" s="1"/>
      <c r="AL416" s="94"/>
      <c r="AM416" s="94">
        <f>+VLOOKUP(AF416,'[1]Compromisos CRP a 31 Julio de 2'!$J$428:$V$2707,13,0)</f>
        <v>0</v>
      </c>
      <c r="AN416" s="94"/>
      <c r="AO416" s="1"/>
      <c r="AP416" s="1"/>
      <c r="AQ416" s="1"/>
      <c r="AR416" s="31"/>
      <c r="AS416" s="1"/>
      <c r="AT416" s="31"/>
      <c r="AU416" s="1"/>
      <c r="AV416" s="51"/>
    </row>
    <row r="417" spans="1:48" ht="333" thickTop="1" thickBot="1" x14ac:dyDescent="0.25">
      <c r="A417" s="215">
        <v>128</v>
      </c>
      <c r="B417" s="216" t="s">
        <v>2035</v>
      </c>
      <c r="C417" s="69" t="s">
        <v>1601</v>
      </c>
      <c r="D417" s="1" t="s">
        <v>485</v>
      </c>
      <c r="E417" s="69" t="s">
        <v>1602</v>
      </c>
      <c r="F417" s="1" t="s">
        <v>511</v>
      </c>
      <c r="G417" s="1" t="s">
        <v>512</v>
      </c>
      <c r="H417" s="7" t="s">
        <v>513</v>
      </c>
      <c r="I417" s="1" t="s">
        <v>1828</v>
      </c>
      <c r="J417" s="1" t="s">
        <v>1951</v>
      </c>
      <c r="K417" s="69">
        <v>801116</v>
      </c>
      <c r="L417" s="69" t="s">
        <v>1603</v>
      </c>
      <c r="M417" s="69" t="s">
        <v>1604</v>
      </c>
      <c r="N417" s="69" t="s">
        <v>1605</v>
      </c>
      <c r="O417" s="69" t="s">
        <v>1606</v>
      </c>
      <c r="P417" s="7" t="s">
        <v>1955</v>
      </c>
      <c r="Q417" s="92"/>
      <c r="R417" s="1">
        <v>1</v>
      </c>
      <c r="S417" s="92">
        <f>29767000+1133000</f>
        <v>30900000</v>
      </c>
      <c r="T417" s="88" t="s">
        <v>1619</v>
      </c>
      <c r="U417" s="1" t="s">
        <v>58</v>
      </c>
      <c r="V417" s="31">
        <v>43293</v>
      </c>
      <c r="W417" s="90">
        <v>5</v>
      </c>
      <c r="X417" s="20" t="s">
        <v>2036</v>
      </c>
      <c r="Y417" s="31"/>
      <c r="Z417" s="92"/>
      <c r="AA417" s="107"/>
      <c r="AB417" s="1"/>
      <c r="AC417" s="230"/>
      <c r="AD417" s="92"/>
      <c r="AE417" s="1"/>
      <c r="AF417" s="1"/>
      <c r="AG417" s="31"/>
      <c r="AH417" s="94"/>
      <c r="AI417" s="107"/>
      <c r="AJ417" s="1"/>
      <c r="AK417" s="1"/>
      <c r="AL417" s="94"/>
      <c r="AM417" s="94"/>
      <c r="AN417" s="94"/>
      <c r="AO417" s="1"/>
      <c r="AP417" s="1"/>
      <c r="AQ417" s="1"/>
      <c r="AR417" s="31"/>
      <c r="AS417" s="1"/>
      <c r="AT417" s="31"/>
      <c r="AU417" s="1"/>
      <c r="AV417" s="51"/>
    </row>
    <row r="418" spans="1:48" ht="320.25" thickTop="1" thickBot="1" x14ac:dyDescent="0.25">
      <c r="A418" s="215">
        <v>129</v>
      </c>
      <c r="B418" s="216" t="s">
        <v>2037</v>
      </c>
      <c r="C418" s="69" t="s">
        <v>1601</v>
      </c>
      <c r="D418" s="1" t="s">
        <v>485</v>
      </c>
      <c r="E418" s="69" t="s">
        <v>1602</v>
      </c>
      <c r="F418" s="1" t="s">
        <v>511</v>
      </c>
      <c r="G418" s="1" t="s">
        <v>512</v>
      </c>
      <c r="H418" s="7" t="s">
        <v>513</v>
      </c>
      <c r="I418" s="1" t="s">
        <v>1828</v>
      </c>
      <c r="J418" s="1" t="s">
        <v>1951</v>
      </c>
      <c r="K418" s="69">
        <v>801116</v>
      </c>
      <c r="L418" s="69" t="s">
        <v>1603</v>
      </c>
      <c r="M418" s="69" t="s">
        <v>1604</v>
      </c>
      <c r="N418" s="69" t="s">
        <v>1605</v>
      </c>
      <c r="O418" s="69" t="s">
        <v>1606</v>
      </c>
      <c r="P418" s="7" t="s">
        <v>2029</v>
      </c>
      <c r="Q418" s="92">
        <v>4532000</v>
      </c>
      <c r="R418" s="1">
        <v>1</v>
      </c>
      <c r="S418" s="92">
        <f>+Q418*5</f>
        <v>22660000</v>
      </c>
      <c r="T418" s="88" t="s">
        <v>1619</v>
      </c>
      <c r="U418" s="1" t="s">
        <v>58</v>
      </c>
      <c r="V418" s="31">
        <v>43293</v>
      </c>
      <c r="W418" s="90">
        <v>5</v>
      </c>
      <c r="X418" s="20" t="s">
        <v>2038</v>
      </c>
      <c r="Y418" s="31"/>
      <c r="Z418" s="92"/>
      <c r="AA418" s="107"/>
      <c r="AB418" s="1"/>
      <c r="AC418" s="230"/>
      <c r="AD418" s="92"/>
      <c r="AE418" s="1"/>
      <c r="AF418" s="1"/>
      <c r="AG418" s="31"/>
      <c r="AH418" s="94"/>
      <c r="AI418" s="107"/>
      <c r="AJ418" s="1"/>
      <c r="AK418" s="1"/>
      <c r="AL418" s="94"/>
      <c r="AM418" s="94"/>
      <c r="AN418" s="94"/>
      <c r="AO418" s="1"/>
      <c r="AP418" s="1"/>
      <c r="AQ418" s="1"/>
      <c r="AR418" s="31"/>
      <c r="AS418" s="1"/>
      <c r="AT418" s="31"/>
      <c r="AU418" s="1"/>
      <c r="AV418" s="51"/>
    </row>
    <row r="419" spans="1:48" ht="358.5" thickTop="1" thickBot="1" x14ac:dyDescent="0.25">
      <c r="A419" s="215">
        <v>130</v>
      </c>
      <c r="B419" s="216" t="s">
        <v>2039</v>
      </c>
      <c r="C419" s="69" t="s">
        <v>1601</v>
      </c>
      <c r="D419" s="1" t="s">
        <v>485</v>
      </c>
      <c r="E419" s="69" t="s">
        <v>1602</v>
      </c>
      <c r="F419" s="1" t="s">
        <v>511</v>
      </c>
      <c r="G419" s="1" t="s">
        <v>512</v>
      </c>
      <c r="H419" s="7" t="s">
        <v>513</v>
      </c>
      <c r="I419" s="1" t="s">
        <v>54</v>
      </c>
      <c r="J419" s="69" t="s">
        <v>55</v>
      </c>
      <c r="K419" s="69">
        <v>801116</v>
      </c>
      <c r="L419" s="69" t="s">
        <v>1603</v>
      </c>
      <c r="M419" s="69" t="s">
        <v>1604</v>
      </c>
      <c r="N419" s="69" t="s">
        <v>1605</v>
      </c>
      <c r="O419" s="69" t="s">
        <v>1606</v>
      </c>
      <c r="P419" s="7" t="s">
        <v>2040</v>
      </c>
      <c r="Q419" s="92">
        <f>+S419/5</f>
        <v>0</v>
      </c>
      <c r="R419" s="1">
        <v>1</v>
      </c>
      <c r="S419" s="92">
        <f>15000000+7335000+2848500-15000000-7335000-2848500</f>
        <v>0</v>
      </c>
      <c r="T419" s="88" t="s">
        <v>1619</v>
      </c>
      <c r="U419" s="1" t="s">
        <v>58</v>
      </c>
      <c r="V419" s="31">
        <v>43293</v>
      </c>
      <c r="W419" s="90">
        <v>5</v>
      </c>
      <c r="X419" s="20" t="s">
        <v>2041</v>
      </c>
      <c r="Y419" s="31"/>
      <c r="Z419" s="92"/>
      <c r="AA419" s="107"/>
      <c r="AB419" s="1"/>
      <c r="AC419" s="230"/>
      <c r="AD419" s="92"/>
      <c r="AE419" s="1"/>
      <c r="AF419" s="1"/>
      <c r="AG419" s="31"/>
      <c r="AH419" s="94"/>
      <c r="AI419" s="107"/>
      <c r="AJ419" s="1"/>
      <c r="AK419" s="1"/>
      <c r="AL419" s="94"/>
      <c r="AM419" s="94"/>
      <c r="AN419" s="94"/>
      <c r="AO419" s="1"/>
      <c r="AP419" s="1"/>
      <c r="AQ419" s="1" t="s">
        <v>2042</v>
      </c>
      <c r="AR419" s="31"/>
      <c r="AS419" s="1"/>
      <c r="AT419" s="31"/>
      <c r="AU419" s="1"/>
      <c r="AV419" s="51"/>
    </row>
    <row r="420" spans="1:48" ht="409.6" thickTop="1" thickBot="1" x14ac:dyDescent="0.25">
      <c r="A420" s="215">
        <v>131</v>
      </c>
      <c r="B420" s="216" t="s">
        <v>2043</v>
      </c>
      <c r="C420" s="69" t="s">
        <v>1601</v>
      </c>
      <c r="D420" s="1" t="s">
        <v>485</v>
      </c>
      <c r="E420" s="69" t="s">
        <v>1610</v>
      </c>
      <c r="F420" s="1" t="s">
        <v>511</v>
      </c>
      <c r="G420" s="1" t="s">
        <v>512</v>
      </c>
      <c r="H420" s="7" t="s">
        <v>513</v>
      </c>
      <c r="I420" s="1" t="s">
        <v>54</v>
      </c>
      <c r="J420" s="69" t="s">
        <v>55</v>
      </c>
      <c r="K420" s="69">
        <v>801116</v>
      </c>
      <c r="L420" s="69" t="s">
        <v>1603</v>
      </c>
      <c r="M420" s="69" t="s">
        <v>1604</v>
      </c>
      <c r="N420" s="69" t="s">
        <v>1605</v>
      </c>
      <c r="O420" s="69" t="s">
        <v>1606</v>
      </c>
      <c r="P420" s="7" t="s">
        <v>2044</v>
      </c>
      <c r="Q420" s="92">
        <f t="shared" ref="Q420:Q425" si="38">+S420/W420</f>
        <v>9800000</v>
      </c>
      <c r="R420" s="1">
        <v>1</v>
      </c>
      <c r="S420" s="92">
        <v>49000000</v>
      </c>
      <c r="T420" s="88" t="s">
        <v>1619</v>
      </c>
      <c r="U420" s="1" t="s">
        <v>58</v>
      </c>
      <c r="V420" s="31">
        <v>43305</v>
      </c>
      <c r="W420" s="90">
        <v>5</v>
      </c>
      <c r="X420" s="20" t="s">
        <v>2045</v>
      </c>
      <c r="Y420" s="31"/>
      <c r="Z420" s="92">
        <v>49000000</v>
      </c>
      <c r="AA420" s="107"/>
      <c r="AB420" s="1"/>
      <c r="AC420" s="230"/>
      <c r="AD420" s="92"/>
      <c r="AE420" s="1"/>
      <c r="AF420" s="1"/>
      <c r="AG420" s="31"/>
      <c r="AH420" s="94"/>
      <c r="AI420" s="107"/>
      <c r="AJ420" s="1"/>
      <c r="AK420" s="1"/>
      <c r="AL420" s="94"/>
      <c r="AM420" s="94"/>
      <c r="AN420" s="94"/>
      <c r="AO420" s="1"/>
      <c r="AP420" s="1"/>
      <c r="AQ420" s="1"/>
      <c r="AR420" s="31"/>
      <c r="AS420" s="1"/>
      <c r="AT420" s="31"/>
      <c r="AU420" s="1"/>
      <c r="AV420" s="51"/>
    </row>
    <row r="421" spans="1:48" ht="409.6" thickTop="1" thickBot="1" x14ac:dyDescent="0.25">
      <c r="A421" s="215">
        <v>132</v>
      </c>
      <c r="B421" s="216" t="s">
        <v>2046</v>
      </c>
      <c r="C421" s="69" t="s">
        <v>1601</v>
      </c>
      <c r="D421" s="1" t="s">
        <v>485</v>
      </c>
      <c r="E421" s="69" t="s">
        <v>1602</v>
      </c>
      <c r="F421" s="1" t="s">
        <v>511</v>
      </c>
      <c r="G421" s="1" t="s">
        <v>512</v>
      </c>
      <c r="H421" s="7" t="s">
        <v>513</v>
      </c>
      <c r="I421" s="1" t="s">
        <v>54</v>
      </c>
      <c r="J421" s="69" t="s">
        <v>55</v>
      </c>
      <c r="K421" s="69">
        <v>801116</v>
      </c>
      <c r="L421" s="69" t="s">
        <v>1603</v>
      </c>
      <c r="M421" s="69" t="s">
        <v>1604</v>
      </c>
      <c r="N421" s="69" t="s">
        <v>1605</v>
      </c>
      <c r="O421" s="69" t="s">
        <v>1606</v>
      </c>
      <c r="P421" s="7" t="s">
        <v>2047</v>
      </c>
      <c r="Q421" s="92">
        <f t="shared" si="38"/>
        <v>6695000</v>
      </c>
      <c r="R421" s="1">
        <v>1</v>
      </c>
      <c r="S421" s="92">
        <f>3450000+4950000+3300000+4950000+3450000+4000000+3300000+1273500+4801500</f>
        <v>33475000</v>
      </c>
      <c r="T421" s="88" t="s">
        <v>1619</v>
      </c>
      <c r="U421" s="1" t="s">
        <v>58</v>
      </c>
      <c r="V421" s="31">
        <v>43293</v>
      </c>
      <c r="W421" s="90">
        <v>5</v>
      </c>
      <c r="X421" s="20" t="s">
        <v>2048</v>
      </c>
      <c r="Y421" s="31"/>
      <c r="Z421" s="92">
        <f>3450000+4950000+3300000+4950000+3450000+4000000+3300000+1273500+4801500</f>
        <v>33475000</v>
      </c>
      <c r="AA421" s="107"/>
      <c r="AB421" s="1"/>
      <c r="AC421" s="230"/>
      <c r="AD421" s="92"/>
      <c r="AE421" s="1"/>
      <c r="AF421" s="1"/>
      <c r="AG421" s="31"/>
      <c r="AH421" s="94"/>
      <c r="AI421" s="107"/>
      <c r="AJ421" s="1"/>
      <c r="AK421" s="1"/>
      <c r="AL421" s="94"/>
      <c r="AM421" s="94"/>
      <c r="AN421" s="94"/>
      <c r="AO421" s="1"/>
      <c r="AP421" s="1"/>
      <c r="AQ421" s="1"/>
      <c r="AR421" s="31"/>
      <c r="AS421" s="1"/>
      <c r="AT421" s="31"/>
      <c r="AU421" s="1"/>
      <c r="AV421" s="51"/>
    </row>
    <row r="422" spans="1:48" ht="320.25" thickTop="1" thickBot="1" x14ac:dyDescent="0.25">
      <c r="A422" s="215">
        <v>133</v>
      </c>
      <c r="B422" s="216" t="s">
        <v>2049</v>
      </c>
      <c r="C422" s="69" t="s">
        <v>1601</v>
      </c>
      <c r="D422" s="1" t="s">
        <v>485</v>
      </c>
      <c r="E422" s="69" t="s">
        <v>1602</v>
      </c>
      <c r="F422" s="1" t="s">
        <v>511</v>
      </c>
      <c r="G422" s="1" t="s">
        <v>512</v>
      </c>
      <c r="H422" s="7" t="s">
        <v>513</v>
      </c>
      <c r="I422" s="1" t="s">
        <v>1828</v>
      </c>
      <c r="J422" s="1" t="s">
        <v>1951</v>
      </c>
      <c r="K422" s="69">
        <v>801116</v>
      </c>
      <c r="L422" s="69" t="s">
        <v>1603</v>
      </c>
      <c r="M422" s="69" t="s">
        <v>1604</v>
      </c>
      <c r="N422" s="69" t="s">
        <v>1605</v>
      </c>
      <c r="O422" s="69" t="s">
        <v>1606</v>
      </c>
      <c r="P422" s="7" t="s">
        <v>2050</v>
      </c>
      <c r="Q422" s="92">
        <f t="shared" si="38"/>
        <v>3399000</v>
      </c>
      <c r="R422" s="1">
        <v>1</v>
      </c>
      <c r="S422" s="92">
        <v>16995000</v>
      </c>
      <c r="T422" s="88" t="s">
        <v>1619</v>
      </c>
      <c r="U422" s="1" t="s">
        <v>58</v>
      </c>
      <c r="V422" s="31">
        <v>43293</v>
      </c>
      <c r="W422" s="90">
        <v>5</v>
      </c>
      <c r="X422" s="20" t="s">
        <v>2051</v>
      </c>
      <c r="Y422" s="31"/>
      <c r="Z422" s="92">
        <v>16995000</v>
      </c>
      <c r="AA422" s="107"/>
      <c r="AB422" s="1"/>
      <c r="AC422" s="230"/>
      <c r="AD422" s="92"/>
      <c r="AE422" s="1"/>
      <c r="AF422" s="1"/>
      <c r="AG422" s="31"/>
      <c r="AH422" s="94"/>
      <c r="AI422" s="107"/>
      <c r="AJ422" s="1"/>
      <c r="AK422" s="1"/>
      <c r="AL422" s="94"/>
      <c r="AM422" s="94"/>
      <c r="AN422" s="94"/>
      <c r="AO422" s="1"/>
      <c r="AP422" s="1"/>
      <c r="AQ422" s="1"/>
      <c r="AR422" s="31"/>
      <c r="AS422" s="1"/>
      <c r="AT422" s="31"/>
      <c r="AU422" s="1"/>
      <c r="AV422" s="51"/>
    </row>
    <row r="423" spans="1:48" ht="333" thickTop="1" thickBot="1" x14ac:dyDescent="0.25">
      <c r="A423" s="215">
        <v>134</v>
      </c>
      <c r="B423" s="216" t="s">
        <v>2052</v>
      </c>
      <c r="C423" s="69" t="s">
        <v>1601</v>
      </c>
      <c r="D423" s="1" t="s">
        <v>485</v>
      </c>
      <c r="E423" s="69" t="s">
        <v>1602</v>
      </c>
      <c r="F423" s="1" t="s">
        <v>511</v>
      </c>
      <c r="G423" s="1" t="s">
        <v>512</v>
      </c>
      <c r="H423" s="7" t="s">
        <v>513</v>
      </c>
      <c r="I423" s="1" t="s">
        <v>1828</v>
      </c>
      <c r="J423" s="1" t="s">
        <v>1951</v>
      </c>
      <c r="K423" s="69">
        <v>801116</v>
      </c>
      <c r="L423" s="69" t="s">
        <v>1603</v>
      </c>
      <c r="M423" s="69" t="s">
        <v>1604</v>
      </c>
      <c r="N423" s="69" t="s">
        <v>1605</v>
      </c>
      <c r="O423" s="69" t="s">
        <v>1606</v>
      </c>
      <c r="P423" s="7" t="s">
        <v>2053</v>
      </c>
      <c r="Q423" s="92">
        <f t="shared" si="38"/>
        <v>3553000</v>
      </c>
      <c r="R423" s="1">
        <v>1</v>
      </c>
      <c r="S423" s="92">
        <v>17765000</v>
      </c>
      <c r="T423" s="88" t="s">
        <v>1619</v>
      </c>
      <c r="U423" s="1" t="s">
        <v>58</v>
      </c>
      <c r="V423" s="31">
        <v>43293</v>
      </c>
      <c r="W423" s="90">
        <v>5</v>
      </c>
      <c r="X423" s="20" t="s">
        <v>2054</v>
      </c>
      <c r="Y423" s="31"/>
      <c r="Z423" s="92">
        <v>17765000</v>
      </c>
      <c r="AA423" s="107"/>
      <c r="AB423" s="1"/>
      <c r="AC423" s="230"/>
      <c r="AD423" s="92"/>
      <c r="AE423" s="1"/>
      <c r="AF423" s="1"/>
      <c r="AG423" s="31"/>
      <c r="AH423" s="94"/>
      <c r="AI423" s="107"/>
      <c r="AJ423" s="1"/>
      <c r="AK423" s="1"/>
      <c r="AL423" s="94"/>
      <c r="AM423" s="94"/>
      <c r="AN423" s="94"/>
      <c r="AO423" s="1"/>
      <c r="AP423" s="1"/>
      <c r="AQ423" s="1"/>
      <c r="AR423" s="31"/>
      <c r="AS423" s="1"/>
      <c r="AT423" s="31"/>
      <c r="AU423" s="1"/>
      <c r="AV423" s="51"/>
    </row>
    <row r="424" spans="1:48" ht="320.25" thickTop="1" thickBot="1" x14ac:dyDescent="0.25">
      <c r="A424" s="215">
        <v>135</v>
      </c>
      <c r="B424" s="216" t="s">
        <v>2055</v>
      </c>
      <c r="C424" s="69" t="s">
        <v>1601</v>
      </c>
      <c r="D424" s="1" t="s">
        <v>485</v>
      </c>
      <c r="E424" s="69" t="s">
        <v>1602</v>
      </c>
      <c r="F424" s="1" t="s">
        <v>511</v>
      </c>
      <c r="G424" s="1" t="s">
        <v>512</v>
      </c>
      <c r="H424" s="7" t="s">
        <v>513</v>
      </c>
      <c r="I424" s="1" t="s">
        <v>1828</v>
      </c>
      <c r="J424" s="1" t="s">
        <v>1951</v>
      </c>
      <c r="K424" s="69">
        <v>801116</v>
      </c>
      <c r="L424" s="69" t="s">
        <v>1603</v>
      </c>
      <c r="M424" s="69" t="s">
        <v>1604</v>
      </c>
      <c r="N424" s="69" t="s">
        <v>1605</v>
      </c>
      <c r="O424" s="69" t="s">
        <v>1606</v>
      </c>
      <c r="P424" s="7" t="s">
        <v>2050</v>
      </c>
      <c r="Q424" s="92">
        <f t="shared" si="38"/>
        <v>3399000</v>
      </c>
      <c r="R424" s="1">
        <v>1</v>
      </c>
      <c r="S424" s="92">
        <v>16995000</v>
      </c>
      <c r="T424" s="88" t="s">
        <v>1619</v>
      </c>
      <c r="U424" s="1" t="s">
        <v>58</v>
      </c>
      <c r="V424" s="31">
        <v>43293</v>
      </c>
      <c r="W424" s="90">
        <v>5</v>
      </c>
      <c r="X424" s="20" t="s">
        <v>2056</v>
      </c>
      <c r="Y424" s="31"/>
      <c r="Z424" s="92">
        <v>16995000</v>
      </c>
      <c r="AA424" s="107"/>
      <c r="AB424" s="1"/>
      <c r="AC424" s="230"/>
      <c r="AD424" s="92"/>
      <c r="AE424" s="1"/>
      <c r="AF424" s="1"/>
      <c r="AG424" s="31"/>
      <c r="AH424" s="94"/>
      <c r="AI424" s="107"/>
      <c r="AJ424" s="1"/>
      <c r="AK424" s="1"/>
      <c r="AL424" s="94"/>
      <c r="AM424" s="94"/>
      <c r="AN424" s="94"/>
      <c r="AO424" s="1"/>
      <c r="AP424" s="1"/>
      <c r="AQ424" s="1"/>
      <c r="AR424" s="31"/>
      <c r="AS424" s="1"/>
      <c r="AT424" s="31"/>
      <c r="AU424" s="1"/>
      <c r="AV424" s="51"/>
    </row>
    <row r="425" spans="1:48" ht="320.25" thickTop="1" thickBot="1" x14ac:dyDescent="0.25">
      <c r="A425" s="215">
        <v>136</v>
      </c>
      <c r="B425" s="216" t="s">
        <v>2057</v>
      </c>
      <c r="C425" s="69" t="s">
        <v>1601</v>
      </c>
      <c r="D425" s="1" t="s">
        <v>485</v>
      </c>
      <c r="E425" s="69" t="s">
        <v>1602</v>
      </c>
      <c r="F425" s="1" t="s">
        <v>511</v>
      </c>
      <c r="G425" s="1" t="s">
        <v>512</v>
      </c>
      <c r="H425" s="7" t="s">
        <v>513</v>
      </c>
      <c r="I425" s="1" t="s">
        <v>1828</v>
      </c>
      <c r="J425" s="1" t="s">
        <v>1951</v>
      </c>
      <c r="K425" s="69">
        <v>801116</v>
      </c>
      <c r="L425" s="69" t="s">
        <v>1603</v>
      </c>
      <c r="M425" s="69" t="s">
        <v>1604</v>
      </c>
      <c r="N425" s="69" t="s">
        <v>1605</v>
      </c>
      <c r="O425" s="69" t="s">
        <v>1606</v>
      </c>
      <c r="P425" s="7" t="s">
        <v>1682</v>
      </c>
      <c r="Q425" s="92">
        <f t="shared" si="38"/>
        <v>1751000</v>
      </c>
      <c r="R425" s="1">
        <v>1</v>
      </c>
      <c r="S425" s="92">
        <v>8755000</v>
      </c>
      <c r="T425" s="88" t="s">
        <v>1619</v>
      </c>
      <c r="U425" s="1" t="s">
        <v>58</v>
      </c>
      <c r="V425" s="31">
        <v>43293</v>
      </c>
      <c r="W425" s="90">
        <v>5</v>
      </c>
      <c r="X425" s="20" t="s">
        <v>2058</v>
      </c>
      <c r="Y425" s="31"/>
      <c r="Z425" s="92">
        <v>8755000</v>
      </c>
      <c r="AA425" s="107"/>
      <c r="AB425" s="1"/>
      <c r="AC425" s="230"/>
      <c r="AD425" s="92"/>
      <c r="AE425" s="1"/>
      <c r="AF425" s="1"/>
      <c r="AG425" s="31"/>
      <c r="AH425" s="94"/>
      <c r="AI425" s="107"/>
      <c r="AJ425" s="1"/>
      <c r="AK425" s="1"/>
      <c r="AL425" s="94"/>
      <c r="AM425" s="94"/>
      <c r="AN425" s="94"/>
      <c r="AO425" s="1"/>
      <c r="AP425" s="1"/>
      <c r="AQ425" s="1"/>
      <c r="AR425" s="31"/>
      <c r="AS425" s="1"/>
      <c r="AT425" s="31"/>
      <c r="AU425" s="1"/>
      <c r="AV425" s="51"/>
    </row>
    <row r="426" spans="1:48" ht="320.25" thickTop="1" thickBot="1" x14ac:dyDescent="0.25">
      <c r="A426" s="215">
        <v>137</v>
      </c>
      <c r="B426" s="216" t="s">
        <v>2059</v>
      </c>
      <c r="C426" s="69" t="s">
        <v>1601</v>
      </c>
      <c r="D426" s="1" t="s">
        <v>485</v>
      </c>
      <c r="E426" s="69" t="s">
        <v>1602</v>
      </c>
      <c r="F426" s="1" t="s">
        <v>511</v>
      </c>
      <c r="G426" s="1" t="s">
        <v>512</v>
      </c>
      <c r="H426" s="7" t="s">
        <v>513</v>
      </c>
      <c r="I426" s="1" t="s">
        <v>1828</v>
      </c>
      <c r="J426" s="1" t="s">
        <v>1951</v>
      </c>
      <c r="K426" s="69">
        <v>801116</v>
      </c>
      <c r="L426" s="69" t="s">
        <v>1603</v>
      </c>
      <c r="M426" s="69" t="s">
        <v>1604</v>
      </c>
      <c r="N426" s="69" t="s">
        <v>1605</v>
      </c>
      <c r="O426" s="69" t="s">
        <v>1606</v>
      </c>
      <c r="P426" s="7" t="s">
        <v>2012</v>
      </c>
      <c r="Q426" s="92"/>
      <c r="R426" s="1">
        <v>1</v>
      </c>
      <c r="S426" s="92">
        <v>17175250</v>
      </c>
      <c r="T426" s="88" t="s">
        <v>1619</v>
      </c>
      <c r="U426" s="1" t="s">
        <v>58</v>
      </c>
      <c r="V426" s="31">
        <v>43307</v>
      </c>
      <c r="W426" s="90"/>
      <c r="X426" s="20" t="s">
        <v>2060</v>
      </c>
      <c r="Y426" s="31"/>
      <c r="Z426" s="92">
        <v>17175250</v>
      </c>
      <c r="AA426" s="107"/>
      <c r="AB426" s="1"/>
      <c r="AC426" s="230"/>
      <c r="AD426" s="92"/>
      <c r="AE426" s="1"/>
      <c r="AF426" s="1"/>
      <c r="AG426" s="31"/>
      <c r="AH426" s="94"/>
      <c r="AI426" s="107"/>
      <c r="AJ426" s="1"/>
      <c r="AK426" s="1"/>
      <c r="AL426" s="94"/>
      <c r="AM426" s="94"/>
      <c r="AN426" s="94"/>
      <c r="AO426" s="1"/>
      <c r="AP426" s="1"/>
      <c r="AQ426" s="1"/>
      <c r="AR426" s="31"/>
      <c r="AS426" s="1"/>
      <c r="AT426" s="31"/>
      <c r="AU426" s="1"/>
      <c r="AV426" s="51"/>
    </row>
    <row r="427" spans="1:48" ht="320.25" thickTop="1" thickBot="1" x14ac:dyDescent="0.25">
      <c r="A427" s="215">
        <v>138</v>
      </c>
      <c r="B427" s="216" t="s">
        <v>2061</v>
      </c>
      <c r="C427" s="69" t="s">
        <v>1601</v>
      </c>
      <c r="D427" s="1" t="s">
        <v>485</v>
      </c>
      <c r="E427" s="69" t="s">
        <v>1602</v>
      </c>
      <c r="F427" s="1" t="s">
        <v>511</v>
      </c>
      <c r="G427" s="1" t="s">
        <v>512</v>
      </c>
      <c r="H427" s="7" t="s">
        <v>513</v>
      </c>
      <c r="I427" s="1" t="s">
        <v>1828</v>
      </c>
      <c r="J427" s="1" t="s">
        <v>1951</v>
      </c>
      <c r="K427" s="69">
        <v>801116</v>
      </c>
      <c r="L427" s="69" t="s">
        <v>1603</v>
      </c>
      <c r="M427" s="69" t="s">
        <v>1604</v>
      </c>
      <c r="N427" s="69" t="s">
        <v>1605</v>
      </c>
      <c r="O427" s="69" t="s">
        <v>1606</v>
      </c>
      <c r="P427" s="7" t="s">
        <v>2062</v>
      </c>
      <c r="Q427" s="92"/>
      <c r="R427" s="1">
        <v>1</v>
      </c>
      <c r="S427" s="92">
        <v>8463167</v>
      </c>
      <c r="T427" s="88" t="s">
        <v>1619</v>
      </c>
      <c r="U427" s="1" t="s">
        <v>58</v>
      </c>
      <c r="V427" s="31">
        <v>43307</v>
      </c>
      <c r="W427" s="90"/>
      <c r="X427" s="20" t="s">
        <v>2063</v>
      </c>
      <c r="Y427" s="31"/>
      <c r="Z427" s="92">
        <v>8463167</v>
      </c>
      <c r="AA427" s="107"/>
      <c r="AB427" s="1"/>
      <c r="AC427" s="230"/>
      <c r="AD427" s="92"/>
      <c r="AE427" s="1"/>
      <c r="AF427" s="1"/>
      <c r="AG427" s="31"/>
      <c r="AH427" s="94"/>
      <c r="AI427" s="107"/>
      <c r="AJ427" s="1"/>
      <c r="AK427" s="1"/>
      <c r="AL427" s="94"/>
      <c r="AM427" s="94"/>
      <c r="AN427" s="94"/>
      <c r="AO427" s="1"/>
      <c r="AP427" s="1"/>
      <c r="AQ427" s="1"/>
      <c r="AR427" s="31"/>
      <c r="AS427" s="1"/>
      <c r="AT427" s="31"/>
      <c r="AU427" s="1"/>
      <c r="AV427" s="51"/>
    </row>
    <row r="428" spans="1:48" ht="320.25" thickTop="1" thickBot="1" x14ac:dyDescent="0.25">
      <c r="A428" s="215">
        <v>139</v>
      </c>
      <c r="B428" s="216" t="s">
        <v>2064</v>
      </c>
      <c r="C428" s="69" t="s">
        <v>1601</v>
      </c>
      <c r="D428" s="1" t="s">
        <v>485</v>
      </c>
      <c r="E428" s="69" t="s">
        <v>1602</v>
      </c>
      <c r="F428" s="1" t="s">
        <v>511</v>
      </c>
      <c r="G428" s="1" t="s">
        <v>512</v>
      </c>
      <c r="H428" s="7" t="s">
        <v>513</v>
      </c>
      <c r="I428" s="1" t="s">
        <v>1828</v>
      </c>
      <c r="J428" s="1" t="s">
        <v>1951</v>
      </c>
      <c r="K428" s="69">
        <v>801116</v>
      </c>
      <c r="L428" s="69" t="s">
        <v>1603</v>
      </c>
      <c r="M428" s="69" t="s">
        <v>1604</v>
      </c>
      <c r="N428" s="69" t="s">
        <v>1605</v>
      </c>
      <c r="O428" s="69" t="s">
        <v>1606</v>
      </c>
      <c r="P428" s="7" t="s">
        <v>2062</v>
      </c>
      <c r="Q428" s="92"/>
      <c r="R428" s="1">
        <v>1</v>
      </c>
      <c r="S428" s="92">
        <v>8463167</v>
      </c>
      <c r="T428" s="88" t="s">
        <v>1619</v>
      </c>
      <c r="U428" s="1" t="s">
        <v>58</v>
      </c>
      <c r="V428" s="31">
        <v>43307</v>
      </c>
      <c r="W428" s="90"/>
      <c r="X428" s="20" t="s">
        <v>2065</v>
      </c>
      <c r="Y428" s="31"/>
      <c r="Z428" s="92">
        <v>8463167</v>
      </c>
      <c r="AA428" s="107"/>
      <c r="AB428" s="1"/>
      <c r="AC428" s="230"/>
      <c r="AD428" s="92"/>
      <c r="AE428" s="1"/>
      <c r="AF428" s="1"/>
      <c r="AG428" s="31"/>
      <c r="AH428" s="94"/>
      <c r="AI428" s="107"/>
      <c r="AJ428" s="1"/>
      <c r="AK428" s="1"/>
      <c r="AL428" s="94"/>
      <c r="AM428" s="94"/>
      <c r="AN428" s="94"/>
      <c r="AO428" s="1"/>
      <c r="AP428" s="1"/>
      <c r="AQ428" s="1"/>
      <c r="AR428" s="31"/>
      <c r="AS428" s="1"/>
      <c r="AT428" s="31"/>
      <c r="AU428" s="1"/>
      <c r="AV428" s="51"/>
    </row>
    <row r="429" spans="1:48" ht="320.25" thickTop="1" thickBot="1" x14ac:dyDescent="0.25">
      <c r="A429" s="215">
        <v>140</v>
      </c>
      <c r="B429" s="216" t="s">
        <v>2066</v>
      </c>
      <c r="C429" s="69" t="s">
        <v>1601</v>
      </c>
      <c r="D429" s="1" t="s">
        <v>485</v>
      </c>
      <c r="E429" s="69" t="s">
        <v>1602</v>
      </c>
      <c r="F429" s="1" t="s">
        <v>511</v>
      </c>
      <c r="G429" s="1" t="s">
        <v>512</v>
      </c>
      <c r="H429" s="7" t="s">
        <v>513</v>
      </c>
      <c r="I429" s="1" t="s">
        <v>1828</v>
      </c>
      <c r="J429" s="1" t="s">
        <v>1951</v>
      </c>
      <c r="K429" s="69">
        <v>801116</v>
      </c>
      <c r="L429" s="69" t="s">
        <v>1603</v>
      </c>
      <c r="M429" s="69" t="s">
        <v>1604</v>
      </c>
      <c r="N429" s="69" t="s">
        <v>1605</v>
      </c>
      <c r="O429" s="69" t="s">
        <v>1606</v>
      </c>
      <c r="P429" s="7" t="s">
        <v>1968</v>
      </c>
      <c r="Q429" s="92"/>
      <c r="R429" s="1">
        <v>1</v>
      </c>
      <c r="S429" s="92">
        <v>21904667</v>
      </c>
      <c r="T429" s="88" t="s">
        <v>1619</v>
      </c>
      <c r="U429" s="1" t="s">
        <v>58</v>
      </c>
      <c r="V429" s="31">
        <v>43307</v>
      </c>
      <c r="W429" s="90"/>
      <c r="X429" s="20" t="s">
        <v>2067</v>
      </c>
      <c r="Y429" s="31"/>
      <c r="Z429" s="92">
        <v>21904667</v>
      </c>
      <c r="AA429" s="107"/>
      <c r="AB429" s="1"/>
      <c r="AC429" s="230"/>
      <c r="AD429" s="92"/>
      <c r="AE429" s="1"/>
      <c r="AF429" s="1"/>
      <c r="AG429" s="31"/>
      <c r="AH429" s="94"/>
      <c r="AI429" s="107"/>
      <c r="AJ429" s="1"/>
      <c r="AK429" s="1"/>
      <c r="AL429" s="94"/>
      <c r="AM429" s="94"/>
      <c r="AN429" s="94"/>
      <c r="AO429" s="1"/>
      <c r="AP429" s="1"/>
      <c r="AQ429" s="1"/>
      <c r="AR429" s="31"/>
      <c r="AS429" s="1"/>
      <c r="AT429" s="31"/>
      <c r="AU429" s="1"/>
      <c r="AV429" s="51"/>
    </row>
    <row r="430" spans="1:48" ht="320.25" thickTop="1" thickBot="1" x14ac:dyDescent="0.25">
      <c r="A430" s="215">
        <v>141</v>
      </c>
      <c r="B430" s="216" t="s">
        <v>2068</v>
      </c>
      <c r="C430" s="69" t="s">
        <v>1601</v>
      </c>
      <c r="D430" s="1" t="s">
        <v>485</v>
      </c>
      <c r="E430" s="69" t="s">
        <v>1602</v>
      </c>
      <c r="F430" s="1" t="s">
        <v>511</v>
      </c>
      <c r="G430" s="1" t="s">
        <v>512</v>
      </c>
      <c r="H430" s="7" t="s">
        <v>513</v>
      </c>
      <c r="I430" s="1" t="s">
        <v>1828</v>
      </c>
      <c r="J430" s="1" t="s">
        <v>1951</v>
      </c>
      <c r="K430" s="69">
        <v>801116</v>
      </c>
      <c r="L430" s="69" t="s">
        <v>1603</v>
      </c>
      <c r="M430" s="69" t="s">
        <v>1604</v>
      </c>
      <c r="N430" s="69" t="s">
        <v>1605</v>
      </c>
      <c r="O430" s="69" t="s">
        <v>1606</v>
      </c>
      <c r="P430" s="7" t="s">
        <v>2017</v>
      </c>
      <c r="Q430" s="92"/>
      <c r="R430" s="1">
        <v>1</v>
      </c>
      <c r="S430" s="92">
        <v>32359167</v>
      </c>
      <c r="T430" s="88" t="s">
        <v>1619</v>
      </c>
      <c r="U430" s="1" t="s">
        <v>58</v>
      </c>
      <c r="V430" s="31">
        <v>43307</v>
      </c>
      <c r="W430" s="90"/>
      <c r="X430" s="20" t="s">
        <v>2069</v>
      </c>
      <c r="Y430" s="31"/>
      <c r="Z430" s="94" t="s">
        <v>2070</v>
      </c>
      <c r="AA430" s="107"/>
      <c r="AB430" s="1"/>
      <c r="AC430" s="230"/>
      <c r="AD430" s="92"/>
      <c r="AE430" s="1"/>
      <c r="AF430" s="1"/>
      <c r="AG430" s="31"/>
      <c r="AH430" s="94"/>
      <c r="AI430" s="107"/>
      <c r="AJ430" s="1"/>
      <c r="AK430" s="1"/>
      <c r="AL430" s="94"/>
      <c r="AM430" s="94"/>
      <c r="AN430" s="94"/>
      <c r="AO430" s="1"/>
      <c r="AP430" s="1"/>
      <c r="AQ430" s="1"/>
      <c r="AR430" s="31"/>
      <c r="AS430" s="1"/>
      <c r="AT430" s="31"/>
      <c r="AU430" s="1"/>
      <c r="AV430" s="51"/>
    </row>
    <row r="431" spans="1:48" ht="320.25" thickTop="1" thickBot="1" x14ac:dyDescent="0.25">
      <c r="A431" s="215">
        <v>142</v>
      </c>
      <c r="B431" s="216" t="s">
        <v>2071</v>
      </c>
      <c r="C431" s="69" t="s">
        <v>1601</v>
      </c>
      <c r="D431" s="1" t="s">
        <v>485</v>
      </c>
      <c r="E431" s="69" t="s">
        <v>1602</v>
      </c>
      <c r="F431" s="1" t="s">
        <v>511</v>
      </c>
      <c r="G431" s="1" t="s">
        <v>512</v>
      </c>
      <c r="H431" s="7" t="s">
        <v>513</v>
      </c>
      <c r="I431" s="1" t="s">
        <v>1828</v>
      </c>
      <c r="J431" s="1" t="s">
        <v>1951</v>
      </c>
      <c r="K431" s="69">
        <v>801116</v>
      </c>
      <c r="L431" s="69" t="s">
        <v>1603</v>
      </c>
      <c r="M431" s="69" t="s">
        <v>1604</v>
      </c>
      <c r="N431" s="69" t="s">
        <v>1605</v>
      </c>
      <c r="O431" s="69" t="s">
        <v>1606</v>
      </c>
      <c r="P431" s="7" t="s">
        <v>2062</v>
      </c>
      <c r="Q431" s="92"/>
      <c r="R431" s="1">
        <v>1</v>
      </c>
      <c r="S431" s="92">
        <v>8463167</v>
      </c>
      <c r="T431" s="88" t="s">
        <v>1619</v>
      </c>
      <c r="U431" s="1" t="s">
        <v>58</v>
      </c>
      <c r="V431" s="31">
        <v>43307</v>
      </c>
      <c r="W431" s="90"/>
      <c r="X431" s="20" t="s">
        <v>2072</v>
      </c>
      <c r="Y431" s="31"/>
      <c r="Z431" s="92">
        <v>8463167</v>
      </c>
      <c r="AA431" s="107"/>
      <c r="AB431" s="1"/>
      <c r="AC431" s="230"/>
      <c r="AD431" s="92"/>
      <c r="AE431" s="1"/>
      <c r="AF431" s="1"/>
      <c r="AG431" s="31"/>
      <c r="AH431" s="94"/>
      <c r="AI431" s="107"/>
      <c r="AJ431" s="1"/>
      <c r="AK431" s="1"/>
      <c r="AL431" s="94"/>
      <c r="AM431" s="94"/>
      <c r="AN431" s="94"/>
      <c r="AO431" s="1"/>
      <c r="AP431" s="1"/>
      <c r="AQ431" s="1"/>
      <c r="AR431" s="31"/>
      <c r="AS431" s="1"/>
      <c r="AT431" s="31"/>
      <c r="AU431" s="1"/>
      <c r="AV431" s="51"/>
    </row>
    <row r="432" spans="1:48" ht="320.25" thickTop="1" thickBot="1" x14ac:dyDescent="0.25">
      <c r="A432" s="215">
        <v>143</v>
      </c>
      <c r="B432" s="216" t="s">
        <v>2073</v>
      </c>
      <c r="C432" s="69" t="s">
        <v>1601</v>
      </c>
      <c r="D432" s="1" t="s">
        <v>485</v>
      </c>
      <c r="E432" s="69" t="s">
        <v>1602</v>
      </c>
      <c r="F432" s="1" t="s">
        <v>511</v>
      </c>
      <c r="G432" s="1" t="s">
        <v>512</v>
      </c>
      <c r="H432" s="7" t="s">
        <v>513</v>
      </c>
      <c r="I432" s="1" t="s">
        <v>1828</v>
      </c>
      <c r="J432" s="1" t="s">
        <v>1951</v>
      </c>
      <c r="K432" s="69">
        <v>801116</v>
      </c>
      <c r="L432" s="69" t="s">
        <v>1603</v>
      </c>
      <c r="M432" s="69" t="s">
        <v>1604</v>
      </c>
      <c r="N432" s="69" t="s">
        <v>1605</v>
      </c>
      <c r="O432" s="69" t="s">
        <v>1606</v>
      </c>
      <c r="P432" s="7" t="s">
        <v>2017</v>
      </c>
      <c r="Q432" s="92"/>
      <c r="R432" s="1">
        <v>1</v>
      </c>
      <c r="S432" s="92">
        <v>39826667</v>
      </c>
      <c r="T432" s="88" t="s">
        <v>1619</v>
      </c>
      <c r="U432" s="1" t="s">
        <v>58</v>
      </c>
      <c r="V432" s="31">
        <v>43307</v>
      </c>
      <c r="W432" s="90"/>
      <c r="X432" s="20" t="s">
        <v>2074</v>
      </c>
      <c r="Y432" s="31"/>
      <c r="Z432" s="94">
        <v>39826667</v>
      </c>
      <c r="AA432" s="107"/>
      <c r="AB432" s="1"/>
      <c r="AC432" s="230"/>
      <c r="AD432" s="92"/>
      <c r="AE432" s="1"/>
      <c r="AF432" s="1"/>
      <c r="AG432" s="31"/>
      <c r="AH432" s="94"/>
      <c r="AI432" s="107"/>
      <c r="AJ432" s="1"/>
      <c r="AK432" s="1"/>
      <c r="AL432" s="94"/>
      <c r="AM432" s="94"/>
      <c r="AN432" s="94"/>
      <c r="AO432" s="1"/>
      <c r="AP432" s="1"/>
      <c r="AQ432" s="1"/>
      <c r="AR432" s="31"/>
      <c r="AS432" s="1"/>
      <c r="AT432" s="31"/>
      <c r="AU432" s="1"/>
      <c r="AV432" s="51"/>
    </row>
    <row r="433" spans="1:48" ht="320.25" thickTop="1" thickBot="1" x14ac:dyDescent="0.25">
      <c r="A433" s="215">
        <v>144</v>
      </c>
      <c r="B433" s="216" t="s">
        <v>2075</v>
      </c>
      <c r="C433" s="69" t="s">
        <v>1601</v>
      </c>
      <c r="D433" s="1" t="s">
        <v>485</v>
      </c>
      <c r="E433" s="69" t="s">
        <v>1602</v>
      </c>
      <c r="F433" s="1" t="s">
        <v>511</v>
      </c>
      <c r="G433" s="1" t="s">
        <v>512</v>
      </c>
      <c r="H433" s="7" t="s">
        <v>513</v>
      </c>
      <c r="I433" s="1" t="s">
        <v>1828</v>
      </c>
      <c r="J433" s="1" t="s">
        <v>1951</v>
      </c>
      <c r="K433" s="69">
        <v>801116</v>
      </c>
      <c r="L433" s="69" t="s">
        <v>1603</v>
      </c>
      <c r="M433" s="69" t="s">
        <v>1604</v>
      </c>
      <c r="N433" s="69" t="s">
        <v>1605</v>
      </c>
      <c r="O433" s="69" t="s">
        <v>1606</v>
      </c>
      <c r="P433" s="7" t="s">
        <v>2076</v>
      </c>
      <c r="Q433" s="92"/>
      <c r="R433" s="1">
        <v>1</v>
      </c>
      <c r="S433" s="92">
        <v>21904667</v>
      </c>
      <c r="T433" s="88" t="s">
        <v>1619</v>
      </c>
      <c r="U433" s="1" t="s">
        <v>58</v>
      </c>
      <c r="V433" s="31">
        <v>43307</v>
      </c>
      <c r="W433" s="90"/>
      <c r="X433" s="20" t="s">
        <v>2077</v>
      </c>
      <c r="Y433" s="31"/>
      <c r="Z433" s="94">
        <v>21904667</v>
      </c>
      <c r="AA433" s="107"/>
      <c r="AB433" s="1"/>
      <c r="AC433" s="230"/>
      <c r="AD433" s="92"/>
      <c r="AE433" s="1"/>
      <c r="AF433" s="1"/>
      <c r="AG433" s="31"/>
      <c r="AH433" s="94"/>
      <c r="AI433" s="107"/>
      <c r="AJ433" s="1"/>
      <c r="AK433" s="1"/>
      <c r="AL433" s="94"/>
      <c r="AM433" s="94"/>
      <c r="AN433" s="94"/>
      <c r="AO433" s="1"/>
      <c r="AP433" s="1"/>
      <c r="AQ433" s="1"/>
      <c r="AR433" s="31"/>
      <c r="AS433" s="1"/>
      <c r="AT433" s="31"/>
      <c r="AU433" s="1"/>
      <c r="AV433" s="51"/>
    </row>
    <row r="434" spans="1:48" ht="333" thickTop="1" thickBot="1" x14ac:dyDescent="0.25">
      <c r="A434" s="215">
        <v>145</v>
      </c>
      <c r="B434" s="216" t="s">
        <v>2078</v>
      </c>
      <c r="C434" s="7" t="s">
        <v>1601</v>
      </c>
      <c r="D434" s="7" t="s">
        <v>485</v>
      </c>
      <c r="E434" s="7" t="s">
        <v>1602</v>
      </c>
      <c r="F434" s="1" t="s">
        <v>511</v>
      </c>
      <c r="G434" s="1" t="s">
        <v>512</v>
      </c>
      <c r="H434" s="7" t="s">
        <v>513</v>
      </c>
      <c r="I434" s="1" t="s">
        <v>54</v>
      </c>
      <c r="J434" s="1" t="s">
        <v>55</v>
      </c>
      <c r="K434" s="1">
        <v>801116</v>
      </c>
      <c r="L434" s="1" t="s">
        <v>1603</v>
      </c>
      <c r="M434" s="1" t="s">
        <v>1604</v>
      </c>
      <c r="N434" s="1" t="s">
        <v>1605</v>
      </c>
      <c r="O434" s="1" t="s">
        <v>1606</v>
      </c>
      <c r="P434" s="7" t="s">
        <v>2079</v>
      </c>
      <c r="Q434" s="92"/>
      <c r="R434" s="1">
        <v>1</v>
      </c>
      <c r="S434" s="92">
        <v>15862000</v>
      </c>
      <c r="T434" s="88" t="s">
        <v>1619</v>
      </c>
      <c r="U434" s="1" t="s">
        <v>58</v>
      </c>
      <c r="V434" s="31">
        <v>43313</v>
      </c>
      <c r="W434" s="90"/>
      <c r="X434" s="20" t="s">
        <v>2080</v>
      </c>
      <c r="Y434" s="31"/>
      <c r="Z434" s="92">
        <v>15862000</v>
      </c>
      <c r="AA434" s="107"/>
      <c r="AB434" s="1"/>
      <c r="AC434" s="230"/>
      <c r="AD434" s="92"/>
      <c r="AE434" s="1"/>
      <c r="AF434" s="1"/>
      <c r="AG434" s="31"/>
      <c r="AH434" s="94"/>
      <c r="AI434" s="107"/>
      <c r="AJ434" s="1"/>
      <c r="AK434" s="1"/>
      <c r="AL434" s="94"/>
      <c r="AM434" s="94"/>
      <c r="AN434" s="94"/>
      <c r="AO434" s="1"/>
      <c r="AP434" s="1"/>
      <c r="AQ434" s="1"/>
      <c r="AR434" s="31"/>
      <c r="AS434" s="1"/>
      <c r="AT434" s="31"/>
      <c r="AU434" s="1"/>
      <c r="AV434" s="51"/>
    </row>
    <row r="435" spans="1:48" ht="358.5" thickTop="1" thickBot="1" x14ac:dyDescent="0.25">
      <c r="A435" s="215">
        <v>146</v>
      </c>
      <c r="B435" s="216" t="s">
        <v>2081</v>
      </c>
      <c r="C435" s="7" t="s">
        <v>1601</v>
      </c>
      <c r="D435" s="7" t="s">
        <v>485</v>
      </c>
      <c r="E435" s="7" t="s">
        <v>1602</v>
      </c>
      <c r="F435" s="1" t="s">
        <v>511</v>
      </c>
      <c r="G435" s="1" t="s">
        <v>512</v>
      </c>
      <c r="H435" s="7" t="s">
        <v>513</v>
      </c>
      <c r="I435" s="1" t="s">
        <v>54</v>
      </c>
      <c r="J435" s="1" t="s">
        <v>55</v>
      </c>
      <c r="K435" s="1">
        <v>801116</v>
      </c>
      <c r="L435" s="1" t="s">
        <v>1603</v>
      </c>
      <c r="M435" s="1" t="s">
        <v>1604</v>
      </c>
      <c r="N435" s="1" t="s">
        <v>1605</v>
      </c>
      <c r="O435" s="1" t="s">
        <v>1606</v>
      </c>
      <c r="P435" s="7" t="s">
        <v>2040</v>
      </c>
      <c r="Q435" s="92"/>
      <c r="R435" s="1">
        <v>1</v>
      </c>
      <c r="S435" s="92">
        <f>15000000+7335000+3656167+1145333+1258333+2848500</f>
        <v>31243333</v>
      </c>
      <c r="T435" s="88" t="s">
        <v>1619</v>
      </c>
      <c r="U435" s="1" t="s">
        <v>58</v>
      </c>
      <c r="V435" s="31">
        <v>43313</v>
      </c>
      <c r="W435" s="90"/>
      <c r="X435" s="20" t="s">
        <v>2082</v>
      </c>
      <c r="Y435" s="31"/>
      <c r="Z435" s="92">
        <f>15000000+7335000+3656167+1145333+1258333+2848500</f>
        <v>31243333</v>
      </c>
      <c r="AA435" s="107"/>
      <c r="AB435" s="1"/>
      <c r="AC435" s="230"/>
      <c r="AD435" s="92"/>
      <c r="AE435" s="1"/>
      <c r="AF435" s="1"/>
      <c r="AG435" s="31"/>
      <c r="AH435" s="94"/>
      <c r="AI435" s="107"/>
      <c r="AJ435" s="1"/>
      <c r="AK435" s="1"/>
      <c r="AL435" s="94"/>
      <c r="AM435" s="94"/>
      <c r="AN435" s="94"/>
      <c r="AO435" s="1"/>
      <c r="AP435" s="1"/>
      <c r="AQ435" s="1"/>
      <c r="AR435" s="31"/>
      <c r="AS435" s="1"/>
      <c r="AT435" s="31"/>
      <c r="AU435" s="1"/>
      <c r="AV435" s="51"/>
    </row>
    <row r="436" spans="1:48" ht="409.6" thickTop="1" x14ac:dyDescent="0.2">
      <c r="A436" s="232">
        <v>1</v>
      </c>
      <c r="B436" s="232" t="s">
        <v>2083</v>
      </c>
      <c r="C436" s="232" t="s">
        <v>2084</v>
      </c>
      <c r="D436" s="232" t="s">
        <v>2085</v>
      </c>
      <c r="E436" s="233" t="s">
        <v>2086</v>
      </c>
      <c r="F436" s="232" t="s">
        <v>511</v>
      </c>
      <c r="G436" s="232" t="s">
        <v>512</v>
      </c>
      <c r="H436" s="234" t="s">
        <v>647</v>
      </c>
      <c r="I436" s="232" t="s">
        <v>54</v>
      </c>
      <c r="J436" s="232" t="s">
        <v>55</v>
      </c>
      <c r="K436" s="1">
        <v>80111600</v>
      </c>
      <c r="L436" s="1" t="s">
        <v>2087</v>
      </c>
      <c r="M436" s="1" t="s">
        <v>493</v>
      </c>
      <c r="N436" s="1" t="s">
        <v>494</v>
      </c>
      <c r="O436" s="97" t="s">
        <v>2088</v>
      </c>
      <c r="P436" s="8" t="s">
        <v>2089</v>
      </c>
      <c r="Q436" s="8">
        <v>7210000</v>
      </c>
      <c r="R436" s="8">
        <v>1</v>
      </c>
      <c r="S436" s="50">
        <v>82915000</v>
      </c>
      <c r="T436" s="8" t="s">
        <v>1619</v>
      </c>
      <c r="U436" s="232" t="s">
        <v>58</v>
      </c>
      <c r="V436" s="235" t="s">
        <v>516</v>
      </c>
      <c r="W436" s="236">
        <v>11.5</v>
      </c>
      <c r="X436" s="98" t="s">
        <v>2090</v>
      </c>
      <c r="Y436" s="16">
        <v>43102</v>
      </c>
      <c r="Z436" s="237">
        <v>82915000</v>
      </c>
      <c r="AA436" s="17"/>
      <c r="AB436" s="20">
        <v>102</v>
      </c>
      <c r="AC436" s="238">
        <v>43103</v>
      </c>
      <c r="AD436" s="239">
        <v>82915000</v>
      </c>
      <c r="AE436" s="240">
        <f t="shared" ref="AE436:AE444" si="39">S436-AD436</f>
        <v>0</v>
      </c>
      <c r="AF436" s="20">
        <v>82</v>
      </c>
      <c r="AG436" s="238">
        <v>43116</v>
      </c>
      <c r="AH436" s="239">
        <v>82915000</v>
      </c>
      <c r="AI436" s="97" t="s">
        <v>2091</v>
      </c>
      <c r="AJ436" s="20">
        <v>68</v>
      </c>
      <c r="AK436" s="14"/>
      <c r="AL436" s="239">
        <v>32204666</v>
      </c>
      <c r="AM436" s="239">
        <f>AH436-AL436</f>
        <v>50710334</v>
      </c>
      <c r="AN436" s="14"/>
      <c r="AO436" s="14"/>
      <c r="AP436" s="14"/>
      <c r="AQ436" s="14"/>
      <c r="AR436" s="14"/>
      <c r="AS436" s="14"/>
      <c r="AT436" s="14"/>
      <c r="AU436" s="241" t="s">
        <v>2091</v>
      </c>
    </row>
    <row r="437" spans="1:48" ht="409.5" x14ac:dyDescent="0.2">
      <c r="A437" s="232">
        <v>2</v>
      </c>
      <c r="B437" s="232" t="s">
        <v>2092</v>
      </c>
      <c r="C437" s="232" t="s">
        <v>2084</v>
      </c>
      <c r="D437" s="232" t="s">
        <v>2085</v>
      </c>
      <c r="E437" s="233" t="s">
        <v>2086</v>
      </c>
      <c r="F437" s="232" t="s">
        <v>511</v>
      </c>
      <c r="G437" s="232" t="s">
        <v>512</v>
      </c>
      <c r="H437" s="234" t="s">
        <v>647</v>
      </c>
      <c r="I437" s="232" t="s">
        <v>54</v>
      </c>
      <c r="J437" s="232" t="s">
        <v>55</v>
      </c>
      <c r="K437" s="1">
        <v>80111600</v>
      </c>
      <c r="L437" s="1" t="s">
        <v>2087</v>
      </c>
      <c r="M437" s="1" t="s">
        <v>493</v>
      </c>
      <c r="N437" s="1" t="s">
        <v>494</v>
      </c>
      <c r="O437" s="97" t="s">
        <v>2088</v>
      </c>
      <c r="P437" s="8" t="s">
        <v>2093</v>
      </c>
      <c r="Q437" s="8">
        <v>5036700</v>
      </c>
      <c r="R437" s="8">
        <v>1</v>
      </c>
      <c r="S437" s="50">
        <v>57922050</v>
      </c>
      <c r="T437" s="8" t="s">
        <v>1619</v>
      </c>
      <c r="U437" s="232" t="s">
        <v>58</v>
      </c>
      <c r="V437" s="235" t="s">
        <v>516</v>
      </c>
      <c r="W437" s="236">
        <v>11.5</v>
      </c>
      <c r="X437" s="98" t="s">
        <v>2094</v>
      </c>
      <c r="Y437" s="16">
        <v>43102</v>
      </c>
      <c r="Z437" s="237">
        <v>57922050</v>
      </c>
      <c r="AA437" s="17"/>
      <c r="AB437" s="20">
        <v>56</v>
      </c>
      <c r="AC437" s="238">
        <v>43103</v>
      </c>
      <c r="AD437" s="239">
        <v>57922050</v>
      </c>
      <c r="AE437" s="240">
        <f t="shared" si="39"/>
        <v>0</v>
      </c>
      <c r="AF437" s="20">
        <v>99</v>
      </c>
      <c r="AG437" s="238">
        <v>43116</v>
      </c>
      <c r="AH437" s="239">
        <v>57922050</v>
      </c>
      <c r="AI437" s="97" t="s">
        <v>2095</v>
      </c>
      <c r="AJ437" s="20">
        <v>85</v>
      </c>
      <c r="AK437" s="14"/>
      <c r="AL437" s="198">
        <v>27533960</v>
      </c>
      <c r="AM437" s="239">
        <f t="shared" ref="AM437:AM447" si="40">AH437-AL437</f>
        <v>30388090</v>
      </c>
      <c r="AN437" s="14"/>
      <c r="AO437" s="14"/>
      <c r="AP437" s="14"/>
      <c r="AQ437" s="14"/>
      <c r="AR437" s="14"/>
      <c r="AS437" s="14"/>
      <c r="AT437" s="14"/>
      <c r="AU437" s="242" t="s">
        <v>2096</v>
      </c>
    </row>
    <row r="438" spans="1:48" ht="409.5" x14ac:dyDescent="0.2">
      <c r="A438" s="232">
        <v>3</v>
      </c>
      <c r="B438" s="232" t="s">
        <v>2097</v>
      </c>
      <c r="C438" s="232" t="s">
        <v>2084</v>
      </c>
      <c r="D438" s="232" t="s">
        <v>2085</v>
      </c>
      <c r="E438" s="233" t="s">
        <v>2086</v>
      </c>
      <c r="F438" s="232" t="s">
        <v>511</v>
      </c>
      <c r="G438" s="232" t="s">
        <v>512</v>
      </c>
      <c r="H438" s="234" t="s">
        <v>647</v>
      </c>
      <c r="I438" s="232" t="s">
        <v>54</v>
      </c>
      <c r="J438" s="232" t="s">
        <v>55</v>
      </c>
      <c r="K438" s="1">
        <v>80111600</v>
      </c>
      <c r="L438" s="1" t="s">
        <v>2087</v>
      </c>
      <c r="M438" s="1" t="s">
        <v>493</v>
      </c>
      <c r="N438" s="1" t="s">
        <v>494</v>
      </c>
      <c r="O438" s="97" t="s">
        <v>2088</v>
      </c>
      <c r="P438" s="8" t="s">
        <v>2098</v>
      </c>
      <c r="Q438" s="8">
        <v>4120000</v>
      </c>
      <c r="R438" s="8">
        <v>1</v>
      </c>
      <c r="S438" s="50">
        <f>47045250-77250</f>
        <v>46968000</v>
      </c>
      <c r="T438" s="8" t="s">
        <v>1619</v>
      </c>
      <c r="U438" s="232" t="s">
        <v>58</v>
      </c>
      <c r="V438" s="235" t="s">
        <v>516</v>
      </c>
      <c r="W438" s="236">
        <v>11.5</v>
      </c>
      <c r="X438" s="98" t="s">
        <v>2099</v>
      </c>
      <c r="Y438" s="16">
        <v>43102</v>
      </c>
      <c r="Z438" s="237">
        <v>47045250</v>
      </c>
      <c r="AA438" s="17"/>
      <c r="AB438" s="20">
        <v>57</v>
      </c>
      <c r="AC438" s="238">
        <v>43103</v>
      </c>
      <c r="AD438" s="239">
        <v>46968000</v>
      </c>
      <c r="AE438" s="240">
        <f t="shared" si="39"/>
        <v>0</v>
      </c>
      <c r="AF438" s="20">
        <v>219</v>
      </c>
      <c r="AG438" s="238">
        <v>43118</v>
      </c>
      <c r="AH438" s="239">
        <v>46968000</v>
      </c>
      <c r="AI438" s="97" t="s">
        <v>2100</v>
      </c>
      <c r="AJ438" s="20">
        <v>187</v>
      </c>
      <c r="AK438" s="14"/>
      <c r="AL438" s="198">
        <v>22248000</v>
      </c>
      <c r="AM438" s="239">
        <f t="shared" si="40"/>
        <v>24720000</v>
      </c>
      <c r="AN438" s="14"/>
      <c r="AO438" s="14"/>
      <c r="AP438" s="14"/>
      <c r="AQ438" s="14"/>
      <c r="AR438" s="14"/>
      <c r="AS438" s="14"/>
      <c r="AT438" s="14"/>
      <c r="AU438" s="241" t="s">
        <v>2101</v>
      </c>
    </row>
    <row r="439" spans="1:48" ht="409.5" x14ac:dyDescent="0.2">
      <c r="A439" s="232">
        <v>4</v>
      </c>
      <c r="B439" s="232" t="s">
        <v>2102</v>
      </c>
      <c r="C439" s="232" t="s">
        <v>2084</v>
      </c>
      <c r="D439" s="232" t="s">
        <v>2085</v>
      </c>
      <c r="E439" s="233" t="s">
        <v>2103</v>
      </c>
      <c r="F439" s="232" t="s">
        <v>511</v>
      </c>
      <c r="G439" s="232" t="s">
        <v>512</v>
      </c>
      <c r="H439" s="234" t="s">
        <v>647</v>
      </c>
      <c r="I439" s="232" t="s">
        <v>54</v>
      </c>
      <c r="J439" s="232" t="s">
        <v>55</v>
      </c>
      <c r="K439" s="1">
        <v>80111600</v>
      </c>
      <c r="L439" s="1" t="s">
        <v>2087</v>
      </c>
      <c r="M439" s="1" t="s">
        <v>493</v>
      </c>
      <c r="N439" s="1" t="s">
        <v>494</v>
      </c>
      <c r="O439" s="97" t="s">
        <v>2088</v>
      </c>
      <c r="P439" s="8" t="s">
        <v>2104</v>
      </c>
      <c r="Q439" s="8">
        <v>5036700</v>
      </c>
      <c r="R439" s="8">
        <v>1</v>
      </c>
      <c r="S439" s="50">
        <v>57922050</v>
      </c>
      <c r="T439" s="8" t="s">
        <v>1619</v>
      </c>
      <c r="U439" s="232" t="s">
        <v>58</v>
      </c>
      <c r="V439" s="235" t="s">
        <v>516</v>
      </c>
      <c r="W439" s="236">
        <v>11.5</v>
      </c>
      <c r="X439" s="98" t="s">
        <v>2105</v>
      </c>
      <c r="Y439" s="16">
        <v>43102</v>
      </c>
      <c r="Z439" s="237">
        <v>57922050</v>
      </c>
      <c r="AA439" s="17"/>
      <c r="AB439" s="20">
        <v>58</v>
      </c>
      <c r="AC439" s="238">
        <v>43103</v>
      </c>
      <c r="AD439" s="239">
        <v>57922050</v>
      </c>
      <c r="AE439" s="240">
        <f t="shared" si="39"/>
        <v>0</v>
      </c>
      <c r="AF439" s="20">
        <v>94</v>
      </c>
      <c r="AG439" s="238">
        <v>43116</v>
      </c>
      <c r="AH439" s="239">
        <v>57922050</v>
      </c>
      <c r="AI439" s="97" t="s">
        <v>2106</v>
      </c>
      <c r="AJ439" s="20">
        <v>90</v>
      </c>
      <c r="AK439" s="14"/>
      <c r="AL439" s="198">
        <v>27533960</v>
      </c>
      <c r="AM439" s="239">
        <f t="shared" si="40"/>
        <v>30388090</v>
      </c>
      <c r="AN439" s="14"/>
      <c r="AO439" s="14"/>
      <c r="AP439" s="14"/>
      <c r="AQ439" s="14"/>
      <c r="AR439" s="14"/>
      <c r="AS439" s="14"/>
      <c r="AT439" s="14"/>
      <c r="AU439" s="243" t="s">
        <v>2107</v>
      </c>
    </row>
    <row r="440" spans="1:48" ht="409.5" x14ac:dyDescent="0.2">
      <c r="A440" s="232">
        <v>5</v>
      </c>
      <c r="B440" s="232" t="s">
        <v>2108</v>
      </c>
      <c r="C440" s="232" t="s">
        <v>2084</v>
      </c>
      <c r="D440" s="232" t="s">
        <v>2085</v>
      </c>
      <c r="E440" s="233" t="s">
        <v>2086</v>
      </c>
      <c r="F440" s="232" t="s">
        <v>511</v>
      </c>
      <c r="G440" s="232" t="s">
        <v>512</v>
      </c>
      <c r="H440" s="234" t="s">
        <v>647</v>
      </c>
      <c r="I440" s="232" t="s">
        <v>54</v>
      </c>
      <c r="J440" s="232" t="s">
        <v>55</v>
      </c>
      <c r="K440" s="1">
        <v>80111600</v>
      </c>
      <c r="L440" s="1" t="s">
        <v>2087</v>
      </c>
      <c r="M440" s="1" t="s">
        <v>493</v>
      </c>
      <c r="N440" s="1" t="s">
        <v>494</v>
      </c>
      <c r="O440" s="97" t="s">
        <v>2088</v>
      </c>
      <c r="P440" s="8" t="s">
        <v>2109</v>
      </c>
      <c r="Q440" s="8">
        <v>6180000</v>
      </c>
      <c r="R440" s="8">
        <v>1</v>
      </c>
      <c r="S440" s="50">
        <v>71070000</v>
      </c>
      <c r="T440" s="8" t="s">
        <v>1619</v>
      </c>
      <c r="U440" s="232" t="s">
        <v>58</v>
      </c>
      <c r="V440" s="235" t="s">
        <v>516</v>
      </c>
      <c r="W440" s="236">
        <v>11.5</v>
      </c>
      <c r="X440" s="98" t="s">
        <v>2110</v>
      </c>
      <c r="Y440" s="16">
        <v>43102</v>
      </c>
      <c r="Z440" s="237">
        <v>71070000</v>
      </c>
      <c r="AA440" s="17"/>
      <c r="AB440" s="20">
        <v>59</v>
      </c>
      <c r="AC440" s="238">
        <v>43103</v>
      </c>
      <c r="AD440" s="239">
        <v>71070000</v>
      </c>
      <c r="AE440" s="240">
        <f t="shared" si="39"/>
        <v>0</v>
      </c>
      <c r="AF440" s="20">
        <v>224</v>
      </c>
      <c r="AG440" s="238">
        <v>43118</v>
      </c>
      <c r="AH440" s="239">
        <v>71070000</v>
      </c>
      <c r="AI440" s="97" t="s">
        <v>2111</v>
      </c>
      <c r="AJ440" s="20">
        <v>198</v>
      </c>
      <c r="AK440" s="14"/>
      <c r="AL440" s="198">
        <v>33372000</v>
      </c>
      <c r="AM440" s="239">
        <f t="shared" si="40"/>
        <v>37698000</v>
      </c>
      <c r="AN440" s="14"/>
      <c r="AO440" s="14"/>
      <c r="AP440" s="14"/>
      <c r="AQ440" s="14"/>
      <c r="AR440" s="14"/>
      <c r="AS440" s="14"/>
      <c r="AT440" s="14"/>
      <c r="AU440" s="241" t="s">
        <v>2112</v>
      </c>
    </row>
    <row r="441" spans="1:48" ht="409.5" x14ac:dyDescent="0.2">
      <c r="A441" s="232">
        <v>6</v>
      </c>
      <c r="B441" s="232" t="s">
        <v>2113</v>
      </c>
      <c r="C441" s="232" t="s">
        <v>2084</v>
      </c>
      <c r="D441" s="232" t="s">
        <v>2085</v>
      </c>
      <c r="E441" s="233" t="s">
        <v>2086</v>
      </c>
      <c r="F441" s="232" t="s">
        <v>511</v>
      </c>
      <c r="G441" s="232" t="s">
        <v>512</v>
      </c>
      <c r="H441" s="234" t="s">
        <v>647</v>
      </c>
      <c r="I441" s="232" t="s">
        <v>54</v>
      </c>
      <c r="J441" s="232" t="s">
        <v>55</v>
      </c>
      <c r="K441" s="1">
        <v>80111600</v>
      </c>
      <c r="L441" s="1" t="s">
        <v>2087</v>
      </c>
      <c r="M441" s="1" t="s">
        <v>493</v>
      </c>
      <c r="N441" s="1" t="s">
        <v>494</v>
      </c>
      <c r="O441" s="97" t="s">
        <v>2088</v>
      </c>
      <c r="P441" s="8" t="s">
        <v>2114</v>
      </c>
      <c r="Q441" s="8">
        <v>5036700</v>
      </c>
      <c r="R441" s="8">
        <v>1</v>
      </c>
      <c r="S441" s="50">
        <v>57922050</v>
      </c>
      <c r="T441" s="8" t="s">
        <v>1619</v>
      </c>
      <c r="U441" s="232" t="s">
        <v>58</v>
      </c>
      <c r="V441" s="235" t="s">
        <v>516</v>
      </c>
      <c r="W441" s="236">
        <v>11.5</v>
      </c>
      <c r="X441" s="98" t="s">
        <v>2115</v>
      </c>
      <c r="Y441" s="16">
        <v>43102</v>
      </c>
      <c r="Z441" s="237">
        <v>57922050</v>
      </c>
      <c r="AA441" s="17"/>
      <c r="AB441" s="20">
        <v>64</v>
      </c>
      <c r="AC441" s="238">
        <v>43103</v>
      </c>
      <c r="AD441" s="239">
        <v>57922050</v>
      </c>
      <c r="AE441" s="240">
        <f t="shared" si="39"/>
        <v>0</v>
      </c>
      <c r="AF441" s="20">
        <v>101</v>
      </c>
      <c r="AG441" s="238">
        <v>43116</v>
      </c>
      <c r="AH441" s="239">
        <v>57922050</v>
      </c>
      <c r="AI441" s="97" t="s">
        <v>2116</v>
      </c>
      <c r="AJ441" s="20">
        <v>86</v>
      </c>
      <c r="AK441" s="14"/>
      <c r="AL441" s="198">
        <v>27533960</v>
      </c>
      <c r="AM441" s="239">
        <f t="shared" si="40"/>
        <v>30388090</v>
      </c>
      <c r="AN441" s="14"/>
      <c r="AO441" s="14"/>
      <c r="AP441" s="14"/>
      <c r="AQ441" s="14"/>
      <c r="AR441" s="14"/>
      <c r="AS441" s="14"/>
      <c r="AT441" s="14"/>
      <c r="AU441" s="241" t="s">
        <v>2117</v>
      </c>
    </row>
    <row r="442" spans="1:48" ht="357" x14ac:dyDescent="0.2">
      <c r="A442" s="232">
        <v>7</v>
      </c>
      <c r="B442" s="232" t="s">
        <v>2118</v>
      </c>
      <c r="C442" s="232" t="s">
        <v>2084</v>
      </c>
      <c r="D442" s="232" t="s">
        <v>2085</v>
      </c>
      <c r="E442" s="233" t="s">
        <v>2086</v>
      </c>
      <c r="F442" s="232" t="s">
        <v>511</v>
      </c>
      <c r="G442" s="232" t="s">
        <v>512</v>
      </c>
      <c r="H442" s="234" t="s">
        <v>647</v>
      </c>
      <c r="I442" s="232" t="s">
        <v>54</v>
      </c>
      <c r="J442" s="232" t="s">
        <v>55</v>
      </c>
      <c r="K442" s="1">
        <v>80111600</v>
      </c>
      <c r="L442" s="1" t="s">
        <v>2087</v>
      </c>
      <c r="M442" s="1" t="s">
        <v>493</v>
      </c>
      <c r="N442" s="1" t="s">
        <v>494</v>
      </c>
      <c r="O442" s="97" t="s">
        <v>2088</v>
      </c>
      <c r="P442" s="8" t="s">
        <v>2119</v>
      </c>
      <c r="Q442" s="8">
        <v>12360000</v>
      </c>
      <c r="R442" s="8">
        <v>1</v>
      </c>
      <c r="S442" s="50">
        <v>135960000</v>
      </c>
      <c r="T442" s="8" t="s">
        <v>1619</v>
      </c>
      <c r="U442" s="232" t="s">
        <v>58</v>
      </c>
      <c r="V442" s="235" t="s">
        <v>516</v>
      </c>
      <c r="W442" s="236">
        <v>11</v>
      </c>
      <c r="X442" s="98" t="s">
        <v>2120</v>
      </c>
      <c r="Y442" s="16">
        <v>43102</v>
      </c>
      <c r="Z442" s="237">
        <v>135960000</v>
      </c>
      <c r="AA442" s="17"/>
      <c r="AB442" s="20">
        <v>66</v>
      </c>
      <c r="AC442" s="238">
        <v>43103</v>
      </c>
      <c r="AD442" s="239">
        <v>135960000</v>
      </c>
      <c r="AE442" s="240">
        <f t="shared" si="39"/>
        <v>0</v>
      </c>
      <c r="AF442" s="20">
        <v>460</v>
      </c>
      <c r="AG442" s="238">
        <v>43126</v>
      </c>
      <c r="AH442" s="239">
        <v>135960000</v>
      </c>
      <c r="AI442" s="97" t="s">
        <v>2121</v>
      </c>
      <c r="AJ442" s="20">
        <v>387</v>
      </c>
      <c r="AK442" s="14"/>
      <c r="AL442" s="198">
        <v>63860000</v>
      </c>
      <c r="AM442" s="239">
        <f t="shared" si="40"/>
        <v>72100000</v>
      </c>
      <c r="AN442" s="14"/>
      <c r="AO442" s="14"/>
      <c r="AP442" s="14"/>
      <c r="AQ442" s="14"/>
      <c r="AR442" s="14"/>
      <c r="AS442" s="14"/>
      <c r="AT442" s="14"/>
      <c r="AU442" s="241" t="s">
        <v>2122</v>
      </c>
    </row>
    <row r="443" spans="1:48" ht="409.5" x14ac:dyDescent="0.2">
      <c r="A443" s="232">
        <v>8</v>
      </c>
      <c r="B443" s="232" t="s">
        <v>2123</v>
      </c>
      <c r="C443" s="232" t="s">
        <v>2084</v>
      </c>
      <c r="D443" s="232" t="s">
        <v>2085</v>
      </c>
      <c r="E443" s="233" t="s">
        <v>2086</v>
      </c>
      <c r="F443" s="232" t="s">
        <v>511</v>
      </c>
      <c r="G443" s="232" t="s">
        <v>512</v>
      </c>
      <c r="H443" s="234" t="s">
        <v>647</v>
      </c>
      <c r="I443" s="232" t="s">
        <v>54</v>
      </c>
      <c r="J443" s="232" t="s">
        <v>55</v>
      </c>
      <c r="K443" s="1">
        <v>80111600</v>
      </c>
      <c r="L443" s="1" t="s">
        <v>2087</v>
      </c>
      <c r="M443" s="1" t="s">
        <v>493</v>
      </c>
      <c r="N443" s="1" t="s">
        <v>494</v>
      </c>
      <c r="O443" s="97" t="s">
        <v>2088</v>
      </c>
      <c r="P443" s="8" t="s">
        <v>2124</v>
      </c>
      <c r="Q443" s="8">
        <v>3399139.1304347827</v>
      </c>
      <c r="R443" s="8">
        <v>1</v>
      </c>
      <c r="S443" s="50">
        <f>39090100-1600</f>
        <v>39088500</v>
      </c>
      <c r="T443" s="8" t="s">
        <v>1619</v>
      </c>
      <c r="U443" s="232" t="s">
        <v>58</v>
      </c>
      <c r="V443" s="235" t="s">
        <v>516</v>
      </c>
      <c r="W443" s="236">
        <v>11.5</v>
      </c>
      <c r="X443" s="98" t="s">
        <v>2125</v>
      </c>
      <c r="Y443" s="16">
        <v>43102</v>
      </c>
      <c r="Z443" s="237">
        <v>39090100</v>
      </c>
      <c r="AA443" s="17"/>
      <c r="AB443" s="20">
        <v>103</v>
      </c>
      <c r="AC443" s="238">
        <v>43103</v>
      </c>
      <c r="AD443" s="239">
        <v>39088500</v>
      </c>
      <c r="AE443" s="240">
        <f t="shared" si="39"/>
        <v>0</v>
      </c>
      <c r="AF443" s="20">
        <v>111</v>
      </c>
      <c r="AG443" s="238">
        <v>43117</v>
      </c>
      <c r="AH443" s="239">
        <v>39088500</v>
      </c>
      <c r="AI443" s="97" t="s">
        <v>2126</v>
      </c>
      <c r="AJ443" s="20">
        <v>104</v>
      </c>
      <c r="AK443" s="14"/>
      <c r="AL443" s="198">
        <v>18581200</v>
      </c>
      <c r="AM443" s="239">
        <f t="shared" si="40"/>
        <v>20507300</v>
      </c>
      <c r="AN443" s="14"/>
      <c r="AO443" s="14"/>
      <c r="AP443" s="14"/>
      <c r="AQ443" s="14"/>
      <c r="AR443" s="14"/>
      <c r="AS443" s="14"/>
      <c r="AT443" s="14"/>
      <c r="AU443" s="241" t="s">
        <v>2126</v>
      </c>
    </row>
    <row r="444" spans="1:48" ht="216.75" x14ac:dyDescent="0.2">
      <c r="A444" s="232">
        <v>9</v>
      </c>
      <c r="B444" s="232" t="s">
        <v>2127</v>
      </c>
      <c r="C444" s="232" t="s">
        <v>2084</v>
      </c>
      <c r="D444" s="232" t="s">
        <v>2085</v>
      </c>
      <c r="E444" s="233" t="s">
        <v>2103</v>
      </c>
      <c r="F444" s="232" t="s">
        <v>511</v>
      </c>
      <c r="G444" s="232" t="s">
        <v>512</v>
      </c>
      <c r="H444" s="234" t="s">
        <v>647</v>
      </c>
      <c r="I444" s="232" t="s">
        <v>54</v>
      </c>
      <c r="J444" s="232" t="s">
        <v>55</v>
      </c>
      <c r="K444" s="1">
        <v>80111600</v>
      </c>
      <c r="L444" s="1" t="s">
        <v>2087</v>
      </c>
      <c r="M444" s="1" t="s">
        <v>493</v>
      </c>
      <c r="N444" s="1" t="s">
        <v>494</v>
      </c>
      <c r="O444" s="97" t="s">
        <v>2088</v>
      </c>
      <c r="P444" s="8" t="s">
        <v>199</v>
      </c>
      <c r="Q444" s="244">
        <v>3038500</v>
      </c>
      <c r="R444" s="8">
        <v>1</v>
      </c>
      <c r="S444" s="50">
        <f>+Q444*W444</f>
        <v>34942750</v>
      </c>
      <c r="T444" s="8" t="s">
        <v>1634</v>
      </c>
      <c r="U444" s="232" t="s">
        <v>58</v>
      </c>
      <c r="V444" s="235" t="s">
        <v>516</v>
      </c>
      <c r="W444" s="236">
        <v>11.5</v>
      </c>
      <c r="X444" s="98" t="s">
        <v>2128</v>
      </c>
      <c r="Y444" s="16">
        <v>43102</v>
      </c>
      <c r="Z444" s="237">
        <v>34942750</v>
      </c>
      <c r="AA444" s="17"/>
      <c r="AB444" s="20">
        <v>104</v>
      </c>
      <c r="AC444" s="238">
        <v>43103</v>
      </c>
      <c r="AD444" s="239">
        <v>34942750</v>
      </c>
      <c r="AE444" s="240">
        <f t="shared" si="39"/>
        <v>0</v>
      </c>
      <c r="AF444" s="20">
        <v>46</v>
      </c>
      <c r="AG444" s="238">
        <v>43116</v>
      </c>
      <c r="AH444" s="239">
        <v>34942750</v>
      </c>
      <c r="AI444" s="211" t="s">
        <v>2129</v>
      </c>
      <c r="AJ444" s="20">
        <v>51</v>
      </c>
      <c r="AK444" s="14"/>
      <c r="AL444" s="198">
        <v>16610467</v>
      </c>
      <c r="AM444" s="239">
        <f t="shared" si="40"/>
        <v>18332283</v>
      </c>
      <c r="AN444" s="14"/>
      <c r="AO444" s="14"/>
      <c r="AP444" s="14"/>
      <c r="AQ444" s="14"/>
      <c r="AR444" s="14"/>
      <c r="AS444" s="14"/>
      <c r="AT444" s="14"/>
      <c r="AU444" s="241" t="s">
        <v>2129</v>
      </c>
    </row>
    <row r="445" spans="1:48" ht="409.5" x14ac:dyDescent="0.2">
      <c r="A445" s="232">
        <v>10</v>
      </c>
      <c r="B445" s="232" t="s">
        <v>2130</v>
      </c>
      <c r="C445" s="232" t="s">
        <v>2084</v>
      </c>
      <c r="D445" s="232" t="s">
        <v>2085</v>
      </c>
      <c r="E445" s="233" t="s">
        <v>2086</v>
      </c>
      <c r="F445" s="232" t="s">
        <v>501</v>
      </c>
      <c r="G445" s="232" t="s">
        <v>2131</v>
      </c>
      <c r="H445" s="245" t="s">
        <v>1815</v>
      </c>
      <c r="I445" s="232" t="s">
        <v>54</v>
      </c>
      <c r="J445" s="232" t="s">
        <v>55</v>
      </c>
      <c r="K445" s="232">
        <v>82101600</v>
      </c>
      <c r="L445" s="1" t="s">
        <v>2087</v>
      </c>
      <c r="M445" s="1" t="s">
        <v>493</v>
      </c>
      <c r="N445" s="1" t="s">
        <v>494</v>
      </c>
      <c r="O445" s="97" t="s">
        <v>2088</v>
      </c>
      <c r="P445" s="8" t="s">
        <v>2132</v>
      </c>
      <c r="Q445" s="246">
        <f>S445/W445</f>
        <v>78909047.714285716</v>
      </c>
      <c r="R445" s="8">
        <v>1</v>
      </c>
      <c r="S445" s="50">
        <f>333688400-57506733</f>
        <v>276181667</v>
      </c>
      <c r="T445" s="1" t="s">
        <v>778</v>
      </c>
      <c r="U445" s="232" t="s">
        <v>2133</v>
      </c>
      <c r="V445" s="235">
        <v>43314</v>
      </c>
      <c r="W445" s="247">
        <v>3.5</v>
      </c>
      <c r="X445" s="98"/>
      <c r="Y445" s="16"/>
      <c r="Z445" s="17"/>
      <c r="AA445" s="17"/>
      <c r="AB445" s="18"/>
      <c r="AC445" s="14"/>
      <c r="AD445" s="229"/>
      <c r="AE445" s="14"/>
      <c r="AF445" s="20"/>
      <c r="AG445" s="1"/>
      <c r="AH445" s="227"/>
      <c r="AI445" s="1"/>
      <c r="AJ445" s="14"/>
      <c r="AK445" s="14"/>
      <c r="AL445" s="248"/>
      <c r="AM445" s="239">
        <f t="shared" si="40"/>
        <v>0</v>
      </c>
      <c r="AN445" s="14"/>
      <c r="AO445" s="14"/>
      <c r="AP445" s="14"/>
      <c r="AQ445" s="14"/>
      <c r="AR445" s="14"/>
      <c r="AS445" s="14"/>
      <c r="AT445" s="14"/>
      <c r="AU445" s="241"/>
    </row>
    <row r="446" spans="1:48" ht="331.5" x14ac:dyDescent="0.2">
      <c r="A446" s="232">
        <v>11</v>
      </c>
      <c r="B446" s="232" t="s">
        <v>2134</v>
      </c>
      <c r="C446" s="232" t="s">
        <v>2084</v>
      </c>
      <c r="D446" s="232" t="s">
        <v>2085</v>
      </c>
      <c r="E446" s="233" t="s">
        <v>2086</v>
      </c>
      <c r="F446" s="232" t="s">
        <v>501</v>
      </c>
      <c r="G446" s="232" t="s">
        <v>2131</v>
      </c>
      <c r="H446" s="245" t="s">
        <v>1815</v>
      </c>
      <c r="I446" s="232" t="s">
        <v>54</v>
      </c>
      <c r="J446" s="232" t="s">
        <v>55</v>
      </c>
      <c r="K446" s="232">
        <v>82101600</v>
      </c>
      <c r="L446" s="1" t="s">
        <v>2087</v>
      </c>
      <c r="M446" s="1" t="s">
        <v>493</v>
      </c>
      <c r="N446" s="1" t="s">
        <v>494</v>
      </c>
      <c r="O446" s="97" t="s">
        <v>2088</v>
      </c>
      <c r="P446" s="8" t="s">
        <v>2135</v>
      </c>
      <c r="Q446" s="8">
        <v>16109400</v>
      </c>
      <c r="R446" s="8">
        <v>1</v>
      </c>
      <c r="S446" s="50">
        <v>64437600</v>
      </c>
      <c r="T446" s="1" t="s">
        <v>778</v>
      </c>
      <c r="U446" s="232" t="s">
        <v>58</v>
      </c>
      <c r="V446" s="235" t="s">
        <v>632</v>
      </c>
      <c r="W446" s="247">
        <v>4</v>
      </c>
      <c r="X446" s="98"/>
      <c r="Y446" s="16"/>
      <c r="Z446" s="17"/>
      <c r="AA446" s="17"/>
      <c r="AB446" s="18"/>
      <c r="AC446" s="14"/>
      <c r="AD446" s="14"/>
      <c r="AE446" s="14"/>
      <c r="AF446" s="20"/>
      <c r="AG446" s="1"/>
      <c r="AH446" s="1"/>
      <c r="AI446" s="1"/>
      <c r="AJ446" s="14"/>
      <c r="AK446" s="14"/>
      <c r="AL446" s="248"/>
      <c r="AM446" s="239">
        <f t="shared" si="40"/>
        <v>0</v>
      </c>
      <c r="AN446" s="14"/>
      <c r="AO446" s="14"/>
      <c r="AP446" s="14"/>
      <c r="AQ446" s="14"/>
      <c r="AR446" s="14"/>
      <c r="AS446" s="14"/>
      <c r="AT446" s="14"/>
      <c r="AU446" s="241"/>
    </row>
    <row r="447" spans="1:48" ht="293.25" x14ac:dyDescent="0.2">
      <c r="A447" s="232">
        <v>12</v>
      </c>
      <c r="B447" s="232" t="s">
        <v>2136</v>
      </c>
      <c r="C447" s="232" t="s">
        <v>2084</v>
      </c>
      <c r="D447" s="232" t="s">
        <v>2085</v>
      </c>
      <c r="E447" s="233" t="s">
        <v>2086</v>
      </c>
      <c r="F447" s="232" t="s">
        <v>511</v>
      </c>
      <c r="G447" s="232" t="s">
        <v>512</v>
      </c>
      <c r="H447" s="234" t="s">
        <v>647</v>
      </c>
      <c r="I447" s="232" t="s">
        <v>54</v>
      </c>
      <c r="J447" s="232" t="s">
        <v>55</v>
      </c>
      <c r="K447" s="1">
        <v>80111600</v>
      </c>
      <c r="L447" s="1" t="s">
        <v>2087</v>
      </c>
      <c r="M447" s="1" t="s">
        <v>493</v>
      </c>
      <c r="N447" s="1" t="s">
        <v>494</v>
      </c>
      <c r="O447" s="97" t="s">
        <v>2088</v>
      </c>
      <c r="P447" s="8" t="s">
        <v>2137</v>
      </c>
      <c r="Q447" s="244">
        <v>4532000</v>
      </c>
      <c r="R447" s="8">
        <v>1</v>
      </c>
      <c r="S447" s="50">
        <f>4145750+57506733-36122216</f>
        <v>25530267</v>
      </c>
      <c r="T447" s="8" t="s">
        <v>1634</v>
      </c>
      <c r="U447" s="232" t="s">
        <v>58</v>
      </c>
      <c r="V447" s="8" t="s">
        <v>632</v>
      </c>
      <c r="W447" s="249">
        <v>5.63</v>
      </c>
      <c r="X447" s="98" t="s">
        <v>2138</v>
      </c>
      <c r="Y447" s="16">
        <v>43291</v>
      </c>
      <c r="Z447" s="50">
        <f>4145750+21384517</f>
        <v>25530267</v>
      </c>
      <c r="AA447" s="17"/>
      <c r="AB447" s="18">
        <v>972</v>
      </c>
      <c r="AC447" s="30">
        <v>43293</v>
      </c>
      <c r="AD447" s="50">
        <f>4145750+21384517</f>
        <v>25530267</v>
      </c>
      <c r="AE447" s="14"/>
      <c r="AF447" s="20">
        <v>2507</v>
      </c>
      <c r="AG447" s="31">
        <v>43299</v>
      </c>
      <c r="AH447" s="239">
        <v>24926000</v>
      </c>
      <c r="AI447" s="97" t="s">
        <v>2139</v>
      </c>
      <c r="AJ447" s="97">
        <v>446</v>
      </c>
      <c r="AK447" s="14"/>
      <c r="AL447" s="248"/>
      <c r="AM447" s="239">
        <f t="shared" si="40"/>
        <v>24926000</v>
      </c>
      <c r="AN447" s="14"/>
      <c r="AO447" s="14"/>
      <c r="AP447" s="14"/>
      <c r="AQ447" s="14"/>
      <c r="AR447" s="14"/>
      <c r="AS447" s="14"/>
      <c r="AT447" s="14"/>
      <c r="AU447" s="241" t="s">
        <v>2140</v>
      </c>
    </row>
    <row r="448" spans="1:48" ht="293.25" x14ac:dyDescent="0.2">
      <c r="A448" s="232">
        <v>13</v>
      </c>
      <c r="B448" s="232" t="s">
        <v>2141</v>
      </c>
      <c r="C448" s="232" t="s">
        <v>2084</v>
      </c>
      <c r="D448" s="232" t="s">
        <v>2085</v>
      </c>
      <c r="E448" s="233" t="s">
        <v>2086</v>
      </c>
      <c r="F448" s="232" t="s">
        <v>511</v>
      </c>
      <c r="G448" s="232" t="s">
        <v>512</v>
      </c>
      <c r="H448" s="234" t="s">
        <v>647</v>
      </c>
      <c r="I448" s="232" t="s">
        <v>54</v>
      </c>
      <c r="J448" s="232" t="s">
        <v>55</v>
      </c>
      <c r="K448" s="1">
        <v>80111600</v>
      </c>
      <c r="L448" s="1" t="s">
        <v>2087</v>
      </c>
      <c r="M448" s="1" t="s">
        <v>493</v>
      </c>
      <c r="N448" s="1" t="s">
        <v>494</v>
      </c>
      <c r="O448" s="97" t="s">
        <v>2088</v>
      </c>
      <c r="P448" s="8" t="s">
        <v>2137</v>
      </c>
      <c r="Q448" s="244"/>
      <c r="R448" s="8">
        <v>1</v>
      </c>
      <c r="S448" s="50">
        <f>36122216+77250+1600</f>
        <v>36201066</v>
      </c>
      <c r="T448" s="8" t="s">
        <v>1634</v>
      </c>
      <c r="U448" s="232" t="s">
        <v>58</v>
      </c>
      <c r="V448" s="16">
        <v>43313</v>
      </c>
      <c r="W448" s="249">
        <v>5.63</v>
      </c>
      <c r="X448" s="98"/>
      <c r="Y448" s="16"/>
      <c r="Z448" s="50"/>
      <c r="AA448" s="17"/>
      <c r="AB448" s="18"/>
      <c r="AC448" s="14"/>
      <c r="AD448" s="14"/>
      <c r="AE448" s="14"/>
      <c r="AF448" s="20"/>
      <c r="AG448" s="1"/>
      <c r="AH448" s="1"/>
      <c r="AI448" s="1"/>
      <c r="AJ448" s="14"/>
      <c r="AK448" s="14"/>
      <c r="AL448" s="248"/>
      <c r="AM448" s="14"/>
      <c r="AN448" s="14"/>
      <c r="AO448" s="14"/>
      <c r="AP448" s="14"/>
      <c r="AQ448" s="14"/>
      <c r="AR448" s="14"/>
      <c r="AS448" s="14"/>
      <c r="AT448" s="14"/>
      <c r="AU448" s="241" t="s">
        <v>2140</v>
      </c>
    </row>
    <row r="449" spans="1:47" ht="204" x14ac:dyDescent="0.2">
      <c r="A449" s="232">
        <v>1</v>
      </c>
      <c r="B449" s="232" t="s">
        <v>2142</v>
      </c>
      <c r="C449" s="232" t="s">
        <v>2143</v>
      </c>
      <c r="D449" s="232" t="s">
        <v>2144</v>
      </c>
      <c r="E449" s="232" t="s">
        <v>2145</v>
      </c>
      <c r="F449" s="232" t="s">
        <v>511</v>
      </c>
      <c r="G449" s="232" t="s">
        <v>512</v>
      </c>
      <c r="H449" s="234" t="s">
        <v>647</v>
      </c>
      <c r="I449" s="232" t="s">
        <v>54</v>
      </c>
      <c r="J449" s="232" t="s">
        <v>55</v>
      </c>
      <c r="K449" s="1">
        <v>80111600</v>
      </c>
      <c r="L449" s="1" t="s">
        <v>2146</v>
      </c>
      <c r="M449" s="1" t="s">
        <v>493</v>
      </c>
      <c r="N449" s="1" t="s">
        <v>494</v>
      </c>
      <c r="O449" s="97" t="s">
        <v>2088</v>
      </c>
      <c r="P449" s="1" t="s">
        <v>2147</v>
      </c>
      <c r="Q449" s="250">
        <v>7210000</v>
      </c>
      <c r="R449" s="247">
        <v>1</v>
      </c>
      <c r="S449" s="250">
        <v>83636000</v>
      </c>
      <c r="T449" s="8" t="s">
        <v>1619</v>
      </c>
      <c r="U449" s="232" t="s">
        <v>58</v>
      </c>
      <c r="V449" s="235" t="s">
        <v>620</v>
      </c>
      <c r="W449" s="236">
        <v>11.57</v>
      </c>
      <c r="X449" s="251" t="s">
        <v>2148</v>
      </c>
      <c r="Y449" s="186">
        <v>43102</v>
      </c>
      <c r="Z449" s="250">
        <v>83636000</v>
      </c>
      <c r="AA449" s="97"/>
      <c r="AB449" s="97">
        <v>90</v>
      </c>
      <c r="AC449" s="186">
        <v>43103</v>
      </c>
      <c r="AD449" s="239">
        <v>82915000</v>
      </c>
      <c r="AE449" s="252">
        <f t="shared" ref="AE449:AE490" si="41">S449-Z449</f>
        <v>0</v>
      </c>
      <c r="AF449" s="139">
        <v>166</v>
      </c>
      <c r="AG449" s="186">
        <v>43118</v>
      </c>
      <c r="AH449" s="239">
        <v>82915000</v>
      </c>
      <c r="AI449" s="97" t="s">
        <v>2149</v>
      </c>
      <c r="AJ449" s="192">
        <v>124</v>
      </c>
      <c r="AK449" s="97"/>
      <c r="AL449" s="198">
        <v>39174333</v>
      </c>
      <c r="AM449" s="253">
        <f t="shared" ref="AM449:AM479" si="42">AH449-AL449</f>
        <v>43740667</v>
      </c>
      <c r="AN449" s="97"/>
      <c r="AO449" s="97"/>
      <c r="AP449" s="97"/>
      <c r="AQ449" s="97"/>
      <c r="AR449" s="97"/>
      <c r="AS449" s="97"/>
      <c r="AT449" s="97"/>
      <c r="AU449" s="97"/>
    </row>
    <row r="450" spans="1:47" ht="242.25" x14ac:dyDescent="0.2">
      <c r="A450" s="232">
        <f>+A449+1</f>
        <v>2</v>
      </c>
      <c r="B450" s="232" t="s">
        <v>2150</v>
      </c>
      <c r="C450" s="232" t="s">
        <v>2143</v>
      </c>
      <c r="D450" s="232" t="s">
        <v>2144</v>
      </c>
      <c r="E450" s="232" t="s">
        <v>2145</v>
      </c>
      <c r="F450" s="232" t="s">
        <v>511</v>
      </c>
      <c r="G450" s="232" t="s">
        <v>512</v>
      </c>
      <c r="H450" s="234" t="s">
        <v>647</v>
      </c>
      <c r="I450" s="232" t="s">
        <v>54</v>
      </c>
      <c r="J450" s="232" t="s">
        <v>55</v>
      </c>
      <c r="K450" s="1">
        <v>80111600</v>
      </c>
      <c r="L450" s="1" t="s">
        <v>2146</v>
      </c>
      <c r="M450" s="1" t="s">
        <v>493</v>
      </c>
      <c r="N450" s="1" t="s">
        <v>494</v>
      </c>
      <c r="O450" s="97" t="s">
        <v>2088</v>
      </c>
      <c r="P450" s="1" t="s">
        <v>2151</v>
      </c>
      <c r="Q450" s="250">
        <v>4532000</v>
      </c>
      <c r="R450" s="247">
        <v>1</v>
      </c>
      <c r="S450" s="250">
        <v>36256000</v>
      </c>
      <c r="T450" s="8" t="s">
        <v>1619</v>
      </c>
      <c r="U450" s="232" t="s">
        <v>58</v>
      </c>
      <c r="V450" s="235" t="s">
        <v>620</v>
      </c>
      <c r="W450" s="236">
        <v>8</v>
      </c>
      <c r="X450" s="251" t="s">
        <v>2152</v>
      </c>
      <c r="Y450" s="186">
        <v>43102</v>
      </c>
      <c r="Z450" s="250">
        <v>36256000</v>
      </c>
      <c r="AA450" s="97"/>
      <c r="AB450" s="97">
        <v>91</v>
      </c>
      <c r="AC450" s="186">
        <v>43103</v>
      </c>
      <c r="AD450" s="239">
        <v>36256000</v>
      </c>
      <c r="AE450" s="252">
        <f t="shared" si="41"/>
        <v>0</v>
      </c>
      <c r="AF450" s="139">
        <v>490</v>
      </c>
      <c r="AG450" s="186">
        <v>43126</v>
      </c>
      <c r="AH450" s="239">
        <v>36256000</v>
      </c>
      <c r="AI450" s="97" t="s">
        <v>2153</v>
      </c>
      <c r="AJ450" s="192">
        <v>419</v>
      </c>
      <c r="AK450" s="97"/>
      <c r="AL450" s="198">
        <v>22660000</v>
      </c>
      <c r="AM450" s="253">
        <f t="shared" si="42"/>
        <v>13596000</v>
      </c>
      <c r="AN450" s="97"/>
      <c r="AO450" s="97"/>
      <c r="AP450" s="97"/>
      <c r="AQ450" s="97"/>
      <c r="AR450" s="97"/>
      <c r="AS450" s="97"/>
      <c r="AT450" s="97"/>
      <c r="AU450" s="97"/>
    </row>
    <row r="451" spans="1:47" ht="267.75" x14ac:dyDescent="0.2">
      <c r="A451" s="232">
        <f t="shared" ref="A451:A490" si="43">+A450+1</f>
        <v>3</v>
      </c>
      <c r="B451" s="232" t="s">
        <v>2154</v>
      </c>
      <c r="C451" s="232" t="s">
        <v>2143</v>
      </c>
      <c r="D451" s="232" t="s">
        <v>2144</v>
      </c>
      <c r="E451" s="232" t="s">
        <v>2145</v>
      </c>
      <c r="F451" s="232" t="s">
        <v>511</v>
      </c>
      <c r="G451" s="232" t="s">
        <v>512</v>
      </c>
      <c r="H451" s="234" t="s">
        <v>647</v>
      </c>
      <c r="I451" s="232" t="s">
        <v>54</v>
      </c>
      <c r="J451" s="232" t="s">
        <v>55</v>
      </c>
      <c r="K451" s="1">
        <v>80111600</v>
      </c>
      <c r="L451" s="1" t="s">
        <v>2146</v>
      </c>
      <c r="M451" s="1" t="s">
        <v>493</v>
      </c>
      <c r="N451" s="1" t="s">
        <v>494</v>
      </c>
      <c r="O451" s="97" t="s">
        <v>2088</v>
      </c>
      <c r="P451" s="1" t="s">
        <v>2155</v>
      </c>
      <c r="Q451" s="250">
        <v>5253000</v>
      </c>
      <c r="R451" s="247">
        <v>1</v>
      </c>
      <c r="S451" s="250">
        <v>59709100</v>
      </c>
      <c r="T451" s="8" t="s">
        <v>1619</v>
      </c>
      <c r="U451" s="232" t="s">
        <v>58</v>
      </c>
      <c r="V451" s="235" t="s">
        <v>620</v>
      </c>
      <c r="W451" s="236">
        <v>11.4</v>
      </c>
      <c r="X451" s="251" t="s">
        <v>2156</v>
      </c>
      <c r="Y451" s="186">
        <v>43102</v>
      </c>
      <c r="Z451" s="250">
        <v>59709100</v>
      </c>
      <c r="AA451" s="97"/>
      <c r="AB451" s="97">
        <v>92</v>
      </c>
      <c r="AC451" s="186">
        <v>43103</v>
      </c>
      <c r="AD451" s="239">
        <v>59709100</v>
      </c>
      <c r="AE451" s="252">
        <f t="shared" si="41"/>
        <v>0</v>
      </c>
      <c r="AF451" s="139">
        <v>468</v>
      </c>
      <c r="AG451" s="186">
        <v>43126</v>
      </c>
      <c r="AH451" s="239">
        <v>59709100</v>
      </c>
      <c r="AI451" s="97" t="s">
        <v>2157</v>
      </c>
      <c r="AJ451" s="192">
        <v>395</v>
      </c>
      <c r="AK451" s="97"/>
      <c r="AL451" s="198">
        <v>27140500</v>
      </c>
      <c r="AM451" s="253">
        <f t="shared" si="42"/>
        <v>32568600</v>
      </c>
      <c r="AN451" s="97"/>
      <c r="AO451" s="97"/>
      <c r="AP451" s="97"/>
      <c r="AQ451" s="97"/>
      <c r="AR451" s="97"/>
      <c r="AS451" s="97"/>
      <c r="AT451" s="97"/>
      <c r="AU451" s="97"/>
    </row>
    <row r="452" spans="1:47" ht="357" x14ac:dyDescent="0.2">
      <c r="A452" s="232">
        <f t="shared" si="43"/>
        <v>4</v>
      </c>
      <c r="B452" s="232" t="s">
        <v>2158</v>
      </c>
      <c r="C452" s="232" t="s">
        <v>2143</v>
      </c>
      <c r="D452" s="232" t="s">
        <v>2144</v>
      </c>
      <c r="E452" s="232" t="s">
        <v>2145</v>
      </c>
      <c r="F452" s="232" t="s">
        <v>511</v>
      </c>
      <c r="G452" s="232" t="s">
        <v>512</v>
      </c>
      <c r="H452" s="234" t="s">
        <v>647</v>
      </c>
      <c r="I452" s="232" t="s">
        <v>54</v>
      </c>
      <c r="J452" s="232" t="s">
        <v>55</v>
      </c>
      <c r="K452" s="1">
        <v>80111600</v>
      </c>
      <c r="L452" s="1" t="s">
        <v>2146</v>
      </c>
      <c r="M452" s="1" t="s">
        <v>493</v>
      </c>
      <c r="N452" s="1" t="s">
        <v>494</v>
      </c>
      <c r="O452" s="97" t="s">
        <v>2088</v>
      </c>
      <c r="P452" s="1" t="s">
        <v>2159</v>
      </c>
      <c r="Q452" s="250">
        <v>4532000</v>
      </c>
      <c r="R452" s="247">
        <v>1</v>
      </c>
      <c r="S452" s="250">
        <v>51966933.329999998</v>
      </c>
      <c r="T452" s="8" t="s">
        <v>1619</v>
      </c>
      <c r="U452" s="232" t="s">
        <v>58</v>
      </c>
      <c r="V452" s="235" t="s">
        <v>620</v>
      </c>
      <c r="W452" s="236">
        <v>11.5</v>
      </c>
      <c r="X452" s="251" t="s">
        <v>2160</v>
      </c>
      <c r="Y452" s="186">
        <v>43102</v>
      </c>
      <c r="Z452" s="250">
        <v>51966933.329999998</v>
      </c>
      <c r="AA452" s="97"/>
      <c r="AB452" s="97">
        <v>94</v>
      </c>
      <c r="AC452" s="186">
        <v>43103</v>
      </c>
      <c r="AD452" s="239">
        <v>51966933</v>
      </c>
      <c r="AE452" s="252">
        <f t="shared" si="41"/>
        <v>0</v>
      </c>
      <c r="AF452" s="139">
        <v>333</v>
      </c>
      <c r="AG452" s="186">
        <v>43123</v>
      </c>
      <c r="AH452" s="239">
        <v>51966933</v>
      </c>
      <c r="AI452" s="97" t="s">
        <v>2161</v>
      </c>
      <c r="AJ452" s="192">
        <v>283</v>
      </c>
      <c r="AK452" s="97"/>
      <c r="AL452" s="198">
        <v>23868533</v>
      </c>
      <c r="AM452" s="253">
        <f t="shared" si="42"/>
        <v>28098400</v>
      </c>
      <c r="AN452" s="97"/>
      <c r="AO452" s="97"/>
      <c r="AP452" s="97"/>
      <c r="AQ452" s="97"/>
      <c r="AR452" s="97"/>
      <c r="AS452" s="97"/>
      <c r="AT452" s="97"/>
      <c r="AU452" s="97"/>
    </row>
    <row r="453" spans="1:47" ht="344.25" x14ac:dyDescent="0.2">
      <c r="A453" s="232">
        <f t="shared" si="43"/>
        <v>5</v>
      </c>
      <c r="B453" s="232" t="s">
        <v>2162</v>
      </c>
      <c r="C453" s="232" t="s">
        <v>2143</v>
      </c>
      <c r="D453" s="232" t="s">
        <v>2144</v>
      </c>
      <c r="E453" s="232" t="s">
        <v>2145</v>
      </c>
      <c r="F453" s="232" t="s">
        <v>511</v>
      </c>
      <c r="G453" s="232" t="s">
        <v>512</v>
      </c>
      <c r="H453" s="234" t="s">
        <v>647</v>
      </c>
      <c r="I453" s="232" t="s">
        <v>54</v>
      </c>
      <c r="J453" s="232" t="s">
        <v>55</v>
      </c>
      <c r="K453" s="1">
        <v>80111600</v>
      </c>
      <c r="L453" s="1" t="s">
        <v>2146</v>
      </c>
      <c r="M453" s="1" t="s">
        <v>493</v>
      </c>
      <c r="N453" s="1" t="s">
        <v>494</v>
      </c>
      <c r="O453" s="97" t="s">
        <v>2088</v>
      </c>
      <c r="P453" s="1" t="s">
        <v>2163</v>
      </c>
      <c r="Q453" s="250">
        <v>3326900</v>
      </c>
      <c r="R453" s="247">
        <v>1</v>
      </c>
      <c r="S453" s="250">
        <f>18297950+18297950</f>
        <v>36595900</v>
      </c>
      <c r="T453" s="8" t="s">
        <v>2164</v>
      </c>
      <c r="U453" s="232" t="s">
        <v>58</v>
      </c>
      <c r="V453" s="235" t="s">
        <v>620</v>
      </c>
      <c r="W453" s="236">
        <v>5.5</v>
      </c>
      <c r="X453" s="251" t="s">
        <v>2165</v>
      </c>
      <c r="Y453" s="186">
        <v>43116</v>
      </c>
      <c r="Z453" s="250">
        <v>36595900</v>
      </c>
      <c r="AA453" s="97" t="s">
        <v>2166</v>
      </c>
      <c r="AB453" s="97">
        <v>515</v>
      </c>
      <c r="AC453" s="186">
        <v>43117</v>
      </c>
      <c r="AD453" s="239">
        <v>36595900</v>
      </c>
      <c r="AE453" s="252">
        <f t="shared" si="41"/>
        <v>0</v>
      </c>
      <c r="AF453" s="139">
        <v>251</v>
      </c>
      <c r="AG453" s="186">
        <v>43119</v>
      </c>
      <c r="AH453" s="239">
        <v>36595900</v>
      </c>
      <c r="AI453" s="97" t="s">
        <v>2167</v>
      </c>
      <c r="AJ453" s="192">
        <v>204</v>
      </c>
      <c r="AK453" s="192"/>
      <c r="AL453" s="198">
        <v>17965260</v>
      </c>
      <c r="AM453" s="253">
        <f t="shared" si="42"/>
        <v>18630640</v>
      </c>
      <c r="AN453" s="97"/>
      <c r="AO453" s="97"/>
      <c r="AP453" s="97"/>
      <c r="AQ453" s="97"/>
      <c r="AR453" s="97"/>
      <c r="AS453" s="97"/>
      <c r="AT453" s="97"/>
      <c r="AU453" s="97"/>
    </row>
    <row r="454" spans="1:47" ht="408" x14ac:dyDescent="0.2">
      <c r="A454" s="232">
        <f t="shared" si="43"/>
        <v>6</v>
      </c>
      <c r="B454" s="232" t="s">
        <v>2168</v>
      </c>
      <c r="C454" s="232" t="s">
        <v>2143</v>
      </c>
      <c r="D454" s="232" t="s">
        <v>2144</v>
      </c>
      <c r="E454" s="232" t="s">
        <v>2145</v>
      </c>
      <c r="F454" s="232" t="s">
        <v>511</v>
      </c>
      <c r="G454" s="232" t="s">
        <v>512</v>
      </c>
      <c r="H454" s="234" t="s">
        <v>647</v>
      </c>
      <c r="I454" s="232" t="s">
        <v>54</v>
      </c>
      <c r="J454" s="232" t="s">
        <v>55</v>
      </c>
      <c r="K454" s="1">
        <v>80111600</v>
      </c>
      <c r="L454" s="1" t="s">
        <v>2146</v>
      </c>
      <c r="M454" s="1" t="s">
        <v>493</v>
      </c>
      <c r="N454" s="1" t="s">
        <v>494</v>
      </c>
      <c r="O454" s="97" t="s">
        <v>2088</v>
      </c>
      <c r="P454" s="1" t="s">
        <v>2169</v>
      </c>
      <c r="Q454" s="250">
        <v>6695000</v>
      </c>
      <c r="R454" s="247">
        <v>1</v>
      </c>
      <c r="S454" s="250">
        <v>77215666.666666657</v>
      </c>
      <c r="T454" s="8" t="s">
        <v>1619</v>
      </c>
      <c r="U454" s="232" t="s">
        <v>58</v>
      </c>
      <c r="V454" s="235" t="s">
        <v>620</v>
      </c>
      <c r="W454" s="236">
        <v>11.5</v>
      </c>
      <c r="X454" s="251" t="s">
        <v>2170</v>
      </c>
      <c r="Y454" s="186">
        <v>43102</v>
      </c>
      <c r="Z454" s="250">
        <v>77215666.666666657</v>
      </c>
      <c r="AA454" s="97"/>
      <c r="AB454" s="97">
        <v>96</v>
      </c>
      <c r="AC454" s="186">
        <v>43103</v>
      </c>
      <c r="AD454" s="239">
        <v>76992500</v>
      </c>
      <c r="AE454" s="252">
        <f t="shared" si="41"/>
        <v>0</v>
      </c>
      <c r="AF454" s="139">
        <v>54</v>
      </c>
      <c r="AG454" s="186">
        <v>43116</v>
      </c>
      <c r="AH454" s="239">
        <v>76992500</v>
      </c>
      <c r="AI454" s="97" t="s">
        <v>2171</v>
      </c>
      <c r="AJ454" s="192">
        <v>41</v>
      </c>
      <c r="AK454" s="192"/>
      <c r="AL454" s="198">
        <v>36599333</v>
      </c>
      <c r="AM454" s="253">
        <f t="shared" si="42"/>
        <v>40393167</v>
      </c>
      <c r="AN454" s="97"/>
      <c r="AO454" s="97"/>
      <c r="AP454" s="97"/>
      <c r="AQ454" s="97"/>
      <c r="AR454" s="97"/>
      <c r="AS454" s="97"/>
      <c r="AT454" s="97"/>
      <c r="AU454" s="97"/>
    </row>
    <row r="455" spans="1:47" ht="331.5" x14ac:dyDescent="0.2">
      <c r="A455" s="232">
        <f t="shared" si="43"/>
        <v>7</v>
      </c>
      <c r="B455" s="232" t="s">
        <v>2172</v>
      </c>
      <c r="C455" s="232" t="s">
        <v>2143</v>
      </c>
      <c r="D455" s="232" t="s">
        <v>2144</v>
      </c>
      <c r="E455" s="232" t="s">
        <v>2145</v>
      </c>
      <c r="F455" s="232" t="s">
        <v>511</v>
      </c>
      <c r="G455" s="232" t="s">
        <v>512</v>
      </c>
      <c r="H455" s="234" t="s">
        <v>647</v>
      </c>
      <c r="I455" s="232" t="s">
        <v>54</v>
      </c>
      <c r="J455" s="232" t="s">
        <v>55</v>
      </c>
      <c r="K455" s="1">
        <v>80111600</v>
      </c>
      <c r="L455" s="1" t="s">
        <v>2146</v>
      </c>
      <c r="M455" s="1" t="s">
        <v>493</v>
      </c>
      <c r="N455" s="1" t="s">
        <v>494</v>
      </c>
      <c r="O455" s="97" t="s">
        <v>2088</v>
      </c>
      <c r="P455" s="1" t="s">
        <v>2173</v>
      </c>
      <c r="Q455" s="250">
        <v>3553500</v>
      </c>
      <c r="R455" s="247">
        <v>1</v>
      </c>
      <c r="S455" s="250">
        <v>39799200</v>
      </c>
      <c r="T455" s="8" t="s">
        <v>1619</v>
      </c>
      <c r="U455" s="232" t="s">
        <v>58</v>
      </c>
      <c r="V455" s="235" t="s">
        <v>620</v>
      </c>
      <c r="W455" s="236">
        <v>11.17</v>
      </c>
      <c r="X455" s="251" t="s">
        <v>2174</v>
      </c>
      <c r="Y455" s="186">
        <v>43102</v>
      </c>
      <c r="Z455" s="250">
        <v>39799200</v>
      </c>
      <c r="AA455" s="97"/>
      <c r="AB455" s="97">
        <v>97</v>
      </c>
      <c r="AC455" s="186">
        <v>43103</v>
      </c>
      <c r="AD455" s="239">
        <v>39799200</v>
      </c>
      <c r="AE455" s="252">
        <f t="shared" si="41"/>
        <v>0</v>
      </c>
      <c r="AF455" s="139">
        <v>489</v>
      </c>
      <c r="AG455" s="186">
        <v>43126</v>
      </c>
      <c r="AH455" s="239">
        <v>39799200</v>
      </c>
      <c r="AI455" s="97" t="s">
        <v>2175</v>
      </c>
      <c r="AJ455" s="192">
        <v>418</v>
      </c>
      <c r="AK455" s="192"/>
      <c r="AL455" s="198">
        <v>17885950</v>
      </c>
      <c r="AM455" s="253">
        <f t="shared" si="42"/>
        <v>21913250</v>
      </c>
      <c r="AN455" s="97"/>
      <c r="AO455" s="97"/>
      <c r="AP455" s="97"/>
      <c r="AQ455" s="97"/>
      <c r="AR455" s="97"/>
      <c r="AS455" s="97"/>
      <c r="AT455" s="97"/>
      <c r="AU455" s="97"/>
    </row>
    <row r="456" spans="1:47" ht="306" x14ac:dyDescent="0.2">
      <c r="A456" s="232">
        <f t="shared" si="43"/>
        <v>8</v>
      </c>
      <c r="B456" s="232" t="s">
        <v>2176</v>
      </c>
      <c r="C456" s="232" t="s">
        <v>2143</v>
      </c>
      <c r="D456" s="232" t="s">
        <v>2144</v>
      </c>
      <c r="E456" s="232" t="s">
        <v>2145</v>
      </c>
      <c r="F456" s="232" t="s">
        <v>511</v>
      </c>
      <c r="G456" s="232" t="s">
        <v>512</v>
      </c>
      <c r="H456" s="234" t="s">
        <v>647</v>
      </c>
      <c r="I456" s="232" t="s">
        <v>54</v>
      </c>
      <c r="J456" s="232" t="s">
        <v>55</v>
      </c>
      <c r="K456" s="1">
        <v>80111600</v>
      </c>
      <c r="L456" s="1" t="s">
        <v>2146</v>
      </c>
      <c r="M456" s="1" t="s">
        <v>493</v>
      </c>
      <c r="N456" s="1" t="s">
        <v>494</v>
      </c>
      <c r="O456" s="97" t="s">
        <v>2088</v>
      </c>
      <c r="P456" s="1" t="s">
        <v>2177</v>
      </c>
      <c r="Q456" s="250">
        <v>3399000</v>
      </c>
      <c r="R456" s="247">
        <v>1</v>
      </c>
      <c r="S456" s="250">
        <v>39428400</v>
      </c>
      <c r="T456" s="8" t="s">
        <v>1619</v>
      </c>
      <c r="U456" s="232" t="s">
        <v>58</v>
      </c>
      <c r="V456" s="235" t="s">
        <v>620</v>
      </c>
      <c r="W456" s="236">
        <v>11.6</v>
      </c>
      <c r="X456" s="251" t="s">
        <v>2178</v>
      </c>
      <c r="Y456" s="186">
        <v>43102</v>
      </c>
      <c r="Z456" s="250">
        <v>39428400</v>
      </c>
      <c r="AA456" s="97"/>
      <c r="AB456" s="97">
        <v>98</v>
      </c>
      <c r="AC456" s="186">
        <v>43103</v>
      </c>
      <c r="AD456" s="239">
        <v>39088500</v>
      </c>
      <c r="AE456" s="252">
        <f t="shared" si="41"/>
        <v>0</v>
      </c>
      <c r="AF456" s="139">
        <v>172</v>
      </c>
      <c r="AG456" s="186">
        <v>43118</v>
      </c>
      <c r="AH456" s="239">
        <v>39088500</v>
      </c>
      <c r="AI456" s="97" t="s">
        <v>2179</v>
      </c>
      <c r="AJ456" s="192">
        <v>139</v>
      </c>
      <c r="AK456" s="192"/>
      <c r="AL456" s="198">
        <v>18467900</v>
      </c>
      <c r="AM456" s="253">
        <f t="shared" si="42"/>
        <v>20620600</v>
      </c>
      <c r="AN456" s="97"/>
      <c r="AO456" s="97"/>
      <c r="AP456" s="97"/>
      <c r="AQ456" s="97"/>
      <c r="AR456" s="97"/>
      <c r="AS456" s="97"/>
      <c r="AT456" s="97"/>
      <c r="AU456" s="97"/>
    </row>
    <row r="457" spans="1:47" ht="331.5" x14ac:dyDescent="0.2">
      <c r="A457" s="232">
        <f t="shared" si="43"/>
        <v>9</v>
      </c>
      <c r="B457" s="232" t="s">
        <v>2180</v>
      </c>
      <c r="C457" s="232" t="s">
        <v>2143</v>
      </c>
      <c r="D457" s="232" t="s">
        <v>2144</v>
      </c>
      <c r="E457" s="232" t="s">
        <v>2145</v>
      </c>
      <c r="F457" s="232" t="s">
        <v>511</v>
      </c>
      <c r="G457" s="232" t="s">
        <v>512</v>
      </c>
      <c r="H457" s="234" t="s">
        <v>647</v>
      </c>
      <c r="I457" s="232" t="s">
        <v>54</v>
      </c>
      <c r="J457" s="232" t="s">
        <v>55</v>
      </c>
      <c r="K457" s="1">
        <v>80111600</v>
      </c>
      <c r="L457" s="1" t="s">
        <v>2146</v>
      </c>
      <c r="M457" s="1" t="s">
        <v>493</v>
      </c>
      <c r="N457" s="1" t="s">
        <v>494</v>
      </c>
      <c r="O457" s="97" t="s">
        <v>2088</v>
      </c>
      <c r="P457" s="1" t="s">
        <v>2181</v>
      </c>
      <c r="Q457" s="250">
        <v>3326900</v>
      </c>
      <c r="R457" s="247">
        <v>1</v>
      </c>
      <c r="S457" s="250">
        <f>18297950+15858223</f>
        <v>34156173</v>
      </c>
      <c r="T457" s="8" t="s">
        <v>2164</v>
      </c>
      <c r="U457" s="232" t="s">
        <v>58</v>
      </c>
      <c r="V457" s="235" t="s">
        <v>620</v>
      </c>
      <c r="W457" s="236">
        <v>5.5</v>
      </c>
      <c r="X457" s="251" t="s">
        <v>2182</v>
      </c>
      <c r="Y457" s="186">
        <v>43116</v>
      </c>
      <c r="Z457" s="250">
        <v>34156173</v>
      </c>
      <c r="AA457" s="97" t="s">
        <v>2183</v>
      </c>
      <c r="AB457" s="97">
        <v>516</v>
      </c>
      <c r="AC457" s="186">
        <v>43117</v>
      </c>
      <c r="AD457" s="239">
        <v>34156173</v>
      </c>
      <c r="AE457" s="252">
        <f t="shared" si="41"/>
        <v>0</v>
      </c>
      <c r="AF457" s="139">
        <v>221</v>
      </c>
      <c r="AG457" s="186">
        <v>43117</v>
      </c>
      <c r="AH457" s="239">
        <v>34156173</v>
      </c>
      <c r="AI457" s="97" t="s">
        <v>2184</v>
      </c>
      <c r="AJ457" s="192">
        <v>195</v>
      </c>
      <c r="AK457" s="192"/>
      <c r="AL457" s="198">
        <v>17965260</v>
      </c>
      <c r="AM457" s="253">
        <f t="shared" si="42"/>
        <v>16190913</v>
      </c>
      <c r="AN457" s="97"/>
      <c r="AO457" s="97"/>
      <c r="AP457" s="97"/>
      <c r="AQ457" s="97"/>
      <c r="AR457" s="97"/>
      <c r="AS457" s="97"/>
      <c r="AT457" s="97"/>
      <c r="AU457" s="97"/>
    </row>
    <row r="458" spans="1:47" ht="382.5" x14ac:dyDescent="0.2">
      <c r="A458" s="232">
        <f t="shared" si="43"/>
        <v>10</v>
      </c>
      <c r="B458" s="232" t="s">
        <v>2185</v>
      </c>
      <c r="C458" s="232" t="s">
        <v>2143</v>
      </c>
      <c r="D458" s="232" t="s">
        <v>2144</v>
      </c>
      <c r="E458" s="232" t="s">
        <v>2145</v>
      </c>
      <c r="F458" s="232" t="s">
        <v>511</v>
      </c>
      <c r="G458" s="232" t="s">
        <v>512</v>
      </c>
      <c r="H458" s="234" t="s">
        <v>647</v>
      </c>
      <c r="I458" s="232" t="s">
        <v>54</v>
      </c>
      <c r="J458" s="232" t="s">
        <v>55</v>
      </c>
      <c r="K458" s="1">
        <v>80111600</v>
      </c>
      <c r="L458" s="1" t="s">
        <v>2146</v>
      </c>
      <c r="M458" s="1" t="s">
        <v>493</v>
      </c>
      <c r="N458" s="1" t="s">
        <v>494</v>
      </c>
      <c r="O458" s="97" t="s">
        <v>2088</v>
      </c>
      <c r="P458" s="1" t="s">
        <v>2186</v>
      </c>
      <c r="Q458" s="250">
        <v>7210000</v>
      </c>
      <c r="R458" s="247">
        <v>1</v>
      </c>
      <c r="S458" s="250">
        <v>80511666.666666672</v>
      </c>
      <c r="T458" s="8" t="s">
        <v>1619</v>
      </c>
      <c r="U458" s="232" t="s">
        <v>58</v>
      </c>
      <c r="V458" s="235" t="s">
        <v>620</v>
      </c>
      <c r="W458" s="236">
        <v>11.17</v>
      </c>
      <c r="X458" s="251" t="s">
        <v>2187</v>
      </c>
      <c r="Y458" s="186">
        <v>43102</v>
      </c>
      <c r="Z458" s="250">
        <v>80511666.666666672</v>
      </c>
      <c r="AA458" s="97"/>
      <c r="AB458" s="97">
        <v>100</v>
      </c>
      <c r="AC458" s="186">
        <v>43103</v>
      </c>
      <c r="AD458" s="239">
        <v>80511667</v>
      </c>
      <c r="AE458" s="252">
        <f t="shared" si="41"/>
        <v>0</v>
      </c>
      <c r="AF458" s="139">
        <v>495</v>
      </c>
      <c r="AG458" s="186">
        <v>43126</v>
      </c>
      <c r="AH458" s="239">
        <v>80511667</v>
      </c>
      <c r="AI458" s="97" t="s">
        <v>2188</v>
      </c>
      <c r="AJ458" s="192">
        <v>424</v>
      </c>
      <c r="AK458" s="192"/>
      <c r="AL458" s="198">
        <v>36530667</v>
      </c>
      <c r="AM458" s="253">
        <f t="shared" si="42"/>
        <v>43981000</v>
      </c>
      <c r="AN458" s="97"/>
      <c r="AO458" s="97"/>
      <c r="AP458" s="97"/>
      <c r="AQ458" s="97"/>
      <c r="AR458" s="97"/>
      <c r="AS458" s="97"/>
      <c r="AT458" s="97"/>
      <c r="AU458" s="97"/>
    </row>
    <row r="459" spans="1:47" ht="331.5" x14ac:dyDescent="0.2">
      <c r="A459" s="232">
        <f t="shared" si="43"/>
        <v>11</v>
      </c>
      <c r="B459" s="232" t="s">
        <v>2189</v>
      </c>
      <c r="C459" s="232" t="s">
        <v>2143</v>
      </c>
      <c r="D459" s="232" t="s">
        <v>2144</v>
      </c>
      <c r="E459" s="232" t="s">
        <v>2145</v>
      </c>
      <c r="F459" s="232" t="s">
        <v>511</v>
      </c>
      <c r="G459" s="232" t="s">
        <v>512</v>
      </c>
      <c r="H459" s="234" t="s">
        <v>647</v>
      </c>
      <c r="I459" s="232" t="s">
        <v>54</v>
      </c>
      <c r="J459" s="232" t="s">
        <v>55</v>
      </c>
      <c r="K459" s="1">
        <v>80111600</v>
      </c>
      <c r="L459" s="1" t="s">
        <v>2146</v>
      </c>
      <c r="M459" s="1" t="s">
        <v>493</v>
      </c>
      <c r="N459" s="1" t="s">
        <v>494</v>
      </c>
      <c r="O459" s="97" t="s">
        <v>2088</v>
      </c>
      <c r="P459" s="1" t="s">
        <v>2181</v>
      </c>
      <c r="Q459" s="250">
        <v>12133.33</v>
      </c>
      <c r="R459" s="247">
        <v>1</v>
      </c>
      <c r="S459" s="250">
        <v>12133.33</v>
      </c>
      <c r="T459" s="8" t="s">
        <v>2164</v>
      </c>
      <c r="U459" s="232" t="s">
        <v>58</v>
      </c>
      <c r="V459" s="235" t="s">
        <v>510</v>
      </c>
      <c r="W459" s="236">
        <v>1</v>
      </c>
      <c r="X459" s="251" t="s">
        <v>2190</v>
      </c>
      <c r="Y459" s="186">
        <v>43102</v>
      </c>
      <c r="Z459" s="250">
        <v>12133.33</v>
      </c>
      <c r="AA459" s="97"/>
      <c r="AB459" s="97"/>
      <c r="AC459" s="97"/>
      <c r="AD459" s="239"/>
      <c r="AE459" s="252">
        <f t="shared" si="41"/>
        <v>0</v>
      </c>
      <c r="AF459" s="139"/>
      <c r="AG459" s="97"/>
      <c r="AH459" s="239"/>
      <c r="AI459" s="97"/>
      <c r="AJ459" s="192"/>
      <c r="AK459" s="97"/>
      <c r="AL459" s="253">
        <v>0</v>
      </c>
      <c r="AM459" s="253">
        <f t="shared" si="42"/>
        <v>0</v>
      </c>
      <c r="AN459" s="97"/>
      <c r="AO459" s="97"/>
      <c r="AP459" s="97"/>
      <c r="AQ459" s="97"/>
      <c r="AR459" s="97"/>
      <c r="AS459" s="97"/>
      <c r="AT459" s="97"/>
      <c r="AU459" s="97"/>
    </row>
    <row r="460" spans="1:47" ht="318.75" x14ac:dyDescent="0.2">
      <c r="A460" s="232">
        <f t="shared" si="43"/>
        <v>12</v>
      </c>
      <c r="B460" s="232" t="s">
        <v>2191</v>
      </c>
      <c r="C460" s="232" t="s">
        <v>2143</v>
      </c>
      <c r="D460" s="232" t="s">
        <v>2144</v>
      </c>
      <c r="E460" s="232" t="s">
        <v>2145</v>
      </c>
      <c r="F460" s="232" t="s">
        <v>511</v>
      </c>
      <c r="G460" s="232" t="s">
        <v>512</v>
      </c>
      <c r="H460" s="234" t="s">
        <v>647</v>
      </c>
      <c r="I460" s="232" t="s">
        <v>54</v>
      </c>
      <c r="J460" s="232" t="s">
        <v>55</v>
      </c>
      <c r="K460" s="1">
        <v>80111600</v>
      </c>
      <c r="L460" s="1" t="s">
        <v>2146</v>
      </c>
      <c r="M460" s="1" t="s">
        <v>493</v>
      </c>
      <c r="N460" s="1" t="s">
        <v>494</v>
      </c>
      <c r="O460" s="97" t="s">
        <v>2088</v>
      </c>
      <c r="P460" s="1" t="s">
        <v>2192</v>
      </c>
      <c r="Q460" s="250">
        <v>4120000</v>
      </c>
      <c r="R460" s="247">
        <v>1</v>
      </c>
      <c r="S460" s="250">
        <f>34196000-18297950-15858223</f>
        <v>39827</v>
      </c>
      <c r="T460" s="8" t="s">
        <v>1619</v>
      </c>
      <c r="U460" s="232" t="s">
        <v>58</v>
      </c>
      <c r="V460" s="235" t="s">
        <v>516</v>
      </c>
      <c r="W460" s="236">
        <v>8.3000000000000007</v>
      </c>
      <c r="X460" s="251"/>
      <c r="Y460" s="186"/>
      <c r="Z460" s="250"/>
      <c r="AA460" s="97"/>
      <c r="AB460" s="97"/>
      <c r="AC460" s="97"/>
      <c r="AD460" s="239"/>
      <c r="AE460" s="252">
        <f t="shared" si="41"/>
        <v>39827</v>
      </c>
      <c r="AF460" s="139"/>
      <c r="AG460" s="97"/>
      <c r="AH460" s="239"/>
      <c r="AI460" s="97"/>
      <c r="AJ460" s="192"/>
      <c r="AK460" s="97"/>
      <c r="AL460" s="253"/>
      <c r="AM460" s="253">
        <f t="shared" si="42"/>
        <v>0</v>
      </c>
      <c r="AN460" s="97"/>
      <c r="AO460" s="97"/>
      <c r="AP460" s="97"/>
      <c r="AQ460" s="97"/>
      <c r="AR460" s="97"/>
      <c r="AS460" s="97"/>
      <c r="AT460" s="97"/>
      <c r="AU460" s="97"/>
    </row>
    <row r="461" spans="1:47" ht="369.75" x14ac:dyDescent="0.2">
      <c r="A461" s="232">
        <f t="shared" si="43"/>
        <v>13</v>
      </c>
      <c r="B461" s="232" t="s">
        <v>2193</v>
      </c>
      <c r="C461" s="232" t="s">
        <v>2143</v>
      </c>
      <c r="D461" s="232" t="s">
        <v>2144</v>
      </c>
      <c r="E461" s="232" t="s">
        <v>2145</v>
      </c>
      <c r="F461" s="232" t="s">
        <v>2194</v>
      </c>
      <c r="G461" s="232" t="s">
        <v>2195</v>
      </c>
      <c r="H461" s="232" t="s">
        <v>2196</v>
      </c>
      <c r="I461" s="232" t="s">
        <v>54</v>
      </c>
      <c r="J461" s="232" t="s">
        <v>55</v>
      </c>
      <c r="K461" s="232" t="s">
        <v>319</v>
      </c>
      <c r="L461" s="1" t="s">
        <v>2146</v>
      </c>
      <c r="M461" s="1" t="s">
        <v>493</v>
      </c>
      <c r="N461" s="1" t="s">
        <v>494</v>
      </c>
      <c r="O461" s="97" t="s">
        <v>2197</v>
      </c>
      <c r="P461" s="1" t="s">
        <v>2198</v>
      </c>
      <c r="Q461" s="250">
        <f>S461/6</f>
        <v>48838927</v>
      </c>
      <c r="R461" s="1">
        <v>1</v>
      </c>
      <c r="S461" s="250">
        <f>540000000-177905000-69061438</f>
        <v>293033562</v>
      </c>
      <c r="T461" s="1" t="s">
        <v>2199</v>
      </c>
      <c r="U461" s="232" t="s">
        <v>50</v>
      </c>
      <c r="V461" s="235">
        <v>43276</v>
      </c>
      <c r="W461" s="247">
        <v>6</v>
      </c>
      <c r="X461" s="251"/>
      <c r="Y461" s="186"/>
      <c r="Z461" s="250"/>
      <c r="AA461" s="97" t="s">
        <v>2200</v>
      </c>
      <c r="AB461" s="97"/>
      <c r="AC461" s="97"/>
      <c r="AD461" s="239"/>
      <c r="AE461" s="252">
        <f t="shared" si="41"/>
        <v>293033562</v>
      </c>
      <c r="AF461" s="139"/>
      <c r="AG461" s="97"/>
      <c r="AH461" s="239"/>
      <c r="AI461" s="97"/>
      <c r="AJ461" s="192"/>
      <c r="AK461" s="97"/>
      <c r="AL461" s="253"/>
      <c r="AM461" s="253">
        <f t="shared" si="42"/>
        <v>0</v>
      </c>
      <c r="AN461" s="97"/>
      <c r="AO461" s="97"/>
      <c r="AP461" s="97"/>
      <c r="AQ461" s="97"/>
      <c r="AR461" s="97"/>
      <c r="AS461" s="97"/>
      <c r="AT461" s="97"/>
      <c r="AU461" s="97"/>
    </row>
    <row r="462" spans="1:47" ht="140.25" x14ac:dyDescent="0.2">
      <c r="A462" s="232">
        <f t="shared" si="43"/>
        <v>14</v>
      </c>
      <c r="B462" s="232" t="s">
        <v>2201</v>
      </c>
      <c r="C462" s="232" t="s">
        <v>2143</v>
      </c>
      <c r="D462" s="232" t="s">
        <v>2144</v>
      </c>
      <c r="E462" s="232" t="s">
        <v>2145</v>
      </c>
      <c r="F462" s="232" t="s">
        <v>2194</v>
      </c>
      <c r="G462" s="232" t="s">
        <v>2195</v>
      </c>
      <c r="H462" s="232" t="s">
        <v>2196</v>
      </c>
      <c r="I462" s="232" t="s">
        <v>54</v>
      </c>
      <c r="J462" s="232" t="s">
        <v>55</v>
      </c>
      <c r="K462" s="232" t="s">
        <v>319</v>
      </c>
      <c r="L462" s="1" t="s">
        <v>2146</v>
      </c>
      <c r="M462" s="1" t="s">
        <v>493</v>
      </c>
      <c r="N462" s="1" t="s">
        <v>494</v>
      </c>
      <c r="O462" s="97" t="s">
        <v>2197</v>
      </c>
      <c r="P462" s="1" t="s">
        <v>2202</v>
      </c>
      <c r="Q462" s="250">
        <f>S462/12</f>
        <v>53818536.5</v>
      </c>
      <c r="R462" s="1">
        <v>1</v>
      </c>
      <c r="S462" s="250">
        <f>1640000000-982741291-107769709+69061438+27272000</f>
        <v>645822438</v>
      </c>
      <c r="T462" s="1" t="s">
        <v>2203</v>
      </c>
      <c r="U462" s="14" t="s">
        <v>497</v>
      </c>
      <c r="V462" s="235">
        <v>43297</v>
      </c>
      <c r="W462" s="247">
        <v>12</v>
      </c>
      <c r="X462" s="251"/>
      <c r="Y462" s="186"/>
      <c r="Z462" s="250"/>
      <c r="AA462" s="97"/>
      <c r="AB462" s="97"/>
      <c r="AC462" s="97"/>
      <c r="AD462" s="239"/>
      <c r="AE462" s="252">
        <f t="shared" si="41"/>
        <v>645822438</v>
      </c>
      <c r="AF462" s="139"/>
      <c r="AG462" s="97"/>
      <c r="AH462" s="239"/>
      <c r="AI462" s="97"/>
      <c r="AJ462" s="192"/>
      <c r="AK462" s="97"/>
      <c r="AL462" s="253"/>
      <c r="AM462" s="253">
        <f t="shared" si="42"/>
        <v>0</v>
      </c>
      <c r="AN462" s="97"/>
      <c r="AO462" s="97"/>
      <c r="AP462" s="97"/>
      <c r="AQ462" s="97"/>
      <c r="AR462" s="97"/>
      <c r="AS462" s="97"/>
      <c r="AT462" s="97"/>
      <c r="AU462" s="97"/>
    </row>
    <row r="463" spans="1:47" ht="344.25" x14ac:dyDescent="0.2">
      <c r="A463" s="232">
        <f t="shared" si="43"/>
        <v>15</v>
      </c>
      <c r="B463" s="232" t="s">
        <v>2204</v>
      </c>
      <c r="C463" s="232" t="s">
        <v>2143</v>
      </c>
      <c r="D463" s="232" t="s">
        <v>2144</v>
      </c>
      <c r="E463" s="232" t="s">
        <v>2145</v>
      </c>
      <c r="F463" s="232" t="s">
        <v>2194</v>
      </c>
      <c r="G463" s="232" t="s">
        <v>2195</v>
      </c>
      <c r="H463" s="232" t="s">
        <v>2196</v>
      </c>
      <c r="I463" s="232" t="s">
        <v>54</v>
      </c>
      <c r="J463" s="232" t="s">
        <v>55</v>
      </c>
      <c r="K463" s="232" t="s">
        <v>319</v>
      </c>
      <c r="L463" s="1" t="s">
        <v>2146</v>
      </c>
      <c r="M463" s="1" t="s">
        <v>493</v>
      </c>
      <c r="N463" s="1" t="s">
        <v>494</v>
      </c>
      <c r="O463" s="97" t="s">
        <v>2197</v>
      </c>
      <c r="P463" s="1" t="s">
        <v>2205</v>
      </c>
      <c r="Q463" s="250">
        <v>5712000</v>
      </c>
      <c r="R463" s="1">
        <v>1</v>
      </c>
      <c r="S463" s="250">
        <f>34272000-27272000-7000000</f>
        <v>0</v>
      </c>
      <c r="T463" s="1" t="s">
        <v>2203</v>
      </c>
      <c r="U463" s="232" t="s">
        <v>58</v>
      </c>
      <c r="V463" s="235" t="s">
        <v>632</v>
      </c>
      <c r="W463" s="247">
        <v>6</v>
      </c>
      <c r="X463" s="251"/>
      <c r="Y463" s="186"/>
      <c r="Z463" s="250"/>
      <c r="AA463" s="97"/>
      <c r="AB463" s="97"/>
      <c r="AC463" s="97"/>
      <c r="AD463" s="239"/>
      <c r="AE463" s="252">
        <f t="shared" si="41"/>
        <v>0</v>
      </c>
      <c r="AF463" s="139"/>
      <c r="AG463" s="97"/>
      <c r="AH463" s="239"/>
      <c r="AI463" s="97"/>
      <c r="AJ463" s="192"/>
      <c r="AK463" s="97"/>
      <c r="AL463" s="253"/>
      <c r="AM463" s="253">
        <f t="shared" si="42"/>
        <v>0</v>
      </c>
      <c r="AN463" s="97"/>
      <c r="AO463" s="97"/>
      <c r="AP463" s="97"/>
      <c r="AQ463" s="97"/>
      <c r="AR463" s="97"/>
      <c r="AS463" s="97"/>
      <c r="AT463" s="97"/>
      <c r="AU463" s="97"/>
    </row>
    <row r="464" spans="1:47" ht="280.5" x14ac:dyDescent="0.2">
      <c r="A464" s="232">
        <f t="shared" si="43"/>
        <v>16</v>
      </c>
      <c r="B464" s="232" t="s">
        <v>2206</v>
      </c>
      <c r="C464" s="232" t="s">
        <v>2143</v>
      </c>
      <c r="D464" s="232" t="s">
        <v>2144</v>
      </c>
      <c r="E464" s="232" t="s">
        <v>2145</v>
      </c>
      <c r="F464" s="232" t="s">
        <v>501</v>
      </c>
      <c r="G464" s="232" t="s">
        <v>824</v>
      </c>
      <c r="H464" s="234" t="s">
        <v>829</v>
      </c>
      <c r="I464" s="232" t="s">
        <v>54</v>
      </c>
      <c r="J464" s="232" t="s">
        <v>55</v>
      </c>
      <c r="K464" s="232">
        <v>72154000</v>
      </c>
      <c r="L464" s="1" t="s">
        <v>2146</v>
      </c>
      <c r="M464" s="1" t="s">
        <v>493</v>
      </c>
      <c r="N464" s="1" t="s">
        <v>494</v>
      </c>
      <c r="O464" s="97" t="s">
        <v>2088</v>
      </c>
      <c r="P464" s="1" t="s">
        <v>2207</v>
      </c>
      <c r="Q464" s="250">
        <v>233459</v>
      </c>
      <c r="R464" s="1">
        <v>1</v>
      </c>
      <c r="S464" s="250">
        <f>700377-700377</f>
        <v>0</v>
      </c>
      <c r="T464" s="1" t="s">
        <v>2203</v>
      </c>
      <c r="U464" s="1" t="s">
        <v>339</v>
      </c>
      <c r="V464" s="235" t="s">
        <v>2208</v>
      </c>
      <c r="W464" s="254">
        <v>3</v>
      </c>
      <c r="X464" s="251"/>
      <c r="Y464" s="186"/>
      <c r="Z464" s="250"/>
      <c r="AA464" s="97"/>
      <c r="AB464" s="97"/>
      <c r="AC464" s="97"/>
      <c r="AD464" s="239"/>
      <c r="AE464" s="252">
        <f t="shared" si="41"/>
        <v>0</v>
      </c>
      <c r="AF464" s="139"/>
      <c r="AG464" s="97"/>
      <c r="AH464" s="239"/>
      <c r="AI464" s="97"/>
      <c r="AJ464" s="192"/>
      <c r="AK464" s="97"/>
      <c r="AL464" s="253"/>
      <c r="AM464" s="253">
        <f t="shared" si="42"/>
        <v>0</v>
      </c>
      <c r="AN464" s="97"/>
      <c r="AO464" s="97"/>
      <c r="AP464" s="97"/>
      <c r="AQ464" s="97"/>
      <c r="AR464" s="97"/>
      <c r="AS464" s="97"/>
      <c r="AT464" s="97"/>
      <c r="AU464" s="97"/>
    </row>
    <row r="465" spans="1:47" ht="267.75" x14ac:dyDescent="0.2">
      <c r="A465" s="232">
        <f t="shared" si="43"/>
        <v>17</v>
      </c>
      <c r="B465" s="232" t="s">
        <v>2209</v>
      </c>
      <c r="C465" s="232" t="s">
        <v>2143</v>
      </c>
      <c r="D465" s="232" t="s">
        <v>2144</v>
      </c>
      <c r="E465" s="232" t="s">
        <v>2145</v>
      </c>
      <c r="F465" s="232" t="s">
        <v>501</v>
      </c>
      <c r="G465" s="232" t="s">
        <v>824</v>
      </c>
      <c r="H465" s="234" t="s">
        <v>829</v>
      </c>
      <c r="I465" s="232" t="s">
        <v>54</v>
      </c>
      <c r="J465" s="232" t="s">
        <v>55</v>
      </c>
      <c r="K465" s="232">
        <v>81112200</v>
      </c>
      <c r="L465" s="1" t="s">
        <v>2146</v>
      </c>
      <c r="M465" s="1" t="s">
        <v>493</v>
      </c>
      <c r="N465" s="1" t="s">
        <v>494</v>
      </c>
      <c r="O465" s="97" t="s">
        <v>2088</v>
      </c>
      <c r="P465" s="1" t="s">
        <v>2210</v>
      </c>
      <c r="Q465" s="250">
        <v>565000000</v>
      </c>
      <c r="R465" s="1">
        <v>1</v>
      </c>
      <c r="S465" s="250">
        <f>565000000-565000000</f>
        <v>0</v>
      </c>
      <c r="T465" s="1" t="s">
        <v>2203</v>
      </c>
      <c r="U465" s="232" t="s">
        <v>497</v>
      </c>
      <c r="V465" s="235" t="s">
        <v>2211</v>
      </c>
      <c r="W465" s="254">
        <v>12</v>
      </c>
      <c r="X465" s="251"/>
      <c r="Y465" s="186"/>
      <c r="Z465" s="250"/>
      <c r="AA465" s="97"/>
      <c r="AB465" s="97"/>
      <c r="AC465" s="97"/>
      <c r="AD465" s="239"/>
      <c r="AE465" s="252">
        <f t="shared" si="41"/>
        <v>0</v>
      </c>
      <c r="AF465" s="139"/>
      <c r="AG465" s="97"/>
      <c r="AH465" s="239"/>
      <c r="AI465" s="97"/>
      <c r="AJ465" s="192"/>
      <c r="AK465" s="97"/>
      <c r="AL465" s="253"/>
      <c r="AM465" s="253">
        <f t="shared" si="42"/>
        <v>0</v>
      </c>
      <c r="AN465" s="97"/>
      <c r="AO465" s="97"/>
      <c r="AP465" s="97"/>
      <c r="AQ465" s="97"/>
      <c r="AR465" s="97"/>
      <c r="AS465" s="97"/>
      <c r="AT465" s="97"/>
      <c r="AU465" s="97"/>
    </row>
    <row r="466" spans="1:47" ht="229.5" x14ac:dyDescent="0.2">
      <c r="A466" s="232">
        <f t="shared" si="43"/>
        <v>18</v>
      </c>
      <c r="B466" s="232" t="s">
        <v>2212</v>
      </c>
      <c r="C466" s="232" t="s">
        <v>2143</v>
      </c>
      <c r="D466" s="232" t="s">
        <v>2144</v>
      </c>
      <c r="E466" s="232" t="s">
        <v>2145</v>
      </c>
      <c r="F466" s="232" t="s">
        <v>501</v>
      </c>
      <c r="G466" s="232" t="s">
        <v>824</v>
      </c>
      <c r="H466" s="234" t="s">
        <v>829</v>
      </c>
      <c r="I466" s="232" t="s">
        <v>54</v>
      </c>
      <c r="J466" s="232" t="s">
        <v>55</v>
      </c>
      <c r="K466" s="232">
        <v>39121004</v>
      </c>
      <c r="L466" s="1" t="s">
        <v>2146</v>
      </c>
      <c r="M466" s="1" t="s">
        <v>493</v>
      </c>
      <c r="N466" s="1" t="s">
        <v>494</v>
      </c>
      <c r="O466" s="97" t="s">
        <v>2088</v>
      </c>
      <c r="P466" s="1" t="s">
        <v>2213</v>
      </c>
      <c r="Q466" s="250">
        <v>3429000</v>
      </c>
      <c r="R466" s="1">
        <v>1</v>
      </c>
      <c r="S466" s="250">
        <v>20574000</v>
      </c>
      <c r="T466" s="1" t="s">
        <v>2203</v>
      </c>
      <c r="U466" s="232" t="s">
        <v>344</v>
      </c>
      <c r="V466" s="235" t="s">
        <v>510</v>
      </c>
      <c r="W466" s="254">
        <v>6</v>
      </c>
      <c r="X466" s="251"/>
      <c r="Y466" s="186"/>
      <c r="Z466" s="250"/>
      <c r="AA466" s="97"/>
      <c r="AB466" s="97"/>
      <c r="AC466" s="97"/>
      <c r="AD466" s="239"/>
      <c r="AE466" s="252">
        <f t="shared" si="41"/>
        <v>20574000</v>
      </c>
      <c r="AF466" s="139"/>
      <c r="AG466" s="97"/>
      <c r="AH466" s="239"/>
      <c r="AI466" s="97"/>
      <c r="AJ466" s="192"/>
      <c r="AK466" s="97"/>
      <c r="AL466" s="253"/>
      <c r="AM466" s="253">
        <f t="shared" si="42"/>
        <v>0</v>
      </c>
      <c r="AN466" s="97"/>
      <c r="AO466" s="97"/>
      <c r="AP466" s="97"/>
      <c r="AQ466" s="97"/>
      <c r="AR466" s="97"/>
      <c r="AS466" s="97"/>
      <c r="AT466" s="97"/>
      <c r="AU466" s="97"/>
    </row>
    <row r="467" spans="1:47" ht="204" x14ac:dyDescent="0.2">
      <c r="A467" s="232">
        <f t="shared" si="43"/>
        <v>19</v>
      </c>
      <c r="B467" s="232" t="s">
        <v>2214</v>
      </c>
      <c r="C467" s="232" t="s">
        <v>2143</v>
      </c>
      <c r="D467" s="232" t="s">
        <v>2144</v>
      </c>
      <c r="E467" s="232" t="s">
        <v>2145</v>
      </c>
      <c r="F467" s="232" t="s">
        <v>501</v>
      </c>
      <c r="G467" s="232" t="s">
        <v>824</v>
      </c>
      <c r="H467" s="234" t="s">
        <v>829</v>
      </c>
      <c r="I467" s="232" t="s">
        <v>54</v>
      </c>
      <c r="J467" s="232" t="s">
        <v>55</v>
      </c>
      <c r="K467" s="232">
        <v>81111500</v>
      </c>
      <c r="L467" s="1" t="s">
        <v>2146</v>
      </c>
      <c r="M467" s="1" t="s">
        <v>493</v>
      </c>
      <c r="N467" s="1" t="s">
        <v>494</v>
      </c>
      <c r="O467" s="97" t="s">
        <v>2088</v>
      </c>
      <c r="P467" s="1" t="s">
        <v>2215</v>
      </c>
      <c r="Q467" s="250">
        <f>S467/W467</f>
        <v>13333333.333333334</v>
      </c>
      <c r="R467" s="1">
        <v>50</v>
      </c>
      <c r="S467" s="250">
        <f>60000000-32267736+52267736</f>
        <v>80000000</v>
      </c>
      <c r="T467" s="8" t="s">
        <v>2216</v>
      </c>
      <c r="U467" s="232" t="s">
        <v>344</v>
      </c>
      <c r="V467" s="235">
        <v>43296</v>
      </c>
      <c r="W467" s="254">
        <v>6</v>
      </c>
      <c r="X467" s="251"/>
      <c r="Y467" s="186"/>
      <c r="Z467" s="250"/>
      <c r="AA467" s="97"/>
      <c r="AB467" s="97"/>
      <c r="AC467" s="97"/>
      <c r="AD467" s="239"/>
      <c r="AE467" s="252">
        <f t="shared" si="41"/>
        <v>80000000</v>
      </c>
      <c r="AF467" s="139"/>
      <c r="AG467" s="97"/>
      <c r="AH467" s="239"/>
      <c r="AI467" s="97"/>
      <c r="AJ467" s="192"/>
      <c r="AK467" s="97"/>
      <c r="AL467" s="253"/>
      <c r="AM467" s="253">
        <f t="shared" si="42"/>
        <v>0</v>
      </c>
      <c r="AN467" s="97"/>
      <c r="AO467" s="97"/>
      <c r="AP467" s="97"/>
      <c r="AQ467" s="97"/>
      <c r="AR467" s="97"/>
      <c r="AS467" s="97"/>
      <c r="AT467" s="97"/>
      <c r="AU467" s="97"/>
    </row>
    <row r="468" spans="1:47" ht="255" x14ac:dyDescent="0.2">
      <c r="A468" s="232">
        <f t="shared" si="43"/>
        <v>20</v>
      </c>
      <c r="B468" s="232" t="s">
        <v>2217</v>
      </c>
      <c r="C468" s="232" t="s">
        <v>2143</v>
      </c>
      <c r="D468" s="232" t="s">
        <v>2144</v>
      </c>
      <c r="E468" s="232" t="s">
        <v>2145</v>
      </c>
      <c r="F468" s="232" t="s">
        <v>501</v>
      </c>
      <c r="G468" s="232" t="s">
        <v>824</v>
      </c>
      <c r="H468" s="234" t="s">
        <v>829</v>
      </c>
      <c r="I468" s="232" t="s">
        <v>54</v>
      </c>
      <c r="J468" s="232" t="s">
        <v>55</v>
      </c>
      <c r="K468" s="232">
        <v>43190000</v>
      </c>
      <c r="L468" s="1" t="s">
        <v>2146</v>
      </c>
      <c r="M468" s="1" t="s">
        <v>493</v>
      </c>
      <c r="N468" s="1" t="s">
        <v>494</v>
      </c>
      <c r="O468" s="97" t="s">
        <v>2088</v>
      </c>
      <c r="P468" s="1" t="s">
        <v>2218</v>
      </c>
      <c r="Q468" s="250">
        <v>4000000</v>
      </c>
      <c r="R468" s="1">
        <v>1</v>
      </c>
      <c r="S468" s="250">
        <f>24000000-24000000</f>
        <v>0</v>
      </c>
      <c r="T468" s="1" t="s">
        <v>2203</v>
      </c>
      <c r="U468" s="232" t="s">
        <v>344</v>
      </c>
      <c r="V468" s="235" t="s">
        <v>510</v>
      </c>
      <c r="W468" s="254">
        <v>6</v>
      </c>
      <c r="X468" s="251"/>
      <c r="Y468" s="186"/>
      <c r="Z468" s="250"/>
      <c r="AA468" s="97"/>
      <c r="AB468" s="97"/>
      <c r="AC468" s="97"/>
      <c r="AD468" s="239"/>
      <c r="AE468" s="252">
        <f t="shared" si="41"/>
        <v>0</v>
      </c>
      <c r="AF468" s="139"/>
      <c r="AG468" s="97"/>
      <c r="AH468" s="239"/>
      <c r="AI468" s="97"/>
      <c r="AJ468" s="192"/>
      <c r="AK468" s="97"/>
      <c r="AL468" s="253"/>
      <c r="AM468" s="253">
        <f t="shared" si="42"/>
        <v>0</v>
      </c>
      <c r="AN468" s="97"/>
      <c r="AO468" s="97"/>
      <c r="AP468" s="97"/>
      <c r="AQ468" s="97"/>
      <c r="AR468" s="97"/>
      <c r="AS468" s="97"/>
      <c r="AT468" s="97"/>
      <c r="AU468" s="97"/>
    </row>
    <row r="469" spans="1:47" ht="318.75" x14ac:dyDescent="0.2">
      <c r="A469" s="232">
        <f t="shared" si="43"/>
        <v>21</v>
      </c>
      <c r="B469" s="232" t="s">
        <v>2219</v>
      </c>
      <c r="C469" s="232" t="s">
        <v>2143</v>
      </c>
      <c r="D469" s="232" t="s">
        <v>2144</v>
      </c>
      <c r="E469" s="232" t="s">
        <v>2145</v>
      </c>
      <c r="F469" s="232" t="s">
        <v>501</v>
      </c>
      <c r="G469" s="232" t="s">
        <v>824</v>
      </c>
      <c r="H469" s="234" t="s">
        <v>829</v>
      </c>
      <c r="I469" s="232" t="s">
        <v>54</v>
      </c>
      <c r="J469" s="232" t="s">
        <v>55</v>
      </c>
      <c r="K469" s="232">
        <v>81111500</v>
      </c>
      <c r="L469" s="1" t="s">
        <v>2146</v>
      </c>
      <c r="M469" s="1" t="s">
        <v>493</v>
      </c>
      <c r="N469" s="1" t="s">
        <v>494</v>
      </c>
      <c r="O469" s="97" t="s">
        <v>2088</v>
      </c>
      <c r="P469" s="1" t="s">
        <v>2220</v>
      </c>
      <c r="Q469" s="250">
        <v>126735256</v>
      </c>
      <c r="R469" s="1">
        <v>10</v>
      </c>
      <c r="S469" s="255">
        <f>346913623-62302353+982741291-342263852-92303874-52267736-55344464-40020000-27900000-1100000-11061045-114056996-50516069</f>
        <v>480518525</v>
      </c>
      <c r="T469" s="1" t="s">
        <v>2203</v>
      </c>
      <c r="U469" s="7" t="s">
        <v>332</v>
      </c>
      <c r="V469" s="235" t="s">
        <v>516</v>
      </c>
      <c r="W469" s="254">
        <v>12</v>
      </c>
      <c r="X469" s="251" t="s">
        <v>2221</v>
      </c>
      <c r="Y469" s="186">
        <v>43165</v>
      </c>
      <c r="Z469" s="250">
        <v>480518525</v>
      </c>
      <c r="AA469" s="128" t="s">
        <v>2222</v>
      </c>
      <c r="AB469" s="97">
        <v>700</v>
      </c>
      <c r="AC469" s="186">
        <v>43166</v>
      </c>
      <c r="AD469" s="239">
        <v>480518525</v>
      </c>
      <c r="AE469" s="252">
        <f t="shared" si="41"/>
        <v>0</v>
      </c>
      <c r="AF469" s="139">
        <v>1658</v>
      </c>
      <c r="AG469" s="186">
        <v>43126</v>
      </c>
      <c r="AH469" s="239">
        <v>480518525</v>
      </c>
      <c r="AI469" s="97" t="s">
        <v>2223</v>
      </c>
      <c r="AJ469" s="192">
        <v>430</v>
      </c>
      <c r="AK469" s="97"/>
      <c r="AL469" s="198">
        <v>174574276</v>
      </c>
      <c r="AM469" s="253">
        <f t="shared" si="42"/>
        <v>305944249</v>
      </c>
      <c r="AN469" s="97"/>
      <c r="AO469" s="97"/>
      <c r="AP469" s="97"/>
      <c r="AQ469" s="97"/>
      <c r="AR469" s="97"/>
      <c r="AS469" s="97"/>
      <c r="AT469" s="97"/>
      <c r="AU469" s="97"/>
    </row>
    <row r="470" spans="1:47" ht="140.25" x14ac:dyDescent="0.2">
      <c r="A470" s="232">
        <f t="shared" si="43"/>
        <v>22</v>
      </c>
      <c r="B470" s="232" t="s">
        <v>2224</v>
      </c>
      <c r="C470" s="232" t="s">
        <v>2143</v>
      </c>
      <c r="D470" s="232" t="s">
        <v>2144</v>
      </c>
      <c r="E470" s="232" t="s">
        <v>2145</v>
      </c>
      <c r="F470" s="232" t="s">
        <v>2194</v>
      </c>
      <c r="G470" s="232" t="s">
        <v>2195</v>
      </c>
      <c r="H470" s="234" t="s">
        <v>2196</v>
      </c>
      <c r="I470" s="232" t="s">
        <v>2225</v>
      </c>
      <c r="J470" s="232" t="s">
        <v>2226</v>
      </c>
      <c r="K470" s="232">
        <v>81111500</v>
      </c>
      <c r="L470" s="1" t="s">
        <v>2146</v>
      </c>
      <c r="M470" s="1" t="s">
        <v>493</v>
      </c>
      <c r="N470" s="1" t="s">
        <v>494</v>
      </c>
      <c r="O470" s="97" t="s">
        <v>2088</v>
      </c>
      <c r="P470" s="1" t="s">
        <v>2202</v>
      </c>
      <c r="Q470" s="250">
        <v>29166667</v>
      </c>
      <c r="R470" s="1">
        <v>1</v>
      </c>
      <c r="S470" s="255">
        <v>350000000</v>
      </c>
      <c r="T470" s="1" t="s">
        <v>2203</v>
      </c>
      <c r="U470" s="7" t="s">
        <v>497</v>
      </c>
      <c r="V470" s="235">
        <v>43297</v>
      </c>
      <c r="W470" s="254">
        <v>12</v>
      </c>
      <c r="X470" s="251"/>
      <c r="Y470" s="186"/>
      <c r="Z470" s="250"/>
      <c r="AA470" s="97"/>
      <c r="AB470" s="97"/>
      <c r="AC470" s="97"/>
      <c r="AD470" s="239"/>
      <c r="AE470" s="252">
        <f t="shared" si="41"/>
        <v>350000000</v>
      </c>
      <c r="AF470" s="139"/>
      <c r="AG470" s="97"/>
      <c r="AH470" s="239"/>
      <c r="AI470" s="97"/>
      <c r="AJ470" s="192"/>
      <c r="AK470" s="97"/>
      <c r="AL470" s="253"/>
      <c r="AM470" s="253">
        <f t="shared" si="42"/>
        <v>0</v>
      </c>
      <c r="AN470" s="97"/>
      <c r="AO470" s="97"/>
      <c r="AP470" s="97"/>
      <c r="AQ470" s="97"/>
      <c r="AR470" s="97"/>
      <c r="AS470" s="97"/>
      <c r="AT470" s="97"/>
      <c r="AU470" s="97"/>
    </row>
    <row r="471" spans="1:47" ht="140.25" x14ac:dyDescent="0.2">
      <c r="A471" s="232">
        <f t="shared" si="43"/>
        <v>23</v>
      </c>
      <c r="B471" s="232" t="s">
        <v>2227</v>
      </c>
      <c r="C471" s="232" t="s">
        <v>2143</v>
      </c>
      <c r="D471" s="232" t="s">
        <v>2144</v>
      </c>
      <c r="E471" s="232" t="s">
        <v>2145</v>
      </c>
      <c r="F471" s="232" t="s">
        <v>2194</v>
      </c>
      <c r="G471" s="232" t="s">
        <v>2195</v>
      </c>
      <c r="H471" s="234" t="s">
        <v>2196</v>
      </c>
      <c r="I471" s="232" t="s">
        <v>2228</v>
      </c>
      <c r="J471" s="232" t="s">
        <v>1829</v>
      </c>
      <c r="K471" s="232">
        <v>81111500</v>
      </c>
      <c r="L471" s="1" t="s">
        <v>2146</v>
      </c>
      <c r="M471" s="1" t="s">
        <v>493</v>
      </c>
      <c r="N471" s="1" t="s">
        <v>494</v>
      </c>
      <c r="O471" s="97" t="s">
        <v>2088</v>
      </c>
      <c r="P471" s="1" t="s">
        <v>2202</v>
      </c>
      <c r="Q471" s="250">
        <f>S471/W471</f>
        <v>61709250</v>
      </c>
      <c r="R471" s="1">
        <v>1</v>
      </c>
      <c r="S471" s="255">
        <v>740511000</v>
      </c>
      <c r="T471" s="1" t="s">
        <v>2203</v>
      </c>
      <c r="U471" s="7" t="s">
        <v>497</v>
      </c>
      <c r="V471" s="235">
        <v>43297</v>
      </c>
      <c r="W471" s="254">
        <v>12</v>
      </c>
      <c r="X471" s="251"/>
      <c r="Y471" s="186"/>
      <c r="Z471" s="250"/>
      <c r="AA471" s="97"/>
      <c r="AB471" s="97"/>
      <c r="AC471" s="97"/>
      <c r="AD471" s="239"/>
      <c r="AE471" s="252">
        <f t="shared" si="41"/>
        <v>740511000</v>
      </c>
      <c r="AF471" s="139"/>
      <c r="AG471" s="97"/>
      <c r="AH471" s="239"/>
      <c r="AI471" s="97"/>
      <c r="AJ471" s="192"/>
      <c r="AK471" s="97"/>
      <c r="AL471" s="253"/>
      <c r="AM471" s="253">
        <f t="shared" si="42"/>
        <v>0</v>
      </c>
      <c r="AN471" s="97"/>
      <c r="AO471" s="97"/>
      <c r="AP471" s="97"/>
      <c r="AQ471" s="97"/>
      <c r="AR471" s="97"/>
      <c r="AS471" s="97"/>
      <c r="AT471" s="97"/>
      <c r="AU471" s="97"/>
    </row>
    <row r="472" spans="1:47" ht="165.75" x14ac:dyDescent="0.2">
      <c r="A472" s="232">
        <f t="shared" si="43"/>
        <v>24</v>
      </c>
      <c r="B472" s="232" t="s">
        <v>2229</v>
      </c>
      <c r="C472" s="232" t="s">
        <v>2143</v>
      </c>
      <c r="D472" s="232" t="s">
        <v>2144</v>
      </c>
      <c r="E472" s="232" t="s">
        <v>2145</v>
      </c>
      <c r="F472" s="232" t="s">
        <v>501</v>
      </c>
      <c r="G472" s="232" t="s">
        <v>824</v>
      </c>
      <c r="H472" s="234" t="s">
        <v>829</v>
      </c>
      <c r="I472" s="232" t="s">
        <v>54</v>
      </c>
      <c r="J472" s="232" t="s">
        <v>55</v>
      </c>
      <c r="K472" s="1">
        <v>81112204</v>
      </c>
      <c r="L472" s="1" t="s">
        <v>2146</v>
      </c>
      <c r="M472" s="1" t="s">
        <v>493</v>
      </c>
      <c r="N472" s="1" t="s">
        <v>494</v>
      </c>
      <c r="O472" s="97" t="s">
        <v>2088</v>
      </c>
      <c r="P472" s="1" t="s">
        <v>2230</v>
      </c>
      <c r="Q472" s="250">
        <v>2100000</v>
      </c>
      <c r="R472" s="1">
        <v>1</v>
      </c>
      <c r="S472" s="250">
        <f>25200000-7735-2511218-22681047</f>
        <v>0</v>
      </c>
      <c r="T472" s="1" t="s">
        <v>2203</v>
      </c>
      <c r="U472" s="232" t="s">
        <v>344</v>
      </c>
      <c r="V472" s="235" t="s">
        <v>516</v>
      </c>
      <c r="W472" s="254">
        <v>12</v>
      </c>
      <c r="X472" s="251"/>
      <c r="Y472" s="186"/>
      <c r="Z472" s="250"/>
      <c r="AA472" s="97"/>
      <c r="AB472" s="97"/>
      <c r="AC472" s="97"/>
      <c r="AD472" s="239"/>
      <c r="AE472" s="252">
        <f t="shared" si="41"/>
        <v>0</v>
      </c>
      <c r="AF472" s="139"/>
      <c r="AG472" s="97"/>
      <c r="AH472" s="239"/>
      <c r="AI472" s="97"/>
      <c r="AJ472" s="192"/>
      <c r="AK472" s="97"/>
      <c r="AL472" s="253"/>
      <c r="AM472" s="253">
        <f t="shared" si="42"/>
        <v>0</v>
      </c>
      <c r="AN472" s="97"/>
      <c r="AO472" s="97"/>
      <c r="AP472" s="97"/>
      <c r="AQ472" s="97"/>
      <c r="AR472" s="97"/>
      <c r="AS472" s="97"/>
      <c r="AT472" s="97"/>
      <c r="AU472" s="97"/>
    </row>
    <row r="473" spans="1:47" ht="242.25" x14ac:dyDescent="0.2">
      <c r="A473" s="232">
        <f t="shared" si="43"/>
        <v>25</v>
      </c>
      <c r="B473" s="232" t="s">
        <v>2231</v>
      </c>
      <c r="C473" s="232" t="s">
        <v>2143</v>
      </c>
      <c r="D473" s="232" t="s">
        <v>2144</v>
      </c>
      <c r="E473" s="232" t="s">
        <v>2145</v>
      </c>
      <c r="F473" s="232" t="s">
        <v>501</v>
      </c>
      <c r="G473" s="232" t="s">
        <v>824</v>
      </c>
      <c r="H473" s="234" t="s">
        <v>829</v>
      </c>
      <c r="I473" s="232" t="s">
        <v>54</v>
      </c>
      <c r="J473" s="232" t="s">
        <v>55</v>
      </c>
      <c r="K473" s="232">
        <v>81111500</v>
      </c>
      <c r="L473" s="1" t="s">
        <v>2146</v>
      </c>
      <c r="M473" s="1" t="s">
        <v>493</v>
      </c>
      <c r="N473" s="1" t="s">
        <v>494</v>
      </c>
      <c r="O473" s="97" t="s">
        <v>2088</v>
      </c>
      <c r="P473" s="1" t="s">
        <v>2232</v>
      </c>
      <c r="Q473" s="250">
        <f>43500000-7589820+1174332</f>
        <v>37084512</v>
      </c>
      <c r="R473" s="1">
        <v>1</v>
      </c>
      <c r="S473" s="250">
        <f>43500000-7589820+1174332</f>
        <v>37084512</v>
      </c>
      <c r="T473" s="8" t="s">
        <v>2216</v>
      </c>
      <c r="U473" s="7" t="s">
        <v>332</v>
      </c>
      <c r="V473" s="235">
        <v>43266</v>
      </c>
      <c r="W473" s="254">
        <v>1</v>
      </c>
      <c r="X473" s="251" t="s">
        <v>2233</v>
      </c>
      <c r="Y473" s="186">
        <v>43269</v>
      </c>
      <c r="Z473" s="250">
        <f>43500000-7589820+1174332</f>
        <v>37084512</v>
      </c>
      <c r="AA473" s="97"/>
      <c r="AB473" s="97">
        <v>902</v>
      </c>
      <c r="AC473" s="186">
        <v>43270</v>
      </c>
      <c r="AD473" s="239">
        <v>37084512</v>
      </c>
      <c r="AE473" s="252">
        <f t="shared" si="41"/>
        <v>0</v>
      </c>
      <c r="AF473" s="139">
        <v>2551</v>
      </c>
      <c r="AG473" s="186">
        <v>43312</v>
      </c>
      <c r="AH473" s="239">
        <v>36135918</v>
      </c>
      <c r="AI473" s="97" t="s">
        <v>2234</v>
      </c>
      <c r="AJ473" s="192">
        <v>474</v>
      </c>
      <c r="AK473" s="97"/>
      <c r="AL473" s="253"/>
      <c r="AM473" s="253">
        <f t="shared" si="42"/>
        <v>36135918</v>
      </c>
      <c r="AN473" s="97"/>
      <c r="AO473" s="97"/>
      <c r="AP473" s="97"/>
      <c r="AQ473" s="97"/>
      <c r="AR473" s="97"/>
      <c r="AS473" s="97"/>
      <c r="AT473" s="97"/>
      <c r="AU473" s="97"/>
    </row>
    <row r="474" spans="1:47" ht="242.25" x14ac:dyDescent="0.2">
      <c r="A474" s="232">
        <f t="shared" si="43"/>
        <v>26</v>
      </c>
      <c r="B474" s="232" t="s">
        <v>2235</v>
      </c>
      <c r="C474" s="232" t="s">
        <v>2143</v>
      </c>
      <c r="D474" s="232" t="s">
        <v>2144</v>
      </c>
      <c r="E474" s="232" t="s">
        <v>2145</v>
      </c>
      <c r="F474" s="232" t="s">
        <v>501</v>
      </c>
      <c r="G474" s="232" t="s">
        <v>824</v>
      </c>
      <c r="H474" s="234" t="s">
        <v>829</v>
      </c>
      <c r="I474" s="232" t="s">
        <v>54</v>
      </c>
      <c r="J474" s="232" t="s">
        <v>55</v>
      </c>
      <c r="K474" s="232">
        <v>81111500</v>
      </c>
      <c r="L474" s="1" t="s">
        <v>2146</v>
      </c>
      <c r="M474" s="1" t="s">
        <v>493</v>
      </c>
      <c r="N474" s="1" t="s">
        <v>494</v>
      </c>
      <c r="O474" s="97" t="s">
        <v>2088</v>
      </c>
      <c r="P474" s="1" t="s">
        <v>2236</v>
      </c>
      <c r="Q474" s="250">
        <v>13300000</v>
      </c>
      <c r="R474" s="1">
        <v>1</v>
      </c>
      <c r="S474" s="250">
        <f>159600000+92303874-1174332-17965260</f>
        <v>232764282</v>
      </c>
      <c r="T474" s="8" t="s">
        <v>2216</v>
      </c>
      <c r="U474" s="7" t="s">
        <v>332</v>
      </c>
      <c r="V474" s="235" t="s">
        <v>2211</v>
      </c>
      <c r="W474" s="254">
        <v>12</v>
      </c>
      <c r="X474" s="203" t="s">
        <v>2237</v>
      </c>
      <c r="Y474" s="186">
        <v>43227</v>
      </c>
      <c r="Z474" s="250">
        <v>198665476</v>
      </c>
      <c r="AA474" s="97" t="s">
        <v>2238</v>
      </c>
      <c r="AB474" s="97">
        <v>815</v>
      </c>
      <c r="AC474" s="186">
        <v>43227</v>
      </c>
      <c r="AD474" s="239">
        <v>198665476</v>
      </c>
      <c r="AE474" s="252">
        <f t="shared" si="41"/>
        <v>34098806</v>
      </c>
      <c r="AF474" s="139">
        <v>1991</v>
      </c>
      <c r="AG474" s="186">
        <v>43252</v>
      </c>
      <c r="AH474" s="198">
        <v>198665476</v>
      </c>
      <c r="AI474" s="97" t="s">
        <v>2239</v>
      </c>
      <c r="AJ474" s="192">
        <v>435</v>
      </c>
      <c r="AK474" s="97"/>
      <c r="AL474" s="256">
        <v>198665476</v>
      </c>
      <c r="AM474" s="253">
        <f t="shared" si="42"/>
        <v>0</v>
      </c>
      <c r="AN474" s="97"/>
      <c r="AO474" s="97"/>
      <c r="AP474" s="97"/>
      <c r="AQ474" s="97"/>
      <c r="AR474" s="97"/>
      <c r="AS474" s="97"/>
      <c r="AT474" s="97"/>
      <c r="AU474" s="97"/>
    </row>
    <row r="475" spans="1:47" ht="216.75" x14ac:dyDescent="0.2">
      <c r="A475" s="232">
        <f t="shared" si="43"/>
        <v>27</v>
      </c>
      <c r="B475" s="232" t="s">
        <v>2240</v>
      </c>
      <c r="C475" s="232" t="s">
        <v>2143</v>
      </c>
      <c r="D475" s="232" t="s">
        <v>2144</v>
      </c>
      <c r="E475" s="232" t="s">
        <v>2145</v>
      </c>
      <c r="F475" s="232" t="s">
        <v>501</v>
      </c>
      <c r="G475" s="232" t="s">
        <v>824</v>
      </c>
      <c r="H475" s="234" t="s">
        <v>829</v>
      </c>
      <c r="I475" s="232" t="s">
        <v>54</v>
      </c>
      <c r="J475" s="232" t="s">
        <v>55</v>
      </c>
      <c r="K475" s="232">
        <v>81111500</v>
      </c>
      <c r="L475" s="1" t="s">
        <v>2146</v>
      </c>
      <c r="M475" s="1" t="s">
        <v>493</v>
      </c>
      <c r="N475" s="1" t="s">
        <v>494</v>
      </c>
      <c r="O475" s="97" t="s">
        <v>2088</v>
      </c>
      <c r="P475" s="1" t="s">
        <v>2241</v>
      </c>
      <c r="Q475" s="250">
        <v>9800000</v>
      </c>
      <c r="R475" s="1">
        <v>1</v>
      </c>
      <c r="S475" s="250">
        <v>79721000</v>
      </c>
      <c r="T475" s="8" t="s">
        <v>2216</v>
      </c>
      <c r="U475" s="232" t="s">
        <v>344</v>
      </c>
      <c r="V475" s="235">
        <v>43320</v>
      </c>
      <c r="W475" s="254">
        <v>8</v>
      </c>
      <c r="X475" s="251"/>
      <c r="Y475" s="186"/>
      <c r="Z475" s="250"/>
      <c r="AA475" s="97"/>
      <c r="AB475" s="97"/>
      <c r="AC475" s="97"/>
      <c r="AD475" s="239"/>
      <c r="AE475" s="252">
        <f t="shared" si="41"/>
        <v>79721000</v>
      </c>
      <c r="AF475" s="139"/>
      <c r="AG475" s="97"/>
      <c r="AH475" s="239"/>
      <c r="AI475" s="97"/>
      <c r="AJ475" s="192"/>
      <c r="AK475" s="97"/>
      <c r="AL475" s="253"/>
      <c r="AM475" s="253">
        <f t="shared" si="42"/>
        <v>0</v>
      </c>
      <c r="AN475" s="97"/>
      <c r="AO475" s="97"/>
      <c r="AP475" s="97"/>
      <c r="AQ475" s="97"/>
      <c r="AR475" s="97"/>
      <c r="AS475" s="97"/>
      <c r="AT475" s="97"/>
      <c r="AU475" s="97"/>
    </row>
    <row r="476" spans="1:47" ht="409.5" x14ac:dyDescent="0.2">
      <c r="A476" s="232">
        <f t="shared" si="43"/>
        <v>28</v>
      </c>
      <c r="B476" s="232" t="s">
        <v>2242</v>
      </c>
      <c r="C476" s="232" t="s">
        <v>2143</v>
      </c>
      <c r="D476" s="232" t="s">
        <v>2144</v>
      </c>
      <c r="E476" s="232" t="s">
        <v>2145</v>
      </c>
      <c r="F476" s="232" t="s">
        <v>511</v>
      </c>
      <c r="G476" s="232" t="s">
        <v>512</v>
      </c>
      <c r="H476" s="234" t="s">
        <v>647</v>
      </c>
      <c r="I476" s="232" t="s">
        <v>54</v>
      </c>
      <c r="J476" s="232" t="s">
        <v>55</v>
      </c>
      <c r="K476" s="1">
        <v>80111600</v>
      </c>
      <c r="L476" s="1" t="s">
        <v>2146</v>
      </c>
      <c r="M476" s="1" t="s">
        <v>493</v>
      </c>
      <c r="N476" s="1" t="s">
        <v>494</v>
      </c>
      <c r="O476" s="97" t="s">
        <v>2197</v>
      </c>
      <c r="P476" s="1" t="s">
        <v>2243</v>
      </c>
      <c r="Q476" s="250">
        <v>15470000</v>
      </c>
      <c r="R476" s="1">
        <v>1</v>
      </c>
      <c r="S476" s="250">
        <v>177905000</v>
      </c>
      <c r="T476" s="8" t="s">
        <v>1619</v>
      </c>
      <c r="U476" s="1" t="s">
        <v>2244</v>
      </c>
      <c r="V476" s="235" t="s">
        <v>516</v>
      </c>
      <c r="W476" s="247">
        <v>12</v>
      </c>
      <c r="X476" s="203" t="s">
        <v>2245</v>
      </c>
      <c r="Y476" s="186">
        <v>43122</v>
      </c>
      <c r="Z476" s="250">
        <v>177905000</v>
      </c>
      <c r="AA476" s="97" t="s">
        <v>2200</v>
      </c>
      <c r="AB476" s="97">
        <v>560</v>
      </c>
      <c r="AC476" s="186">
        <v>43123</v>
      </c>
      <c r="AD476" s="239">
        <v>177905000</v>
      </c>
      <c r="AE476" s="252">
        <f t="shared" si="41"/>
        <v>0</v>
      </c>
      <c r="AF476" s="139">
        <v>486</v>
      </c>
      <c r="AG476" s="186">
        <v>43126</v>
      </c>
      <c r="AH476" s="239">
        <v>177905000</v>
      </c>
      <c r="AI476" s="97" t="s">
        <v>2246</v>
      </c>
      <c r="AJ476" s="192">
        <v>408</v>
      </c>
      <c r="AK476" s="97"/>
      <c r="AL476" s="256">
        <v>79928334</v>
      </c>
      <c r="AM476" s="253">
        <f t="shared" si="42"/>
        <v>97976666</v>
      </c>
      <c r="AN476" s="97"/>
      <c r="AO476" s="97"/>
      <c r="AP476" s="97"/>
      <c r="AQ476" s="97"/>
      <c r="AR476" s="97"/>
      <c r="AS476" s="97"/>
      <c r="AT476" s="97"/>
      <c r="AU476" s="97"/>
    </row>
    <row r="477" spans="1:47" ht="255" x14ac:dyDescent="0.2">
      <c r="A477" s="232">
        <f t="shared" si="43"/>
        <v>29</v>
      </c>
      <c r="B477" s="232" t="s">
        <v>2247</v>
      </c>
      <c r="C477" s="232" t="s">
        <v>2143</v>
      </c>
      <c r="D477" s="232" t="s">
        <v>2144</v>
      </c>
      <c r="E477" s="232" t="s">
        <v>2145</v>
      </c>
      <c r="F477" s="232" t="s">
        <v>501</v>
      </c>
      <c r="G477" s="232" t="s">
        <v>824</v>
      </c>
      <c r="H477" s="234" t="s">
        <v>829</v>
      </c>
      <c r="I477" s="232" t="s">
        <v>54</v>
      </c>
      <c r="J477" s="232" t="s">
        <v>55</v>
      </c>
      <c r="K477" s="232">
        <v>81111500</v>
      </c>
      <c r="L477" s="1" t="s">
        <v>2146</v>
      </c>
      <c r="M477" s="1" t="s">
        <v>493</v>
      </c>
      <c r="N477" s="1" t="s">
        <v>494</v>
      </c>
      <c r="O477" s="97" t="s">
        <v>2088</v>
      </c>
      <c r="P477" s="257" t="s">
        <v>2248</v>
      </c>
      <c r="Q477" s="258">
        <v>33376261</v>
      </c>
      <c r="R477" s="1">
        <v>1.87</v>
      </c>
      <c r="S477" s="255">
        <v>62302353</v>
      </c>
      <c r="T477" s="1" t="s">
        <v>2203</v>
      </c>
      <c r="U477" s="7" t="s">
        <v>332</v>
      </c>
      <c r="V477" s="235" t="s">
        <v>516</v>
      </c>
      <c r="W477" s="254">
        <v>12</v>
      </c>
      <c r="X477" s="203" t="s">
        <v>2249</v>
      </c>
      <c r="Y477" s="186">
        <v>43139</v>
      </c>
      <c r="Z477" s="250">
        <v>62302353</v>
      </c>
      <c r="AA477" s="97" t="s">
        <v>2250</v>
      </c>
      <c r="AB477" s="97">
        <v>639</v>
      </c>
      <c r="AC477" s="186">
        <v>43139</v>
      </c>
      <c r="AD477" s="239">
        <v>62302353</v>
      </c>
      <c r="AE477" s="252">
        <f t="shared" si="41"/>
        <v>0</v>
      </c>
      <c r="AF477" s="139">
        <v>1468</v>
      </c>
      <c r="AG477" s="186">
        <v>43154</v>
      </c>
      <c r="AH477" s="239">
        <v>62302353</v>
      </c>
      <c r="AI477" s="97" t="s">
        <v>2251</v>
      </c>
      <c r="AJ477" s="192">
        <v>327</v>
      </c>
      <c r="AK477" s="97"/>
      <c r="AL477" s="256">
        <v>62302353</v>
      </c>
      <c r="AM477" s="253">
        <f t="shared" si="42"/>
        <v>0</v>
      </c>
      <c r="AN477" s="97"/>
      <c r="AO477" s="97"/>
      <c r="AP477" s="97"/>
      <c r="AQ477" s="97"/>
      <c r="AR477" s="97"/>
      <c r="AS477" s="97"/>
      <c r="AT477" s="97"/>
      <c r="AU477" s="97"/>
    </row>
    <row r="478" spans="1:47" ht="280.5" x14ac:dyDescent="0.2">
      <c r="A478" s="232">
        <f t="shared" si="43"/>
        <v>30</v>
      </c>
      <c r="B478" s="232" t="s">
        <v>2252</v>
      </c>
      <c r="C478" s="232" t="s">
        <v>2143</v>
      </c>
      <c r="D478" s="232" t="s">
        <v>2144</v>
      </c>
      <c r="E478" s="232" t="s">
        <v>2145</v>
      </c>
      <c r="F478" s="232" t="s">
        <v>501</v>
      </c>
      <c r="G478" s="232" t="s">
        <v>824</v>
      </c>
      <c r="H478" s="234" t="s">
        <v>829</v>
      </c>
      <c r="I478" s="232" t="s">
        <v>54</v>
      </c>
      <c r="J478" s="232" t="s">
        <v>55</v>
      </c>
      <c r="K478" s="232">
        <v>81111500</v>
      </c>
      <c r="L478" s="1" t="s">
        <v>2146</v>
      </c>
      <c r="M478" s="1" t="s">
        <v>493</v>
      </c>
      <c r="N478" s="1" t="s">
        <v>494</v>
      </c>
      <c r="O478" s="97" t="s">
        <v>2197</v>
      </c>
      <c r="P478" s="1" t="s">
        <v>2253</v>
      </c>
      <c r="Q478" s="259">
        <f>S478/R478</f>
        <v>339036000</v>
      </c>
      <c r="R478" s="1">
        <v>2</v>
      </c>
      <c r="S478" s="250">
        <f>107769709+565000000+32267736+7589820-34555265</f>
        <v>678072000</v>
      </c>
      <c r="T478" s="97"/>
      <c r="U478" s="7" t="s">
        <v>332</v>
      </c>
      <c r="V478" s="97"/>
      <c r="W478" s="254">
        <v>1</v>
      </c>
      <c r="X478" s="203" t="s">
        <v>2254</v>
      </c>
      <c r="Y478" s="186">
        <v>43173</v>
      </c>
      <c r="Z478" s="250">
        <v>678072000</v>
      </c>
      <c r="AA478" s="97" t="s">
        <v>2255</v>
      </c>
      <c r="AB478" s="97">
        <v>761</v>
      </c>
      <c r="AC478" s="186">
        <v>43185</v>
      </c>
      <c r="AD478" s="239">
        <v>678072000</v>
      </c>
      <c r="AE478" s="252">
        <f t="shared" si="41"/>
        <v>0</v>
      </c>
      <c r="AF478" s="139">
        <v>1802</v>
      </c>
      <c r="AG478" s="186">
        <v>43203</v>
      </c>
      <c r="AH478" s="239">
        <v>678072000</v>
      </c>
      <c r="AI478" s="97" t="s">
        <v>2256</v>
      </c>
      <c r="AJ478" s="192">
        <v>433</v>
      </c>
      <c r="AK478" s="97"/>
      <c r="AL478" s="256">
        <v>678072000</v>
      </c>
      <c r="AM478" s="253">
        <f t="shared" si="42"/>
        <v>0</v>
      </c>
      <c r="AN478" s="211"/>
      <c r="AO478" s="211"/>
      <c r="AP478" s="211"/>
      <c r="AQ478" s="211"/>
      <c r="AR478" s="211"/>
      <c r="AS478" s="211"/>
      <c r="AT478" s="211"/>
      <c r="AU478" s="211"/>
    </row>
    <row r="479" spans="1:47" ht="280.5" x14ac:dyDescent="0.2">
      <c r="A479" s="232">
        <f t="shared" si="43"/>
        <v>31</v>
      </c>
      <c r="B479" s="232" t="s">
        <v>2257</v>
      </c>
      <c r="C479" s="232" t="s">
        <v>2143</v>
      </c>
      <c r="D479" s="232" t="s">
        <v>2144</v>
      </c>
      <c r="E479" s="232" t="s">
        <v>2145</v>
      </c>
      <c r="F479" s="232" t="s">
        <v>501</v>
      </c>
      <c r="G479" s="232" t="s">
        <v>824</v>
      </c>
      <c r="H479" s="234" t="s">
        <v>829</v>
      </c>
      <c r="I479" s="232" t="s">
        <v>54</v>
      </c>
      <c r="J479" s="232" t="s">
        <v>55</v>
      </c>
      <c r="K479" s="232">
        <v>81111500</v>
      </c>
      <c r="L479" s="1" t="s">
        <v>2146</v>
      </c>
      <c r="M479" s="1" t="s">
        <v>493</v>
      </c>
      <c r="N479" s="1" t="s">
        <v>494</v>
      </c>
      <c r="O479" s="97" t="s">
        <v>2197</v>
      </c>
      <c r="P479" s="1" t="s">
        <v>2253</v>
      </c>
      <c r="Q479" s="259">
        <f>S479/R479</f>
        <v>0</v>
      </c>
      <c r="R479" s="1">
        <v>2</v>
      </c>
      <c r="S479" s="250">
        <f>7735-7735</f>
        <v>0</v>
      </c>
      <c r="T479" s="97"/>
      <c r="U479" s="7" t="s">
        <v>332</v>
      </c>
      <c r="V479" s="97"/>
      <c r="W479" s="254">
        <v>1</v>
      </c>
      <c r="X479" s="203" t="s">
        <v>2258</v>
      </c>
      <c r="Y479" s="186"/>
      <c r="Z479" s="250"/>
      <c r="AA479" s="97" t="s">
        <v>2259</v>
      </c>
      <c r="AB479" s="97"/>
      <c r="AC479" s="186"/>
      <c r="AD479" s="239"/>
      <c r="AE479" s="252">
        <f t="shared" si="41"/>
        <v>0</v>
      </c>
      <c r="AF479" s="139">
        <v>1802</v>
      </c>
      <c r="AG479" s="186">
        <v>43203</v>
      </c>
      <c r="AH479" s="239">
        <v>0</v>
      </c>
      <c r="AI479" s="97"/>
      <c r="AJ479" s="192"/>
      <c r="AK479" s="97"/>
      <c r="AL479" s="253">
        <v>0</v>
      </c>
      <c r="AM479" s="253">
        <f t="shared" si="42"/>
        <v>0</v>
      </c>
      <c r="AN479" s="211"/>
      <c r="AO479" s="211"/>
      <c r="AP479" s="211"/>
      <c r="AQ479" s="211"/>
      <c r="AR479" s="211"/>
      <c r="AS479" s="211"/>
      <c r="AT479" s="211"/>
      <c r="AU479" s="211"/>
    </row>
    <row r="480" spans="1:47" ht="409.5" x14ac:dyDescent="0.2">
      <c r="A480" s="232">
        <f t="shared" si="43"/>
        <v>32</v>
      </c>
      <c r="B480" s="232" t="s">
        <v>2260</v>
      </c>
      <c r="C480" s="232" t="s">
        <v>2143</v>
      </c>
      <c r="D480" s="232" t="s">
        <v>2144</v>
      </c>
      <c r="E480" s="232" t="s">
        <v>2145</v>
      </c>
      <c r="F480" s="232" t="s">
        <v>501</v>
      </c>
      <c r="G480" s="232" t="s">
        <v>824</v>
      </c>
      <c r="H480" s="234" t="s">
        <v>829</v>
      </c>
      <c r="I480" s="232" t="s">
        <v>54</v>
      </c>
      <c r="J480" s="232" t="s">
        <v>55</v>
      </c>
      <c r="K480" s="1">
        <v>81112204</v>
      </c>
      <c r="L480" s="1" t="s">
        <v>2146</v>
      </c>
      <c r="M480" s="1" t="s">
        <v>493</v>
      </c>
      <c r="N480" s="1" t="s">
        <v>494</v>
      </c>
      <c r="O480" s="97" t="s">
        <v>2088</v>
      </c>
      <c r="P480" s="1" t="s">
        <v>2261</v>
      </c>
      <c r="Q480" s="250">
        <v>1004487</v>
      </c>
      <c r="R480" s="1">
        <v>1</v>
      </c>
      <c r="S480" s="250">
        <v>2511218</v>
      </c>
      <c r="T480" s="1" t="s">
        <v>50</v>
      </c>
      <c r="U480" s="232" t="s">
        <v>2262</v>
      </c>
      <c r="V480" s="235" t="s">
        <v>507</v>
      </c>
      <c r="W480" s="254" t="s">
        <v>2263</v>
      </c>
      <c r="X480" s="203" t="s">
        <v>2264</v>
      </c>
      <c r="Y480" s="186">
        <v>43196</v>
      </c>
      <c r="Z480" s="250">
        <v>2511218</v>
      </c>
      <c r="AA480" s="97" t="s">
        <v>2265</v>
      </c>
      <c r="AB480" s="97">
        <v>767</v>
      </c>
      <c r="AC480" s="186">
        <v>43199</v>
      </c>
      <c r="AD480" s="239">
        <v>2511218</v>
      </c>
      <c r="AE480" s="252">
        <f t="shared" si="41"/>
        <v>0</v>
      </c>
      <c r="AF480" s="139">
        <v>1756</v>
      </c>
      <c r="AG480" s="186">
        <v>43200</v>
      </c>
      <c r="AH480" s="239">
        <v>2511218</v>
      </c>
      <c r="AI480" s="97" t="s">
        <v>2266</v>
      </c>
      <c r="AJ480" s="192">
        <v>562</v>
      </c>
      <c r="AK480" s="97"/>
      <c r="AL480" s="256">
        <v>2511218</v>
      </c>
      <c r="AM480" s="260">
        <f>AH480-AL480</f>
        <v>0</v>
      </c>
      <c r="AN480" s="97"/>
      <c r="AO480" s="97"/>
      <c r="AP480" s="97"/>
      <c r="AQ480" s="97"/>
      <c r="AR480" s="97"/>
      <c r="AS480" s="97"/>
      <c r="AT480" s="97"/>
      <c r="AU480" s="97"/>
    </row>
    <row r="481" spans="1:47" ht="242.25" x14ac:dyDescent="0.2">
      <c r="A481" s="232">
        <f t="shared" si="43"/>
        <v>33</v>
      </c>
      <c r="B481" s="232" t="s">
        <v>2267</v>
      </c>
      <c r="C481" s="232" t="s">
        <v>2143</v>
      </c>
      <c r="D481" s="232" t="s">
        <v>2144</v>
      </c>
      <c r="E481" s="232" t="s">
        <v>2145</v>
      </c>
      <c r="F481" s="232" t="s">
        <v>501</v>
      </c>
      <c r="G481" s="232" t="s">
        <v>824</v>
      </c>
      <c r="H481" s="234" t="s">
        <v>829</v>
      </c>
      <c r="I481" s="232" t="s">
        <v>54</v>
      </c>
      <c r="J481" s="232" t="s">
        <v>55</v>
      </c>
      <c r="K481" s="232">
        <v>81111500</v>
      </c>
      <c r="L481" s="1" t="s">
        <v>2146</v>
      </c>
      <c r="M481" s="1" t="s">
        <v>493</v>
      </c>
      <c r="N481" s="1" t="s">
        <v>494</v>
      </c>
      <c r="O481" s="97" t="s">
        <v>2088</v>
      </c>
      <c r="P481" s="1" t="s">
        <v>2268</v>
      </c>
      <c r="Q481" s="255">
        <v>342263852</v>
      </c>
      <c r="R481" s="1">
        <v>1</v>
      </c>
      <c r="S481" s="255">
        <v>342263852</v>
      </c>
      <c r="T481" s="1" t="s">
        <v>2216</v>
      </c>
      <c r="U481" s="7" t="s">
        <v>332</v>
      </c>
      <c r="V481" s="235" t="s">
        <v>2269</v>
      </c>
      <c r="W481" s="254">
        <v>1</v>
      </c>
      <c r="X481" s="251" t="s">
        <v>2270</v>
      </c>
      <c r="Y481" s="186">
        <v>43216</v>
      </c>
      <c r="Z481" s="255">
        <v>317799910</v>
      </c>
      <c r="AA481" s="97" t="s">
        <v>2250</v>
      </c>
      <c r="AB481" s="97">
        <v>807</v>
      </c>
      <c r="AC481" s="186">
        <v>42852</v>
      </c>
      <c r="AD481" s="239">
        <v>317799910</v>
      </c>
      <c r="AE481" s="252">
        <f t="shared" si="41"/>
        <v>24463942</v>
      </c>
      <c r="AF481" s="139">
        <v>1960</v>
      </c>
      <c r="AG481" s="186">
        <v>43250</v>
      </c>
      <c r="AH481" s="239">
        <v>317799910</v>
      </c>
      <c r="AI481" s="97" t="s">
        <v>2271</v>
      </c>
      <c r="AJ481" s="97">
        <v>434</v>
      </c>
      <c r="AK481" s="97"/>
      <c r="AL481" s="198">
        <v>317799910</v>
      </c>
      <c r="AM481" s="253">
        <f>AH481-AL481</f>
        <v>0</v>
      </c>
      <c r="AN481" s="97"/>
      <c r="AO481" s="97"/>
      <c r="AP481" s="97"/>
      <c r="AQ481" s="97"/>
      <c r="AR481" s="97"/>
      <c r="AS481" s="97"/>
      <c r="AT481" s="97"/>
      <c r="AU481" s="97"/>
    </row>
    <row r="482" spans="1:47" ht="140.25" x14ac:dyDescent="0.2">
      <c r="A482" s="232">
        <f t="shared" si="43"/>
        <v>34</v>
      </c>
      <c r="B482" s="232" t="s">
        <v>2272</v>
      </c>
      <c r="C482" s="232" t="s">
        <v>2143</v>
      </c>
      <c r="D482" s="232" t="s">
        <v>2144</v>
      </c>
      <c r="E482" s="232" t="s">
        <v>2145</v>
      </c>
      <c r="F482" s="232" t="s">
        <v>2194</v>
      </c>
      <c r="G482" s="232" t="s">
        <v>2195</v>
      </c>
      <c r="H482" s="232" t="s">
        <v>2196</v>
      </c>
      <c r="I482" s="232" t="s">
        <v>54</v>
      </c>
      <c r="J482" s="232" t="s">
        <v>55</v>
      </c>
      <c r="K482" s="232" t="s">
        <v>319</v>
      </c>
      <c r="L482" s="1" t="s">
        <v>2146</v>
      </c>
      <c r="M482" s="1" t="s">
        <v>493</v>
      </c>
      <c r="N482" s="1" t="s">
        <v>494</v>
      </c>
      <c r="O482" s="97" t="s">
        <v>2197</v>
      </c>
      <c r="P482" s="1" t="s">
        <v>2273</v>
      </c>
      <c r="Q482" s="250">
        <v>7000000</v>
      </c>
      <c r="R482" s="1">
        <v>1</v>
      </c>
      <c r="S482" s="250">
        <v>7000000</v>
      </c>
      <c r="T482" s="1" t="s">
        <v>50</v>
      </c>
      <c r="U482" s="232" t="s">
        <v>58</v>
      </c>
      <c r="V482" s="235">
        <v>43327</v>
      </c>
      <c r="W482" s="247">
        <v>1</v>
      </c>
      <c r="X482" s="251"/>
      <c r="Y482" s="186"/>
      <c r="Z482" s="250"/>
      <c r="AA482" s="97"/>
      <c r="AB482" s="97"/>
      <c r="AC482" s="97"/>
      <c r="AD482" s="97"/>
      <c r="AE482" s="252">
        <f t="shared" si="41"/>
        <v>7000000</v>
      </c>
      <c r="AF482" s="139"/>
      <c r="AG482" s="97"/>
      <c r="AH482" s="239"/>
      <c r="AI482" s="97"/>
      <c r="AJ482" s="97"/>
      <c r="AK482" s="97"/>
      <c r="AL482" s="97"/>
      <c r="AM482" s="253">
        <f t="shared" ref="AM482" si="44">AH482-AL482</f>
        <v>0</v>
      </c>
      <c r="AN482" s="97"/>
      <c r="AO482" s="97"/>
      <c r="AP482" s="97"/>
      <c r="AQ482" s="97"/>
      <c r="AR482" s="97"/>
      <c r="AS482" s="97"/>
      <c r="AT482" s="97"/>
      <c r="AU482" s="97"/>
    </row>
    <row r="483" spans="1:47" ht="382.5" x14ac:dyDescent="0.2">
      <c r="A483" s="232">
        <f t="shared" si="43"/>
        <v>35</v>
      </c>
      <c r="B483" s="232" t="s">
        <v>2274</v>
      </c>
      <c r="C483" s="232" t="s">
        <v>2143</v>
      </c>
      <c r="D483" s="232" t="s">
        <v>2144</v>
      </c>
      <c r="E483" s="232" t="s">
        <v>2145</v>
      </c>
      <c r="F483" s="232" t="s">
        <v>501</v>
      </c>
      <c r="G483" s="232" t="s">
        <v>824</v>
      </c>
      <c r="H483" s="234" t="s">
        <v>829</v>
      </c>
      <c r="I483" s="232" t="s">
        <v>54</v>
      </c>
      <c r="J483" s="232" t="s">
        <v>55</v>
      </c>
      <c r="K483" s="232">
        <v>81111500</v>
      </c>
      <c r="L483" s="1" t="s">
        <v>2146</v>
      </c>
      <c r="M483" s="1" t="s">
        <v>493</v>
      </c>
      <c r="N483" s="1" t="s">
        <v>494</v>
      </c>
      <c r="O483" s="97" t="s">
        <v>2088</v>
      </c>
      <c r="P483" s="1" t="s">
        <v>2275</v>
      </c>
      <c r="Q483" s="250">
        <f t="shared" ref="Q483:Q490" si="45">S483/W483</f>
        <v>55344464</v>
      </c>
      <c r="R483" s="1">
        <v>1</v>
      </c>
      <c r="S483" s="255">
        <v>55344464</v>
      </c>
      <c r="T483" s="1" t="s">
        <v>2276</v>
      </c>
      <c r="U483" s="7" t="s">
        <v>332</v>
      </c>
      <c r="V483" s="235">
        <v>43292</v>
      </c>
      <c r="W483" s="254">
        <v>1</v>
      </c>
      <c r="X483" s="251" t="s">
        <v>2277</v>
      </c>
      <c r="Y483" s="186">
        <v>43291</v>
      </c>
      <c r="Z483" s="250">
        <v>49680000</v>
      </c>
      <c r="AA483" s="128"/>
      <c r="AB483" s="97">
        <v>963</v>
      </c>
      <c r="AC483" s="186">
        <v>43292</v>
      </c>
      <c r="AD483" s="239">
        <v>49680000</v>
      </c>
      <c r="AE483" s="252">
        <f t="shared" si="41"/>
        <v>5664464</v>
      </c>
      <c r="AF483" s="139"/>
      <c r="AG483" s="186"/>
      <c r="AH483" s="239"/>
      <c r="AI483" s="97"/>
      <c r="AJ483" s="97"/>
      <c r="AK483" s="97"/>
      <c r="AL483" s="253">
        <v>0</v>
      </c>
      <c r="AM483" s="253">
        <f>AH483-AL483</f>
        <v>0</v>
      </c>
      <c r="AN483" s="97"/>
      <c r="AO483" s="97"/>
      <c r="AP483" s="97"/>
      <c r="AQ483" s="97"/>
      <c r="AR483" s="97"/>
      <c r="AS483" s="97"/>
      <c r="AT483" s="97"/>
      <c r="AU483" s="97"/>
    </row>
    <row r="484" spans="1:47" ht="255" x14ac:dyDescent="0.2">
      <c r="A484" s="232">
        <f t="shared" si="43"/>
        <v>36</v>
      </c>
      <c r="B484" s="232" t="s">
        <v>2278</v>
      </c>
      <c r="C484" s="232" t="s">
        <v>2143</v>
      </c>
      <c r="D484" s="232" t="s">
        <v>2144</v>
      </c>
      <c r="E484" s="232" t="s">
        <v>2145</v>
      </c>
      <c r="F484" s="232" t="s">
        <v>501</v>
      </c>
      <c r="G484" s="232" t="s">
        <v>824</v>
      </c>
      <c r="H484" s="234" t="s">
        <v>829</v>
      </c>
      <c r="I484" s="232" t="s">
        <v>54</v>
      </c>
      <c r="J484" s="232" t="s">
        <v>55</v>
      </c>
      <c r="K484" s="232">
        <v>81111500</v>
      </c>
      <c r="L484" s="1" t="s">
        <v>2146</v>
      </c>
      <c r="M484" s="1" t="s">
        <v>493</v>
      </c>
      <c r="N484" s="1" t="s">
        <v>494</v>
      </c>
      <c r="O484" s="97" t="s">
        <v>2088</v>
      </c>
      <c r="P484" s="1" t="s">
        <v>2279</v>
      </c>
      <c r="Q484" s="250">
        <f t="shared" si="45"/>
        <v>20010000</v>
      </c>
      <c r="R484" s="1">
        <v>1</v>
      </c>
      <c r="S484" s="255">
        <v>40020000</v>
      </c>
      <c r="T484" s="1" t="s">
        <v>2276</v>
      </c>
      <c r="U484" s="7" t="s">
        <v>332</v>
      </c>
      <c r="V484" s="235">
        <v>43297</v>
      </c>
      <c r="W484" s="254">
        <v>2</v>
      </c>
      <c r="X484" s="251"/>
      <c r="Y484" s="186"/>
      <c r="Z484" s="250"/>
      <c r="AA484" s="128"/>
      <c r="AB484" s="97"/>
      <c r="AC484" s="186"/>
      <c r="AD484" s="239"/>
      <c r="AE484" s="252">
        <f t="shared" si="41"/>
        <v>40020000</v>
      </c>
      <c r="AF484" s="139"/>
      <c r="AG484" s="186"/>
      <c r="AH484" s="239"/>
      <c r="AI484" s="97"/>
      <c r="AJ484" s="97"/>
      <c r="AK484" s="97"/>
      <c r="AL484" s="253"/>
      <c r="AM484" s="253"/>
      <c r="AN484" s="97"/>
      <c r="AO484" s="97"/>
      <c r="AP484" s="97"/>
      <c r="AQ484" s="97"/>
      <c r="AR484" s="97"/>
      <c r="AS484" s="97"/>
      <c r="AT484" s="97"/>
      <c r="AU484" s="97"/>
    </row>
    <row r="485" spans="1:47" ht="242.25" x14ac:dyDescent="0.2">
      <c r="A485" s="232">
        <f t="shared" si="43"/>
        <v>37</v>
      </c>
      <c r="B485" s="232" t="s">
        <v>2280</v>
      </c>
      <c r="C485" s="232" t="s">
        <v>2143</v>
      </c>
      <c r="D485" s="232" t="s">
        <v>2144</v>
      </c>
      <c r="E485" s="232" t="s">
        <v>2145</v>
      </c>
      <c r="F485" s="232" t="s">
        <v>501</v>
      </c>
      <c r="G485" s="232" t="s">
        <v>824</v>
      </c>
      <c r="H485" s="234" t="s">
        <v>829</v>
      </c>
      <c r="I485" s="232" t="s">
        <v>54</v>
      </c>
      <c r="J485" s="232" t="s">
        <v>55</v>
      </c>
      <c r="K485" s="232">
        <v>81111500</v>
      </c>
      <c r="L485" s="1" t="s">
        <v>2146</v>
      </c>
      <c r="M485" s="1" t="s">
        <v>493</v>
      </c>
      <c r="N485" s="1" t="s">
        <v>494</v>
      </c>
      <c r="O485" s="97" t="s">
        <v>2088</v>
      </c>
      <c r="P485" s="1" t="s">
        <v>2281</v>
      </c>
      <c r="Q485" s="250">
        <f t="shared" si="45"/>
        <v>4650000</v>
      </c>
      <c r="R485" s="1">
        <v>1</v>
      </c>
      <c r="S485" s="255">
        <v>27900000</v>
      </c>
      <c r="T485" s="1" t="s">
        <v>2276</v>
      </c>
      <c r="U485" s="7" t="s">
        <v>332</v>
      </c>
      <c r="V485" s="235">
        <v>43374</v>
      </c>
      <c r="W485" s="254">
        <v>6</v>
      </c>
      <c r="X485" s="251"/>
      <c r="Y485" s="186"/>
      <c r="Z485" s="250"/>
      <c r="AA485" s="128"/>
      <c r="AB485" s="97"/>
      <c r="AC485" s="186"/>
      <c r="AD485" s="239"/>
      <c r="AE485" s="252">
        <f t="shared" si="41"/>
        <v>27900000</v>
      </c>
      <c r="AF485" s="139"/>
      <c r="AG485" s="186"/>
      <c r="AH485" s="239"/>
      <c r="AI485" s="97"/>
      <c r="AJ485" s="97"/>
      <c r="AK485" s="97"/>
      <c r="AL485" s="253"/>
      <c r="AM485" s="253"/>
      <c r="AN485" s="97"/>
      <c r="AO485" s="97"/>
      <c r="AP485" s="97"/>
      <c r="AQ485" s="97"/>
      <c r="AR485" s="97"/>
      <c r="AS485" s="97"/>
      <c r="AT485" s="97"/>
      <c r="AU485" s="97"/>
    </row>
    <row r="486" spans="1:47" ht="165.75" x14ac:dyDescent="0.2">
      <c r="A486" s="232">
        <f t="shared" si="43"/>
        <v>38</v>
      </c>
      <c r="B486" s="232" t="s">
        <v>2282</v>
      </c>
      <c r="C486" s="232" t="s">
        <v>2143</v>
      </c>
      <c r="D486" s="232" t="s">
        <v>2144</v>
      </c>
      <c r="E486" s="232" t="s">
        <v>2145</v>
      </c>
      <c r="F486" s="232" t="s">
        <v>501</v>
      </c>
      <c r="G486" s="232" t="s">
        <v>824</v>
      </c>
      <c r="H486" s="234" t="s">
        <v>829</v>
      </c>
      <c r="I486" s="232" t="s">
        <v>54</v>
      </c>
      <c r="J486" s="232" t="s">
        <v>55</v>
      </c>
      <c r="K486" s="232">
        <v>81111500</v>
      </c>
      <c r="L486" s="1" t="s">
        <v>2146</v>
      </c>
      <c r="M486" s="1" t="s">
        <v>493</v>
      </c>
      <c r="N486" s="1" t="s">
        <v>494</v>
      </c>
      <c r="O486" s="97" t="s">
        <v>2088</v>
      </c>
      <c r="P486" s="1" t="s">
        <v>2283</v>
      </c>
      <c r="Q486" s="250">
        <f t="shared" si="45"/>
        <v>94339.622641509428</v>
      </c>
      <c r="R486" s="1">
        <v>1</v>
      </c>
      <c r="S486" s="255">
        <v>1100000</v>
      </c>
      <c r="T486" s="1" t="s">
        <v>2276</v>
      </c>
      <c r="U486" s="7" t="s">
        <v>58</v>
      </c>
      <c r="V486" s="235">
        <v>43248</v>
      </c>
      <c r="W486" s="254">
        <v>11.66</v>
      </c>
      <c r="X486" s="251"/>
      <c r="Y486" s="186"/>
      <c r="Z486" s="250"/>
      <c r="AA486" s="128"/>
      <c r="AB486" s="97"/>
      <c r="AC486" s="186"/>
      <c r="AD486" s="239"/>
      <c r="AE486" s="252">
        <f t="shared" si="41"/>
        <v>1100000</v>
      </c>
      <c r="AF486" s="139"/>
      <c r="AG486" s="186"/>
      <c r="AH486" s="239"/>
      <c r="AI486" s="97"/>
      <c r="AJ486" s="97"/>
      <c r="AK486" s="97"/>
      <c r="AL486" s="253"/>
      <c r="AM486" s="253"/>
      <c r="AN486" s="97"/>
      <c r="AO486" s="97"/>
      <c r="AP486" s="97"/>
      <c r="AQ486" s="97"/>
      <c r="AR486" s="97"/>
      <c r="AS486" s="97"/>
      <c r="AT486" s="97"/>
      <c r="AU486" s="97"/>
    </row>
    <row r="487" spans="1:47" ht="165.75" x14ac:dyDescent="0.2">
      <c r="A487" s="232">
        <f t="shared" si="43"/>
        <v>39</v>
      </c>
      <c r="B487" s="232" t="s">
        <v>2284</v>
      </c>
      <c r="C487" s="232" t="s">
        <v>2143</v>
      </c>
      <c r="D487" s="232" t="s">
        <v>2144</v>
      </c>
      <c r="E487" s="232" t="s">
        <v>2145</v>
      </c>
      <c r="F487" s="232" t="s">
        <v>501</v>
      </c>
      <c r="G487" s="232" t="s">
        <v>824</v>
      </c>
      <c r="H487" s="234" t="s">
        <v>829</v>
      </c>
      <c r="I487" s="232" t="s">
        <v>54</v>
      </c>
      <c r="J487" s="232" t="s">
        <v>55</v>
      </c>
      <c r="K487" s="232">
        <v>81111500</v>
      </c>
      <c r="L487" s="1" t="s">
        <v>2146</v>
      </c>
      <c r="M487" s="1" t="s">
        <v>493</v>
      </c>
      <c r="N487" s="1" t="s">
        <v>494</v>
      </c>
      <c r="O487" s="97" t="s">
        <v>2088</v>
      </c>
      <c r="P487" s="1" t="s">
        <v>2285</v>
      </c>
      <c r="Q487" s="250">
        <f t="shared" si="45"/>
        <v>11687015</v>
      </c>
      <c r="R487" s="1"/>
      <c r="S487" s="255">
        <f>11061045+24000000</f>
        <v>35061045</v>
      </c>
      <c r="T487" s="1" t="s">
        <v>2276</v>
      </c>
      <c r="U487" s="7" t="s">
        <v>58</v>
      </c>
      <c r="V487" s="235">
        <v>43313</v>
      </c>
      <c r="W487" s="254">
        <v>3</v>
      </c>
      <c r="X487" s="251"/>
      <c r="Y487" s="186"/>
      <c r="Z487" s="250"/>
      <c r="AA487" s="128"/>
      <c r="AB487" s="97"/>
      <c r="AC487" s="186"/>
      <c r="AD487" s="239"/>
      <c r="AE487" s="252">
        <f t="shared" si="41"/>
        <v>35061045</v>
      </c>
      <c r="AF487" s="139"/>
      <c r="AG487" s="186"/>
      <c r="AH487" s="239"/>
      <c r="AI487" s="97"/>
      <c r="AJ487" s="97"/>
      <c r="AK487" s="97"/>
      <c r="AL487" s="253"/>
      <c r="AM487" s="253"/>
      <c r="AN487" s="97"/>
      <c r="AO487" s="97"/>
      <c r="AP487" s="97"/>
      <c r="AQ487" s="97"/>
      <c r="AR487" s="97"/>
      <c r="AS487" s="97"/>
      <c r="AT487" s="97"/>
      <c r="AU487" s="97"/>
    </row>
    <row r="488" spans="1:47" ht="165.75" x14ac:dyDescent="0.2">
      <c r="A488" s="232">
        <f t="shared" si="43"/>
        <v>40</v>
      </c>
      <c r="B488" s="232" t="s">
        <v>2286</v>
      </c>
      <c r="C488" s="232" t="s">
        <v>2143</v>
      </c>
      <c r="D488" s="232" t="s">
        <v>2144</v>
      </c>
      <c r="E488" s="232" t="s">
        <v>2145</v>
      </c>
      <c r="F488" s="232" t="s">
        <v>501</v>
      </c>
      <c r="G488" s="232" t="s">
        <v>824</v>
      </c>
      <c r="H488" s="234" t="s">
        <v>829</v>
      </c>
      <c r="I488" s="232" t="s">
        <v>54</v>
      </c>
      <c r="J488" s="232" t="s">
        <v>55</v>
      </c>
      <c r="K488" s="232">
        <v>81111500</v>
      </c>
      <c r="L488" s="1" t="s">
        <v>2146</v>
      </c>
      <c r="M488" s="1" t="s">
        <v>493</v>
      </c>
      <c r="N488" s="1" t="s">
        <v>494</v>
      </c>
      <c r="O488" s="97" t="s">
        <v>2088</v>
      </c>
      <c r="P488" s="1" t="s">
        <v>2287</v>
      </c>
      <c r="Q488" s="250">
        <f t="shared" si="45"/>
        <v>14895742.869565217</v>
      </c>
      <c r="R488" s="1"/>
      <c r="S488" s="255">
        <f>114056996+22681047+34555265+7735</f>
        <v>171301043</v>
      </c>
      <c r="T488" s="1" t="s">
        <v>2276</v>
      </c>
      <c r="U488" s="7" t="s">
        <v>58</v>
      </c>
      <c r="V488" s="235">
        <v>43353</v>
      </c>
      <c r="W488" s="254">
        <v>11.5</v>
      </c>
      <c r="X488" s="251"/>
      <c r="Y488" s="186"/>
      <c r="Z488" s="250"/>
      <c r="AA488" s="128"/>
      <c r="AB488" s="97"/>
      <c r="AC488" s="186"/>
      <c r="AD488" s="239"/>
      <c r="AE488" s="252">
        <f t="shared" si="41"/>
        <v>171301043</v>
      </c>
      <c r="AF488" s="139"/>
      <c r="AG488" s="186"/>
      <c r="AH488" s="239"/>
      <c r="AI488" s="97"/>
      <c r="AJ488" s="97"/>
      <c r="AK488" s="97"/>
      <c r="AL488" s="253"/>
      <c r="AM488" s="253"/>
      <c r="AN488" s="97"/>
      <c r="AO488" s="97"/>
      <c r="AP488" s="97"/>
      <c r="AQ488" s="97"/>
      <c r="AR488" s="97"/>
      <c r="AS488" s="97"/>
      <c r="AT488" s="97"/>
      <c r="AU488" s="97"/>
    </row>
    <row r="489" spans="1:47" ht="409.5" x14ac:dyDescent="0.2">
      <c r="A489" s="232">
        <f t="shared" si="43"/>
        <v>41</v>
      </c>
      <c r="B489" s="232" t="s">
        <v>2288</v>
      </c>
      <c r="C489" s="232" t="s">
        <v>2143</v>
      </c>
      <c r="D489" s="232" t="s">
        <v>2144</v>
      </c>
      <c r="E489" s="232" t="s">
        <v>2145</v>
      </c>
      <c r="F489" s="232" t="s">
        <v>501</v>
      </c>
      <c r="G489" s="232" t="s">
        <v>824</v>
      </c>
      <c r="H489" s="234" t="s">
        <v>829</v>
      </c>
      <c r="I489" s="232" t="s">
        <v>54</v>
      </c>
      <c r="J489" s="232" t="s">
        <v>55</v>
      </c>
      <c r="K489" s="232">
        <v>81111500</v>
      </c>
      <c r="L489" s="1" t="s">
        <v>2146</v>
      </c>
      <c r="M489" s="1" t="s">
        <v>493</v>
      </c>
      <c r="N489" s="1" t="s">
        <v>494</v>
      </c>
      <c r="O489" s="97" t="s">
        <v>2088</v>
      </c>
      <c r="P489" s="1" t="s">
        <v>2289</v>
      </c>
      <c r="Q489" s="250">
        <f t="shared" si="45"/>
        <v>51216446</v>
      </c>
      <c r="R489" s="1">
        <v>1</v>
      </c>
      <c r="S489" s="255">
        <f>700377+50516069</f>
        <v>51216446</v>
      </c>
      <c r="T489" s="1" t="s">
        <v>2276</v>
      </c>
      <c r="U489" s="7" t="s">
        <v>332</v>
      </c>
      <c r="V489" s="235">
        <v>43389</v>
      </c>
      <c r="W489" s="254">
        <v>1</v>
      </c>
      <c r="X489" s="251"/>
      <c r="Y489" s="186"/>
      <c r="Z489" s="250"/>
      <c r="AA489" s="128"/>
      <c r="AB489" s="97"/>
      <c r="AC489" s="186"/>
      <c r="AD489" s="239"/>
      <c r="AE489" s="252">
        <f t="shared" si="41"/>
        <v>51216446</v>
      </c>
      <c r="AF489" s="139"/>
      <c r="AG489" s="186"/>
      <c r="AH489" s="239"/>
      <c r="AI489" s="97"/>
      <c r="AJ489" s="97">
        <v>430</v>
      </c>
      <c r="AK489" s="97"/>
      <c r="AL489" s="253"/>
      <c r="AM489" s="253">
        <f t="shared" ref="AM489:AM490" si="46">AH489-AL489</f>
        <v>0</v>
      </c>
      <c r="AN489" s="97"/>
      <c r="AO489" s="97"/>
      <c r="AP489" s="97"/>
      <c r="AQ489" s="97"/>
      <c r="AR489" s="97"/>
      <c r="AS489" s="97"/>
      <c r="AT489" s="97"/>
      <c r="AU489" s="97"/>
    </row>
    <row r="490" spans="1:47" ht="255" x14ac:dyDescent="0.2">
      <c r="A490" s="232">
        <f t="shared" si="43"/>
        <v>42</v>
      </c>
      <c r="B490" s="232" t="s">
        <v>2290</v>
      </c>
      <c r="C490" s="232" t="s">
        <v>2143</v>
      </c>
      <c r="D490" s="232" t="s">
        <v>2144</v>
      </c>
      <c r="E490" s="232" t="s">
        <v>2145</v>
      </c>
      <c r="F490" s="232" t="s">
        <v>511</v>
      </c>
      <c r="G490" s="232" t="s">
        <v>512</v>
      </c>
      <c r="H490" s="234" t="s">
        <v>647</v>
      </c>
      <c r="I490" s="232" t="s">
        <v>54</v>
      </c>
      <c r="J490" s="232" t="s">
        <v>55</v>
      </c>
      <c r="K490" s="232">
        <v>81111500</v>
      </c>
      <c r="L490" s="1" t="s">
        <v>2146</v>
      </c>
      <c r="M490" s="1" t="s">
        <v>493</v>
      </c>
      <c r="N490" s="1" t="s">
        <v>494</v>
      </c>
      <c r="O490" s="97" t="s">
        <v>2088</v>
      </c>
      <c r="P490" s="1" t="s">
        <v>2291</v>
      </c>
      <c r="Q490" s="250">
        <f t="shared" si="45"/>
        <v>3326900</v>
      </c>
      <c r="R490" s="1">
        <v>1</v>
      </c>
      <c r="S490" s="255">
        <v>17965260</v>
      </c>
      <c r="T490" s="1" t="s">
        <v>2276</v>
      </c>
      <c r="U490" s="7" t="s">
        <v>332</v>
      </c>
      <c r="V490" s="235">
        <v>43299</v>
      </c>
      <c r="W490" s="254">
        <v>5.4</v>
      </c>
      <c r="X490" s="251" t="s">
        <v>2292</v>
      </c>
      <c r="Y490" s="186">
        <v>43299</v>
      </c>
      <c r="Z490" s="250">
        <v>17965260</v>
      </c>
      <c r="AA490" s="128"/>
      <c r="AB490" s="97">
        <v>990</v>
      </c>
      <c r="AC490" s="186">
        <v>43300</v>
      </c>
      <c r="AD490" s="239">
        <v>17965260</v>
      </c>
      <c r="AE490" s="252">
        <f t="shared" si="41"/>
        <v>0</v>
      </c>
      <c r="AF490" s="139">
        <v>2546</v>
      </c>
      <c r="AG490" s="186">
        <v>43308</v>
      </c>
      <c r="AH490" s="239">
        <v>16634500</v>
      </c>
      <c r="AI490" s="97" t="s">
        <v>2293</v>
      </c>
      <c r="AJ490" s="97">
        <v>430</v>
      </c>
      <c r="AK490" s="97"/>
      <c r="AL490" s="253">
        <v>0</v>
      </c>
      <c r="AM490" s="253">
        <f t="shared" si="46"/>
        <v>16634500</v>
      </c>
      <c r="AN490" s="97"/>
      <c r="AO490" s="97"/>
      <c r="AP490" s="97"/>
      <c r="AQ490" s="97"/>
      <c r="AR490" s="97"/>
      <c r="AS490" s="97"/>
      <c r="AT490" s="97"/>
      <c r="AU490" s="97"/>
    </row>
    <row r="491" spans="1:47" ht="409.5" x14ac:dyDescent="0.2">
      <c r="A491" s="1">
        <v>1</v>
      </c>
      <c r="B491" s="1" t="str">
        <f t="shared" ref="B491:B554" si="47">CONCATENATE("3075","-",A491)</f>
        <v>3075-1</v>
      </c>
      <c r="C491" s="99" t="s">
        <v>2294</v>
      </c>
      <c r="D491" s="100" t="s">
        <v>2295</v>
      </c>
      <c r="E491" s="100" t="s">
        <v>2296</v>
      </c>
      <c r="F491" s="99" t="s">
        <v>2297</v>
      </c>
      <c r="G491" s="101" t="s">
        <v>2298</v>
      </c>
      <c r="H491" s="102" t="s">
        <v>2299</v>
      </c>
      <c r="I491" s="100" t="s">
        <v>2300</v>
      </c>
      <c r="J491" s="100" t="s">
        <v>2301</v>
      </c>
      <c r="K491" s="100">
        <v>821016</v>
      </c>
      <c r="L491" s="1" t="s">
        <v>2302</v>
      </c>
      <c r="M491" s="1" t="s">
        <v>493</v>
      </c>
      <c r="N491" s="1" t="s">
        <v>494</v>
      </c>
      <c r="O491" s="100" t="s">
        <v>2303</v>
      </c>
      <c r="P491" s="100" t="s">
        <v>2304</v>
      </c>
      <c r="Q491" s="103">
        <v>162500000</v>
      </c>
      <c r="R491" s="1">
        <v>1</v>
      </c>
      <c r="S491" s="104">
        <f>81250000+81250000</f>
        <v>162500000</v>
      </c>
      <c r="T491" s="1"/>
      <c r="U491" s="1" t="s">
        <v>2305</v>
      </c>
      <c r="V491" s="31" t="s">
        <v>2208</v>
      </c>
      <c r="W491" s="105">
        <v>3</v>
      </c>
      <c r="X491" s="1" t="s">
        <v>2306</v>
      </c>
      <c r="Y491" s="31">
        <v>43326</v>
      </c>
      <c r="Z491" s="106">
        <v>162500000</v>
      </c>
      <c r="AA491" s="107" t="s">
        <v>2307</v>
      </c>
      <c r="AB491" s="20"/>
      <c r="AC491" s="31"/>
      <c r="AD491" s="108"/>
      <c r="AE491" s="109">
        <f t="shared" ref="AE491:AE554" si="48">S491-Z491</f>
        <v>0</v>
      </c>
      <c r="AF491" s="20"/>
      <c r="AG491" s="31"/>
      <c r="AH491" s="108"/>
      <c r="AI491" s="1"/>
      <c r="AJ491" s="1"/>
      <c r="AK491" s="109">
        <f t="shared" ref="AK491:AK554" si="49">AD491-AH491</f>
        <v>0</v>
      </c>
      <c r="AL491" s="108"/>
      <c r="AM491" s="108">
        <f t="shared" ref="AM491:AM554" si="50">AH491-AL491</f>
        <v>0</v>
      </c>
      <c r="AN491" s="1" t="s">
        <v>2308</v>
      </c>
      <c r="AO491" s="108">
        <f t="shared" ref="AO491:AO554" si="51">S491-AH491</f>
        <v>162500000</v>
      </c>
      <c r="AP491" s="1"/>
      <c r="AQ491" s="31">
        <v>43326</v>
      </c>
      <c r="AR491" s="1" t="s">
        <v>2309</v>
      </c>
      <c r="AS491" s="31">
        <v>43326</v>
      </c>
      <c r="AT491" s="1" t="s">
        <v>2304</v>
      </c>
      <c r="AU491" s="211"/>
    </row>
    <row r="492" spans="1:47" ht="306" x14ac:dyDescent="0.2">
      <c r="A492" s="1">
        <v>2</v>
      </c>
      <c r="B492" s="1" t="str">
        <f t="shared" si="47"/>
        <v>3075-2</v>
      </c>
      <c r="C492" s="99" t="s">
        <v>2294</v>
      </c>
      <c r="D492" s="100" t="s">
        <v>2295</v>
      </c>
      <c r="E492" s="100" t="s">
        <v>2296</v>
      </c>
      <c r="F492" s="99" t="s">
        <v>2297</v>
      </c>
      <c r="G492" s="101" t="s">
        <v>2298</v>
      </c>
      <c r="H492" s="102" t="s">
        <v>2299</v>
      </c>
      <c r="I492" s="100" t="s">
        <v>2300</v>
      </c>
      <c r="J492" s="100" t="s">
        <v>2301</v>
      </c>
      <c r="K492" s="100">
        <v>821016</v>
      </c>
      <c r="L492" s="1" t="s">
        <v>2302</v>
      </c>
      <c r="M492" s="1" t="s">
        <v>493</v>
      </c>
      <c r="N492" s="1" t="s">
        <v>494</v>
      </c>
      <c r="O492" s="100" t="s">
        <v>2303</v>
      </c>
      <c r="P492" s="100" t="s">
        <v>509</v>
      </c>
      <c r="Q492" s="103">
        <v>20312500</v>
      </c>
      <c r="R492" s="1">
        <v>1</v>
      </c>
      <c r="S492" s="104">
        <f>81250000-81250000</f>
        <v>0</v>
      </c>
      <c r="T492" s="1"/>
      <c r="U492" s="1"/>
      <c r="V492" s="31"/>
      <c r="W492" s="105"/>
      <c r="X492" s="1"/>
      <c r="Y492" s="31"/>
      <c r="Z492" s="106"/>
      <c r="AA492" s="107"/>
      <c r="AB492" s="20"/>
      <c r="AC492" s="31"/>
      <c r="AD492" s="108"/>
      <c r="AE492" s="109">
        <f t="shared" si="48"/>
        <v>0</v>
      </c>
      <c r="AF492" s="20"/>
      <c r="AG492" s="31"/>
      <c r="AH492" s="108"/>
      <c r="AI492" s="1"/>
      <c r="AJ492" s="1"/>
      <c r="AK492" s="109">
        <f t="shared" si="49"/>
        <v>0</v>
      </c>
      <c r="AL492" s="108"/>
      <c r="AM492" s="108">
        <f t="shared" si="50"/>
        <v>0</v>
      </c>
      <c r="AN492" s="1" t="s">
        <v>2308</v>
      </c>
      <c r="AO492" s="108">
        <f t="shared" si="51"/>
        <v>0</v>
      </c>
      <c r="AP492" s="1"/>
      <c r="AQ492" s="1"/>
      <c r="AR492" s="1"/>
      <c r="AS492" s="1"/>
      <c r="AT492" s="1"/>
      <c r="AU492" s="211"/>
    </row>
    <row r="493" spans="1:47" ht="114.75" x14ac:dyDescent="0.2">
      <c r="A493" s="1">
        <v>3</v>
      </c>
      <c r="B493" s="1" t="str">
        <f t="shared" si="47"/>
        <v>3075-3</v>
      </c>
      <c r="C493" s="100" t="s">
        <v>2294</v>
      </c>
      <c r="D493" s="100" t="s">
        <v>2295</v>
      </c>
      <c r="E493" s="100" t="s">
        <v>2296</v>
      </c>
      <c r="F493" s="100" t="s">
        <v>2310</v>
      </c>
      <c r="G493" s="110" t="s">
        <v>2311</v>
      </c>
      <c r="H493" s="102" t="s">
        <v>2312</v>
      </c>
      <c r="I493" s="100" t="s">
        <v>2300</v>
      </c>
      <c r="J493" s="100" t="s">
        <v>2301</v>
      </c>
      <c r="K493" s="100" t="s">
        <v>2313</v>
      </c>
      <c r="L493" s="1" t="s">
        <v>2302</v>
      </c>
      <c r="M493" s="1" t="s">
        <v>493</v>
      </c>
      <c r="N493" s="1" t="s">
        <v>494</v>
      </c>
      <c r="O493" s="1" t="s">
        <v>2314</v>
      </c>
      <c r="P493" s="100" t="s">
        <v>2315</v>
      </c>
      <c r="Q493" s="103">
        <v>185714285.7142857</v>
      </c>
      <c r="R493" s="1">
        <v>1</v>
      </c>
      <c r="S493" s="104">
        <v>1300000000</v>
      </c>
      <c r="T493" s="1"/>
      <c r="U493" s="1" t="s">
        <v>2305</v>
      </c>
      <c r="V493" s="31" t="s">
        <v>2316</v>
      </c>
      <c r="W493" s="105">
        <v>7</v>
      </c>
      <c r="X493" s="1"/>
      <c r="Y493" s="111"/>
      <c r="Z493" s="106"/>
      <c r="AA493" s="107"/>
      <c r="AB493" s="20"/>
      <c r="AC493" s="31"/>
      <c r="AD493" s="108"/>
      <c r="AE493" s="109">
        <f t="shared" si="48"/>
        <v>1300000000</v>
      </c>
      <c r="AF493" s="20"/>
      <c r="AG493" s="31"/>
      <c r="AH493" s="108"/>
      <c r="AI493" s="1"/>
      <c r="AJ493" s="1"/>
      <c r="AK493" s="109">
        <f t="shared" si="49"/>
        <v>0</v>
      </c>
      <c r="AL493" s="108"/>
      <c r="AM493" s="108">
        <f t="shared" si="50"/>
        <v>0</v>
      </c>
      <c r="AN493" s="1" t="s">
        <v>2308</v>
      </c>
      <c r="AO493" s="108">
        <f t="shared" si="51"/>
        <v>1300000000</v>
      </c>
      <c r="AP493" s="1"/>
      <c r="AQ493" s="1"/>
      <c r="AR493" s="1"/>
      <c r="AS493" s="1"/>
      <c r="AT493" s="1"/>
      <c r="AU493" s="211"/>
    </row>
    <row r="494" spans="1:47" ht="165.75" x14ac:dyDescent="0.2">
      <c r="A494" s="1">
        <v>4</v>
      </c>
      <c r="B494" s="1" t="str">
        <f t="shared" si="47"/>
        <v>3075-4</v>
      </c>
      <c r="C494" s="99" t="s">
        <v>2294</v>
      </c>
      <c r="D494" s="100" t="s">
        <v>2295</v>
      </c>
      <c r="E494" s="99" t="s">
        <v>2317</v>
      </c>
      <c r="F494" s="99" t="s">
        <v>2318</v>
      </c>
      <c r="G494" s="101" t="s">
        <v>2319</v>
      </c>
      <c r="H494" s="102" t="s">
        <v>2320</v>
      </c>
      <c r="I494" s="100" t="s">
        <v>2300</v>
      </c>
      <c r="J494" s="100" t="s">
        <v>2301</v>
      </c>
      <c r="K494" s="100" t="s">
        <v>50</v>
      </c>
      <c r="L494" s="1" t="s">
        <v>2302</v>
      </c>
      <c r="M494" s="1" t="s">
        <v>493</v>
      </c>
      <c r="N494" s="1" t="s">
        <v>494</v>
      </c>
      <c r="O494" s="100" t="s">
        <v>2321</v>
      </c>
      <c r="P494" s="112" t="s">
        <v>2322</v>
      </c>
      <c r="Q494" s="103">
        <v>6017434.7999999998</v>
      </c>
      <c r="R494" s="1">
        <v>30</v>
      </c>
      <c r="S494" s="104">
        <f>180523044-4536000-95276430-7733250-7392000-22194000-12438274</f>
        <v>30953090</v>
      </c>
      <c r="T494" s="1" t="s">
        <v>2323</v>
      </c>
      <c r="U494" s="1" t="s">
        <v>2323</v>
      </c>
      <c r="V494" s="31" t="s">
        <v>2211</v>
      </c>
      <c r="W494" s="105" t="s">
        <v>50</v>
      </c>
      <c r="X494" s="113" t="s">
        <v>2324</v>
      </c>
      <c r="Y494" s="111">
        <v>43209</v>
      </c>
      <c r="Z494" s="106">
        <v>30953090</v>
      </c>
      <c r="AA494" s="107" t="s">
        <v>50</v>
      </c>
      <c r="AB494" s="20">
        <v>802</v>
      </c>
      <c r="AC494" s="31">
        <v>43210</v>
      </c>
      <c r="AD494" s="108">
        <v>30953090</v>
      </c>
      <c r="AE494" s="109">
        <f t="shared" si="48"/>
        <v>0</v>
      </c>
      <c r="AF494" s="20">
        <v>1864</v>
      </c>
      <c r="AG494" s="31">
        <v>43227</v>
      </c>
      <c r="AH494" s="108">
        <v>30953090</v>
      </c>
      <c r="AI494" s="1" t="s">
        <v>2325</v>
      </c>
      <c r="AJ494" s="1">
        <v>2007</v>
      </c>
      <c r="AK494" s="109">
        <f t="shared" si="49"/>
        <v>0</v>
      </c>
      <c r="AL494" s="108">
        <v>0</v>
      </c>
      <c r="AM494" s="108">
        <f t="shared" si="50"/>
        <v>30953090</v>
      </c>
      <c r="AN494" s="1" t="s">
        <v>2308</v>
      </c>
      <c r="AO494" s="108">
        <f t="shared" si="51"/>
        <v>0</v>
      </c>
      <c r="AP494" s="1"/>
      <c r="AQ494" s="31">
        <v>43209</v>
      </c>
      <c r="AR494" s="1" t="s">
        <v>2326</v>
      </c>
      <c r="AS494" s="31">
        <v>43209</v>
      </c>
      <c r="AT494" s="1"/>
      <c r="AU494" s="211"/>
    </row>
    <row r="495" spans="1:47" ht="178.5" x14ac:dyDescent="0.2">
      <c r="A495" s="1">
        <v>5</v>
      </c>
      <c r="B495" s="1" t="str">
        <f t="shared" si="47"/>
        <v>3075-5</v>
      </c>
      <c r="C495" s="99" t="s">
        <v>2294</v>
      </c>
      <c r="D495" s="100" t="s">
        <v>2295</v>
      </c>
      <c r="E495" s="100" t="s">
        <v>2327</v>
      </c>
      <c r="F495" s="99" t="s">
        <v>2328</v>
      </c>
      <c r="G495" s="101" t="s">
        <v>2329</v>
      </c>
      <c r="H495" s="102" t="s">
        <v>2330</v>
      </c>
      <c r="I495" s="100" t="s">
        <v>2300</v>
      </c>
      <c r="J495" s="100" t="s">
        <v>2331</v>
      </c>
      <c r="K495" s="100" t="s">
        <v>50</v>
      </c>
      <c r="L495" s="1" t="s">
        <v>2302</v>
      </c>
      <c r="M495" s="1" t="s">
        <v>493</v>
      </c>
      <c r="N495" s="1" t="s">
        <v>494</v>
      </c>
      <c r="O495" s="100" t="s">
        <v>2321</v>
      </c>
      <c r="P495" s="100" t="s">
        <v>2332</v>
      </c>
      <c r="Q495" s="103">
        <v>4766856.1818181816</v>
      </c>
      <c r="R495" s="1">
        <v>11</v>
      </c>
      <c r="S495" s="104">
        <f>52435418-8741700-480610-4151008</f>
        <v>39062100</v>
      </c>
      <c r="T495" s="1" t="s">
        <v>2323</v>
      </c>
      <c r="U495" s="1" t="s">
        <v>2323</v>
      </c>
      <c r="V495" s="31" t="s">
        <v>507</v>
      </c>
      <c r="W495" s="105" t="s">
        <v>50</v>
      </c>
      <c r="X495" s="113" t="s">
        <v>2333</v>
      </c>
      <c r="Y495" s="111" t="s">
        <v>2334</v>
      </c>
      <c r="Z495" s="106">
        <v>39062100</v>
      </c>
      <c r="AA495" s="107" t="s">
        <v>50</v>
      </c>
      <c r="AB495" s="20">
        <v>760</v>
      </c>
      <c r="AC495" s="31">
        <v>43182</v>
      </c>
      <c r="AD495" s="108">
        <v>39062100</v>
      </c>
      <c r="AE495" s="109">
        <f t="shared" si="48"/>
        <v>0</v>
      </c>
      <c r="AF495" s="20">
        <v>1793</v>
      </c>
      <c r="AG495" s="31">
        <v>43203</v>
      </c>
      <c r="AH495" s="108">
        <v>39062100</v>
      </c>
      <c r="AI495" s="1" t="s">
        <v>2335</v>
      </c>
      <c r="AJ495" s="105">
        <v>1863</v>
      </c>
      <c r="AK495" s="109">
        <f t="shared" si="49"/>
        <v>0</v>
      </c>
      <c r="AL495" s="108">
        <v>39062100</v>
      </c>
      <c r="AM495" s="108">
        <f t="shared" si="50"/>
        <v>0</v>
      </c>
      <c r="AN495" s="1" t="s">
        <v>2308</v>
      </c>
      <c r="AO495" s="108">
        <f t="shared" si="51"/>
        <v>0</v>
      </c>
      <c r="AP495" s="1"/>
      <c r="AQ495" s="31">
        <v>43179</v>
      </c>
      <c r="AR495" s="1" t="s">
        <v>2326</v>
      </c>
      <c r="AS495" s="31">
        <v>43180</v>
      </c>
      <c r="AT495" s="1"/>
      <c r="AU495" s="211"/>
    </row>
    <row r="496" spans="1:47" ht="191.25" x14ac:dyDescent="0.2">
      <c r="A496" s="1">
        <v>6</v>
      </c>
      <c r="B496" s="1" t="str">
        <f t="shared" si="47"/>
        <v>3075-6</v>
      </c>
      <c r="C496" s="99" t="s">
        <v>2294</v>
      </c>
      <c r="D496" s="100" t="s">
        <v>2295</v>
      </c>
      <c r="E496" s="100" t="s">
        <v>2327</v>
      </c>
      <c r="F496" s="99" t="s">
        <v>2328</v>
      </c>
      <c r="G496" s="101" t="s">
        <v>2329</v>
      </c>
      <c r="H496" s="102" t="s">
        <v>2330</v>
      </c>
      <c r="I496" s="100" t="s">
        <v>2300</v>
      </c>
      <c r="J496" s="100" t="s">
        <v>2336</v>
      </c>
      <c r="K496" s="100" t="s">
        <v>50</v>
      </c>
      <c r="L496" s="1" t="s">
        <v>2302</v>
      </c>
      <c r="M496" s="1" t="s">
        <v>493</v>
      </c>
      <c r="N496" s="1" t="s">
        <v>494</v>
      </c>
      <c r="O496" s="100" t="s">
        <v>2321</v>
      </c>
      <c r="P496" s="100" t="s">
        <v>2337</v>
      </c>
      <c r="Q496" s="103">
        <v>59747265.486725666</v>
      </c>
      <c r="R496" s="1">
        <v>113</v>
      </c>
      <c r="S496" s="104">
        <f>322658000-138036400-39062100-35479385-(39062100*2)+7106185</f>
        <v>39062100</v>
      </c>
      <c r="T496" s="1" t="s">
        <v>2323</v>
      </c>
      <c r="U496" s="1" t="s">
        <v>2323</v>
      </c>
      <c r="V496" s="31" t="s">
        <v>507</v>
      </c>
      <c r="W496" s="105" t="s">
        <v>50</v>
      </c>
      <c r="X496" s="1" t="s">
        <v>2338</v>
      </c>
      <c r="Y496" s="111">
        <v>43195</v>
      </c>
      <c r="Z496" s="106">
        <v>39062100</v>
      </c>
      <c r="AA496" s="107" t="s">
        <v>2339</v>
      </c>
      <c r="AB496" s="20">
        <v>773</v>
      </c>
      <c r="AC496" s="31">
        <v>43201</v>
      </c>
      <c r="AD496" s="108">
        <v>39062100</v>
      </c>
      <c r="AE496" s="109">
        <f t="shared" si="48"/>
        <v>0</v>
      </c>
      <c r="AF496" s="20">
        <v>1844</v>
      </c>
      <c r="AG496" s="31">
        <v>43216</v>
      </c>
      <c r="AH496" s="108">
        <v>39062100</v>
      </c>
      <c r="AI496" s="1" t="s">
        <v>2340</v>
      </c>
      <c r="AJ496" s="105">
        <v>1934</v>
      </c>
      <c r="AK496" s="109">
        <f t="shared" si="49"/>
        <v>0</v>
      </c>
      <c r="AL496" s="108">
        <v>0</v>
      </c>
      <c r="AM496" s="108">
        <f t="shared" si="50"/>
        <v>39062100</v>
      </c>
      <c r="AN496" s="1" t="s">
        <v>2308</v>
      </c>
      <c r="AO496" s="108">
        <f t="shared" si="51"/>
        <v>0</v>
      </c>
      <c r="AP496" s="1"/>
      <c r="AQ496" s="31">
        <v>43195</v>
      </c>
      <c r="AR496" s="1" t="s">
        <v>2326</v>
      </c>
      <c r="AS496" s="31">
        <v>43195</v>
      </c>
      <c r="AT496" s="1"/>
      <c r="AU496" s="211"/>
    </row>
    <row r="497" spans="1:47" ht="204" x14ac:dyDescent="0.2">
      <c r="A497" s="1">
        <v>7</v>
      </c>
      <c r="B497" s="1" t="str">
        <f t="shared" si="47"/>
        <v>3075-7</v>
      </c>
      <c r="C497" s="99" t="s">
        <v>2294</v>
      </c>
      <c r="D497" s="100" t="s">
        <v>2295</v>
      </c>
      <c r="E497" s="100" t="s">
        <v>2327</v>
      </c>
      <c r="F497" s="99" t="s">
        <v>2328</v>
      </c>
      <c r="G497" s="101" t="s">
        <v>2329</v>
      </c>
      <c r="H497" s="102" t="s">
        <v>2330</v>
      </c>
      <c r="I497" s="100" t="s">
        <v>2300</v>
      </c>
      <c r="J497" s="100" t="s">
        <v>2301</v>
      </c>
      <c r="K497" s="100" t="s">
        <v>50</v>
      </c>
      <c r="L497" s="1" t="s">
        <v>2302</v>
      </c>
      <c r="M497" s="1" t="s">
        <v>493</v>
      </c>
      <c r="N497" s="1" t="s">
        <v>494</v>
      </c>
      <c r="O497" s="100" t="s">
        <v>2321</v>
      </c>
      <c r="P497" s="100" t="s">
        <v>2341</v>
      </c>
      <c r="Q497" s="103">
        <v>507680.3046357616</v>
      </c>
      <c r="R497" s="1">
        <v>151</v>
      </c>
      <c r="S497" s="104">
        <f>76659726+29475000-26169080-39062100-942246+25211940-25211940</f>
        <v>39961300</v>
      </c>
      <c r="T497" s="1" t="s">
        <v>2323</v>
      </c>
      <c r="U497" s="1" t="s">
        <v>2323</v>
      </c>
      <c r="V497" s="31" t="s">
        <v>632</v>
      </c>
      <c r="W497" s="105" t="s">
        <v>50</v>
      </c>
      <c r="X497" s="1" t="s">
        <v>2342</v>
      </c>
      <c r="Y497" s="31">
        <v>43273</v>
      </c>
      <c r="Z497" s="106">
        <v>39961300</v>
      </c>
      <c r="AA497" s="107" t="s">
        <v>50</v>
      </c>
      <c r="AB497" s="20">
        <v>911</v>
      </c>
      <c r="AC497" s="31">
        <v>43276</v>
      </c>
      <c r="AD497" s="108">
        <v>39961300</v>
      </c>
      <c r="AE497" s="109">
        <f t="shared" si="48"/>
        <v>0</v>
      </c>
      <c r="AF497" s="20">
        <v>2462</v>
      </c>
      <c r="AG497" s="31">
        <v>43292</v>
      </c>
      <c r="AH497" s="108">
        <v>39961300</v>
      </c>
      <c r="AI497" s="1" t="s">
        <v>2343</v>
      </c>
      <c r="AJ497" s="1">
        <v>2836</v>
      </c>
      <c r="AK497" s="109">
        <f t="shared" si="49"/>
        <v>0</v>
      </c>
      <c r="AL497" s="108">
        <v>0</v>
      </c>
      <c r="AM497" s="108">
        <f t="shared" si="50"/>
        <v>39961300</v>
      </c>
      <c r="AN497" s="1" t="s">
        <v>2308</v>
      </c>
      <c r="AO497" s="108">
        <f t="shared" si="51"/>
        <v>0</v>
      </c>
      <c r="AP497" s="1" t="s">
        <v>2344</v>
      </c>
      <c r="AQ497" s="31">
        <v>43272</v>
      </c>
      <c r="AR497" s="1" t="s">
        <v>2326</v>
      </c>
      <c r="AS497" s="31">
        <v>43273</v>
      </c>
      <c r="AT497" s="1" t="s">
        <v>2341</v>
      </c>
      <c r="AU497" s="211"/>
    </row>
    <row r="498" spans="1:47" ht="178.5" x14ac:dyDescent="0.2">
      <c r="A498" s="1">
        <v>8</v>
      </c>
      <c r="B498" s="1" t="str">
        <f t="shared" si="47"/>
        <v>3075-8</v>
      </c>
      <c r="C498" s="99" t="s">
        <v>2294</v>
      </c>
      <c r="D498" s="100" t="s">
        <v>2295</v>
      </c>
      <c r="E498" s="100" t="s">
        <v>2327</v>
      </c>
      <c r="F498" s="99" t="s">
        <v>2328</v>
      </c>
      <c r="G498" s="101" t="s">
        <v>2329</v>
      </c>
      <c r="H498" s="102" t="s">
        <v>2330</v>
      </c>
      <c r="I498" s="100" t="s">
        <v>2345</v>
      </c>
      <c r="J498" s="100" t="s">
        <v>2346</v>
      </c>
      <c r="K498" s="100" t="s">
        <v>50</v>
      </c>
      <c r="L498" s="1" t="s">
        <v>2302</v>
      </c>
      <c r="M498" s="1" t="s">
        <v>493</v>
      </c>
      <c r="N498" s="1" t="s">
        <v>494</v>
      </c>
      <c r="O498" s="100" t="s">
        <v>2321</v>
      </c>
      <c r="P498" s="100" t="s">
        <v>2347</v>
      </c>
      <c r="Q498" s="103">
        <v>39062100</v>
      </c>
      <c r="R498" s="1">
        <v>1</v>
      </c>
      <c r="S498" s="104">
        <f>161329000-39062100-39062100-(39062100*2)+33981500</f>
        <v>39062100</v>
      </c>
      <c r="T498" s="1" t="s">
        <v>2323</v>
      </c>
      <c r="U498" s="1" t="s">
        <v>2323</v>
      </c>
      <c r="V498" s="31" t="s">
        <v>632</v>
      </c>
      <c r="W498" s="105" t="s">
        <v>50</v>
      </c>
      <c r="X498" s="113" t="s">
        <v>2348</v>
      </c>
      <c r="Y498" s="31">
        <v>43265</v>
      </c>
      <c r="Z498" s="106">
        <v>39062100</v>
      </c>
      <c r="AA498" s="107" t="s">
        <v>2349</v>
      </c>
      <c r="AB498" s="20">
        <v>899</v>
      </c>
      <c r="AC498" s="31">
        <v>43269</v>
      </c>
      <c r="AD498" s="108">
        <v>39062100</v>
      </c>
      <c r="AE498" s="109">
        <f t="shared" si="48"/>
        <v>0</v>
      </c>
      <c r="AF498" s="20">
        <v>2415</v>
      </c>
      <c r="AG498" s="31">
        <v>43284</v>
      </c>
      <c r="AH498" s="108">
        <v>39062100</v>
      </c>
      <c r="AI498" s="1" t="s">
        <v>2350</v>
      </c>
      <c r="AJ498" s="1">
        <v>2820</v>
      </c>
      <c r="AK498" s="109">
        <f t="shared" si="49"/>
        <v>0</v>
      </c>
      <c r="AL498" s="108">
        <v>0</v>
      </c>
      <c r="AM498" s="108">
        <f t="shared" si="50"/>
        <v>39062100</v>
      </c>
      <c r="AN498" s="1" t="s">
        <v>2308</v>
      </c>
      <c r="AO498" s="108">
        <f t="shared" si="51"/>
        <v>0</v>
      </c>
      <c r="AP498" s="1"/>
      <c r="AQ498" s="31">
        <v>43264</v>
      </c>
      <c r="AR498" s="1" t="s">
        <v>2326</v>
      </c>
      <c r="AS498" s="31">
        <v>43265</v>
      </c>
      <c r="AT498" s="1" t="s">
        <v>2347</v>
      </c>
      <c r="AU498" s="211"/>
    </row>
    <row r="499" spans="1:47" ht="178.5" x14ac:dyDescent="0.2">
      <c r="A499" s="1">
        <v>9</v>
      </c>
      <c r="B499" s="1" t="str">
        <f t="shared" si="47"/>
        <v>3075-9</v>
      </c>
      <c r="C499" s="99" t="s">
        <v>2294</v>
      </c>
      <c r="D499" s="100" t="s">
        <v>2295</v>
      </c>
      <c r="E499" s="99" t="s">
        <v>2351</v>
      </c>
      <c r="F499" s="99" t="s">
        <v>2328</v>
      </c>
      <c r="G499" s="101" t="s">
        <v>2329</v>
      </c>
      <c r="H499" s="102" t="s">
        <v>2352</v>
      </c>
      <c r="I499" s="100" t="s">
        <v>2300</v>
      </c>
      <c r="J499" s="100" t="s">
        <v>2301</v>
      </c>
      <c r="K499" s="100" t="s">
        <v>50</v>
      </c>
      <c r="L499" s="1" t="s">
        <v>2302</v>
      </c>
      <c r="M499" s="1" t="s">
        <v>493</v>
      </c>
      <c r="N499" s="1" t="s">
        <v>494</v>
      </c>
      <c r="O499" s="100" t="s">
        <v>2353</v>
      </c>
      <c r="P499" s="100" t="s">
        <v>2354</v>
      </c>
      <c r="Q499" s="103">
        <v>500055.84642233857</v>
      </c>
      <c r="R499" s="1">
        <v>1146</v>
      </c>
      <c r="S499" s="104">
        <v>3433736127</v>
      </c>
      <c r="T499" s="1" t="s">
        <v>2323</v>
      </c>
      <c r="U499" s="1" t="s">
        <v>2323</v>
      </c>
      <c r="V499" s="31" t="s">
        <v>620</v>
      </c>
      <c r="W499" s="105" t="s">
        <v>50</v>
      </c>
      <c r="X499" s="114" t="s">
        <v>2355</v>
      </c>
      <c r="Y499" s="31">
        <v>43109</v>
      </c>
      <c r="Z499" s="106">
        <v>3433736127</v>
      </c>
      <c r="AA499" s="107" t="s">
        <v>50</v>
      </c>
      <c r="AB499" s="20">
        <v>395</v>
      </c>
      <c r="AC499" s="31">
        <v>43110</v>
      </c>
      <c r="AD499" s="108">
        <v>3433736127</v>
      </c>
      <c r="AE499" s="109">
        <f t="shared" si="48"/>
        <v>0</v>
      </c>
      <c r="AF499" s="20" t="s">
        <v>2356</v>
      </c>
      <c r="AG499" s="31" t="s">
        <v>2356</v>
      </c>
      <c r="AH499" s="108">
        <v>3263489549</v>
      </c>
      <c r="AI499" s="1" t="s">
        <v>2356</v>
      </c>
      <c r="AJ499" s="1" t="s">
        <v>2356</v>
      </c>
      <c r="AK499" s="109">
        <f t="shared" si="49"/>
        <v>170246578</v>
      </c>
      <c r="AL499" s="108">
        <v>2180201501</v>
      </c>
      <c r="AM499" s="108">
        <f t="shared" si="50"/>
        <v>1083288048</v>
      </c>
      <c r="AN499" s="1" t="s">
        <v>2308</v>
      </c>
      <c r="AO499" s="108">
        <f t="shared" si="51"/>
        <v>170246578</v>
      </c>
      <c r="AP499" s="1"/>
      <c r="AQ499" s="1"/>
      <c r="AR499" s="1"/>
      <c r="AS499" s="1"/>
      <c r="AT499" s="1"/>
      <c r="AU499" s="211"/>
    </row>
    <row r="500" spans="1:47" ht="255" x14ac:dyDescent="0.2">
      <c r="A500" s="1">
        <v>10</v>
      </c>
      <c r="B500" s="1" t="str">
        <f t="shared" si="47"/>
        <v>3075-10</v>
      </c>
      <c r="C500" s="99" t="s">
        <v>2294</v>
      </c>
      <c r="D500" s="100" t="s">
        <v>2295</v>
      </c>
      <c r="E500" s="100" t="s">
        <v>2296</v>
      </c>
      <c r="F500" s="99" t="s">
        <v>2310</v>
      </c>
      <c r="G500" s="110" t="s">
        <v>2357</v>
      </c>
      <c r="H500" s="115" t="s">
        <v>2358</v>
      </c>
      <c r="I500" s="100" t="s">
        <v>2300</v>
      </c>
      <c r="J500" s="100" t="s">
        <v>2301</v>
      </c>
      <c r="K500" s="116" t="s">
        <v>50</v>
      </c>
      <c r="L500" s="1" t="s">
        <v>2302</v>
      </c>
      <c r="M500" s="1" t="s">
        <v>493</v>
      </c>
      <c r="N500" s="1" t="s">
        <v>494</v>
      </c>
      <c r="O500" s="100" t="s">
        <v>2353</v>
      </c>
      <c r="P500" s="100" t="s">
        <v>2359</v>
      </c>
      <c r="Q500" s="106">
        <v>59220487</v>
      </c>
      <c r="R500" s="1">
        <v>1</v>
      </c>
      <c r="S500" s="104">
        <f>10000000+49220487</f>
        <v>59220487</v>
      </c>
      <c r="T500" s="1" t="s">
        <v>2360</v>
      </c>
      <c r="U500" s="1" t="s">
        <v>2361</v>
      </c>
      <c r="V500" s="31" t="s">
        <v>1352</v>
      </c>
      <c r="W500" s="105">
        <v>6</v>
      </c>
      <c r="X500" s="1" t="s">
        <v>2362</v>
      </c>
      <c r="Y500" s="111">
        <v>43270</v>
      </c>
      <c r="Z500" s="106">
        <v>59220487</v>
      </c>
      <c r="AA500" s="107" t="s">
        <v>2363</v>
      </c>
      <c r="AB500" s="20">
        <v>907</v>
      </c>
      <c r="AC500" s="31">
        <v>43271</v>
      </c>
      <c r="AD500" s="108">
        <v>59220487</v>
      </c>
      <c r="AE500" s="109">
        <f t="shared" si="48"/>
        <v>0</v>
      </c>
      <c r="AF500" s="20">
        <v>2404</v>
      </c>
      <c r="AG500" s="31">
        <v>43280</v>
      </c>
      <c r="AH500" s="108">
        <v>59220487</v>
      </c>
      <c r="AI500" s="1" t="s">
        <v>2364</v>
      </c>
      <c r="AJ500" s="1">
        <v>436</v>
      </c>
      <c r="AK500" s="109">
        <f t="shared" si="49"/>
        <v>0</v>
      </c>
      <c r="AL500" s="108">
        <v>0</v>
      </c>
      <c r="AM500" s="108">
        <f t="shared" si="50"/>
        <v>59220487</v>
      </c>
      <c r="AN500" s="1" t="s">
        <v>2308</v>
      </c>
      <c r="AO500" s="108">
        <f t="shared" si="51"/>
        <v>0</v>
      </c>
      <c r="AP500" s="1" t="s">
        <v>2365</v>
      </c>
      <c r="AQ500" s="31">
        <v>43270</v>
      </c>
      <c r="AR500" s="1" t="s">
        <v>2326</v>
      </c>
      <c r="AS500" s="31">
        <v>43270</v>
      </c>
      <c r="AT500" s="100" t="s">
        <v>2359</v>
      </c>
      <c r="AU500" s="211"/>
    </row>
    <row r="501" spans="1:47" ht="216.75" x14ac:dyDescent="0.2">
      <c r="A501" s="1">
        <v>11</v>
      </c>
      <c r="B501" s="1" t="str">
        <f t="shared" si="47"/>
        <v>3075-11</v>
      </c>
      <c r="C501" s="99" t="s">
        <v>2294</v>
      </c>
      <c r="D501" s="100" t="s">
        <v>2295</v>
      </c>
      <c r="E501" s="100" t="s">
        <v>2296</v>
      </c>
      <c r="F501" s="99" t="s">
        <v>2366</v>
      </c>
      <c r="G501" s="117" t="s">
        <v>2367</v>
      </c>
      <c r="H501" s="102" t="s">
        <v>2368</v>
      </c>
      <c r="I501" s="100" t="s">
        <v>2300</v>
      </c>
      <c r="J501" s="100" t="s">
        <v>2301</v>
      </c>
      <c r="K501" s="100">
        <v>801116</v>
      </c>
      <c r="L501" s="1" t="s">
        <v>2302</v>
      </c>
      <c r="M501" s="1" t="s">
        <v>493</v>
      </c>
      <c r="N501" s="1" t="s">
        <v>494</v>
      </c>
      <c r="O501" s="100" t="s">
        <v>2369</v>
      </c>
      <c r="P501" s="100" t="s">
        <v>2370</v>
      </c>
      <c r="Q501" s="106">
        <v>216666666.66666666</v>
      </c>
      <c r="R501" s="1">
        <v>1</v>
      </c>
      <c r="S501" s="104">
        <v>2600000000</v>
      </c>
      <c r="T501" s="1" t="s">
        <v>1608</v>
      </c>
      <c r="U501" s="1" t="s">
        <v>2361</v>
      </c>
      <c r="V501" s="31" t="s">
        <v>2371</v>
      </c>
      <c r="W501" s="105">
        <v>12</v>
      </c>
      <c r="X501" s="1" t="s">
        <v>2372</v>
      </c>
      <c r="Y501" s="31">
        <v>43111</v>
      </c>
      <c r="Z501" s="106">
        <v>2600000000</v>
      </c>
      <c r="AA501" s="107" t="s">
        <v>50</v>
      </c>
      <c r="AB501" s="20">
        <v>483</v>
      </c>
      <c r="AC501" s="31">
        <v>43112</v>
      </c>
      <c r="AD501" s="108">
        <v>2600000000</v>
      </c>
      <c r="AE501" s="109">
        <f t="shared" si="48"/>
        <v>0</v>
      </c>
      <c r="AF501" s="20" t="s">
        <v>2356</v>
      </c>
      <c r="AG501" s="31" t="s">
        <v>2356</v>
      </c>
      <c r="AH501" s="108">
        <v>1154924161</v>
      </c>
      <c r="AI501" s="108" t="s">
        <v>2356</v>
      </c>
      <c r="AJ501" s="108" t="s">
        <v>2356</v>
      </c>
      <c r="AK501" s="109">
        <f t="shared" si="49"/>
        <v>1445075839</v>
      </c>
      <c r="AL501" s="108">
        <v>1154924161</v>
      </c>
      <c r="AM501" s="108">
        <f t="shared" si="50"/>
        <v>0</v>
      </c>
      <c r="AN501" s="1" t="s">
        <v>2308</v>
      </c>
      <c r="AO501" s="108">
        <f t="shared" si="51"/>
        <v>1445075839</v>
      </c>
      <c r="AP501" s="1"/>
      <c r="AQ501" s="1"/>
      <c r="AR501" s="1"/>
      <c r="AS501" s="1"/>
      <c r="AT501" s="1"/>
      <c r="AU501" s="211"/>
    </row>
    <row r="502" spans="1:47" ht="293.25" x14ac:dyDescent="0.2">
      <c r="A502" s="1">
        <v>12</v>
      </c>
      <c r="B502" s="1" t="str">
        <f t="shared" si="47"/>
        <v>3075-12</v>
      </c>
      <c r="C502" s="99" t="s">
        <v>2294</v>
      </c>
      <c r="D502" s="100" t="s">
        <v>2295</v>
      </c>
      <c r="E502" s="100" t="s">
        <v>2296</v>
      </c>
      <c r="F502" s="99" t="s">
        <v>2366</v>
      </c>
      <c r="G502" s="117" t="s">
        <v>2367</v>
      </c>
      <c r="H502" s="102" t="s">
        <v>2368</v>
      </c>
      <c r="I502" s="100" t="s">
        <v>2300</v>
      </c>
      <c r="J502" s="100" t="s">
        <v>2301</v>
      </c>
      <c r="K502" s="100">
        <v>801116</v>
      </c>
      <c r="L502" s="1" t="s">
        <v>2302</v>
      </c>
      <c r="M502" s="1" t="s">
        <v>493</v>
      </c>
      <c r="N502" s="1" t="s">
        <v>494</v>
      </c>
      <c r="O502" s="100" t="s">
        <v>2369</v>
      </c>
      <c r="P502" s="118" t="s">
        <v>2373</v>
      </c>
      <c r="Q502" s="106">
        <v>1545000</v>
      </c>
      <c r="R502" s="1">
        <v>3</v>
      </c>
      <c r="S502" s="104">
        <v>16995000</v>
      </c>
      <c r="T502" s="1" t="s">
        <v>1634</v>
      </c>
      <c r="U502" s="1" t="s">
        <v>2361</v>
      </c>
      <c r="V502" s="31" t="s">
        <v>516</v>
      </c>
      <c r="W502" s="105">
        <v>9.3330000000000002</v>
      </c>
      <c r="X502" s="1" t="s">
        <v>2374</v>
      </c>
      <c r="Y502" s="31">
        <v>43102</v>
      </c>
      <c r="Z502" s="106">
        <v>16995000</v>
      </c>
      <c r="AA502" s="107" t="s">
        <v>50</v>
      </c>
      <c r="AB502" s="20">
        <v>391</v>
      </c>
      <c r="AC502" s="31">
        <v>43110</v>
      </c>
      <c r="AD502" s="108">
        <v>16995000</v>
      </c>
      <c r="AE502" s="109">
        <f t="shared" si="48"/>
        <v>0</v>
      </c>
      <c r="AF502" s="20">
        <v>145</v>
      </c>
      <c r="AG502" s="31">
        <v>43117</v>
      </c>
      <c r="AH502" s="108">
        <v>16995000</v>
      </c>
      <c r="AI502" s="1" t="s">
        <v>2375</v>
      </c>
      <c r="AJ502" s="1">
        <v>153</v>
      </c>
      <c r="AK502" s="109">
        <f t="shared" si="49"/>
        <v>0</v>
      </c>
      <c r="AL502" s="108">
        <v>8394500</v>
      </c>
      <c r="AM502" s="108">
        <f t="shared" si="50"/>
        <v>8600500</v>
      </c>
      <c r="AN502" s="1" t="s">
        <v>2308</v>
      </c>
      <c r="AO502" s="108">
        <f t="shared" si="51"/>
        <v>0</v>
      </c>
      <c r="AP502" s="1"/>
      <c r="AQ502" s="1"/>
      <c r="AR502" s="1"/>
      <c r="AS502" s="1"/>
      <c r="AT502" s="1"/>
      <c r="AU502" s="211"/>
    </row>
    <row r="503" spans="1:47" ht="395.25" x14ac:dyDescent="0.2">
      <c r="A503" s="1">
        <v>13</v>
      </c>
      <c r="B503" s="1" t="str">
        <f t="shared" si="47"/>
        <v>3075-13</v>
      </c>
      <c r="C503" s="99" t="s">
        <v>2294</v>
      </c>
      <c r="D503" s="100" t="s">
        <v>2295</v>
      </c>
      <c r="E503" s="100" t="s">
        <v>2296</v>
      </c>
      <c r="F503" s="99" t="s">
        <v>2366</v>
      </c>
      <c r="G503" s="117" t="s">
        <v>2367</v>
      </c>
      <c r="H503" s="102" t="s">
        <v>2368</v>
      </c>
      <c r="I503" s="100" t="s">
        <v>2300</v>
      </c>
      <c r="J503" s="100" t="s">
        <v>2301</v>
      </c>
      <c r="K503" s="100">
        <v>801116</v>
      </c>
      <c r="L503" s="1" t="s">
        <v>2302</v>
      </c>
      <c r="M503" s="1" t="s">
        <v>493</v>
      </c>
      <c r="N503" s="1" t="s">
        <v>494</v>
      </c>
      <c r="O503" s="100" t="s">
        <v>2369</v>
      </c>
      <c r="P503" s="100" t="s">
        <v>2376</v>
      </c>
      <c r="Q503" s="106">
        <v>10300000</v>
      </c>
      <c r="R503" s="1">
        <v>1</v>
      </c>
      <c r="S503" s="104">
        <v>115301139</v>
      </c>
      <c r="T503" s="1" t="s">
        <v>1619</v>
      </c>
      <c r="U503" s="1" t="s">
        <v>2361</v>
      </c>
      <c r="V503" s="31" t="s">
        <v>516</v>
      </c>
      <c r="W503" s="105">
        <v>11</v>
      </c>
      <c r="X503" s="1" t="s">
        <v>2377</v>
      </c>
      <c r="Y503" s="31">
        <v>43103</v>
      </c>
      <c r="Z503" s="106">
        <v>113300000</v>
      </c>
      <c r="AA503" s="107" t="s">
        <v>50</v>
      </c>
      <c r="AB503" s="20">
        <v>317</v>
      </c>
      <c r="AC503" s="31">
        <v>43110</v>
      </c>
      <c r="AD503" s="108">
        <v>113300000</v>
      </c>
      <c r="AE503" s="109">
        <f t="shared" si="48"/>
        <v>2001139</v>
      </c>
      <c r="AF503" s="20">
        <v>25</v>
      </c>
      <c r="AG503" s="31">
        <v>43115</v>
      </c>
      <c r="AH503" s="108">
        <v>113300000</v>
      </c>
      <c r="AI503" s="1" t="s">
        <v>2378</v>
      </c>
      <c r="AJ503" s="1">
        <v>22</v>
      </c>
      <c r="AK503" s="109">
        <f t="shared" si="49"/>
        <v>0</v>
      </c>
      <c r="AL503" s="108">
        <v>56993333</v>
      </c>
      <c r="AM503" s="108">
        <f t="shared" si="50"/>
        <v>56306667</v>
      </c>
      <c r="AN503" s="1" t="s">
        <v>2308</v>
      </c>
      <c r="AO503" s="108">
        <f t="shared" si="51"/>
        <v>2001139</v>
      </c>
      <c r="AP503" s="1"/>
      <c r="AQ503" s="1"/>
      <c r="AR503" s="1"/>
      <c r="AS503" s="1"/>
      <c r="AT503" s="1"/>
      <c r="AU503" s="211"/>
    </row>
    <row r="504" spans="1:47" ht="395.25" x14ac:dyDescent="0.2">
      <c r="A504" s="1">
        <v>14</v>
      </c>
      <c r="B504" s="1" t="str">
        <f t="shared" si="47"/>
        <v>3075-14</v>
      </c>
      <c r="C504" s="99" t="s">
        <v>2294</v>
      </c>
      <c r="D504" s="100" t="s">
        <v>2295</v>
      </c>
      <c r="E504" s="100" t="s">
        <v>2296</v>
      </c>
      <c r="F504" s="99" t="s">
        <v>2366</v>
      </c>
      <c r="G504" s="117" t="s">
        <v>2367</v>
      </c>
      <c r="H504" s="102" t="s">
        <v>2368</v>
      </c>
      <c r="I504" s="100" t="s">
        <v>2300</v>
      </c>
      <c r="J504" s="100" t="s">
        <v>2301</v>
      </c>
      <c r="K504" s="100">
        <v>801116</v>
      </c>
      <c r="L504" s="1" t="s">
        <v>2302</v>
      </c>
      <c r="M504" s="1" t="s">
        <v>493</v>
      </c>
      <c r="N504" s="1" t="s">
        <v>494</v>
      </c>
      <c r="O504" s="100" t="s">
        <v>2369</v>
      </c>
      <c r="P504" s="100" t="s">
        <v>2379</v>
      </c>
      <c r="Q504" s="106">
        <v>10300000</v>
      </c>
      <c r="R504" s="1">
        <v>1</v>
      </c>
      <c r="S504" s="104">
        <v>118450000</v>
      </c>
      <c r="T504" s="1" t="s">
        <v>1619</v>
      </c>
      <c r="U504" s="1" t="s">
        <v>2361</v>
      </c>
      <c r="V504" s="31" t="s">
        <v>516</v>
      </c>
      <c r="W504" s="105">
        <v>11.5</v>
      </c>
      <c r="X504" s="1" t="s">
        <v>2380</v>
      </c>
      <c r="Y504" s="31">
        <v>43103</v>
      </c>
      <c r="Z504" s="106">
        <v>118450000</v>
      </c>
      <c r="AA504" s="107" t="s">
        <v>50</v>
      </c>
      <c r="AB504" s="20">
        <v>362</v>
      </c>
      <c r="AC504" s="31">
        <v>43110</v>
      </c>
      <c r="AD504" s="108">
        <v>118450000</v>
      </c>
      <c r="AE504" s="109">
        <f t="shared" si="48"/>
        <v>0</v>
      </c>
      <c r="AF504" s="20">
        <v>420</v>
      </c>
      <c r="AG504" s="31">
        <v>43124</v>
      </c>
      <c r="AH504" s="108">
        <v>118450000</v>
      </c>
      <c r="AI504" s="1" t="s">
        <v>2381</v>
      </c>
      <c r="AJ504" s="1">
        <v>365</v>
      </c>
      <c r="AK504" s="109">
        <f t="shared" si="49"/>
        <v>0</v>
      </c>
      <c r="AL504" s="108">
        <v>53560000</v>
      </c>
      <c r="AM504" s="108">
        <f t="shared" si="50"/>
        <v>64890000</v>
      </c>
      <c r="AN504" s="1" t="s">
        <v>2308</v>
      </c>
      <c r="AO504" s="108">
        <f t="shared" si="51"/>
        <v>0</v>
      </c>
      <c r="AP504" s="1"/>
      <c r="AQ504" s="1"/>
      <c r="AR504" s="1"/>
      <c r="AS504" s="1"/>
      <c r="AT504" s="1"/>
      <c r="AU504" s="211"/>
    </row>
    <row r="505" spans="1:47" ht="357" x14ac:dyDescent="0.2">
      <c r="A505" s="1">
        <v>15</v>
      </c>
      <c r="B505" s="1" t="str">
        <f t="shared" si="47"/>
        <v>3075-15</v>
      </c>
      <c r="C505" s="99" t="s">
        <v>2294</v>
      </c>
      <c r="D505" s="100" t="s">
        <v>2295</v>
      </c>
      <c r="E505" s="100" t="s">
        <v>2296</v>
      </c>
      <c r="F505" s="99" t="s">
        <v>2366</v>
      </c>
      <c r="G505" s="117" t="s">
        <v>2367</v>
      </c>
      <c r="H505" s="102" t="s">
        <v>2368</v>
      </c>
      <c r="I505" s="100" t="s">
        <v>2300</v>
      </c>
      <c r="J505" s="100" t="s">
        <v>2301</v>
      </c>
      <c r="K505" s="100">
        <v>801116</v>
      </c>
      <c r="L505" s="1" t="s">
        <v>2302</v>
      </c>
      <c r="M505" s="1" t="s">
        <v>493</v>
      </c>
      <c r="N505" s="1" t="s">
        <v>494</v>
      </c>
      <c r="O505" s="100" t="s">
        <v>2369</v>
      </c>
      <c r="P505" s="100" t="s">
        <v>2382</v>
      </c>
      <c r="Q505" s="106">
        <v>5036700</v>
      </c>
      <c r="R505" s="1">
        <v>1</v>
      </c>
      <c r="S505" s="104">
        <v>55403700</v>
      </c>
      <c r="T505" s="1" t="s">
        <v>1619</v>
      </c>
      <c r="U505" s="1" t="s">
        <v>2361</v>
      </c>
      <c r="V505" s="31" t="s">
        <v>516</v>
      </c>
      <c r="W505" s="105">
        <v>11</v>
      </c>
      <c r="X505" s="1" t="s">
        <v>2383</v>
      </c>
      <c r="Y505" s="31">
        <v>43103</v>
      </c>
      <c r="Z505" s="106">
        <v>55403700</v>
      </c>
      <c r="AA505" s="107" t="s">
        <v>50</v>
      </c>
      <c r="AB505" s="20">
        <v>322</v>
      </c>
      <c r="AC505" s="31">
        <v>43110</v>
      </c>
      <c r="AD505" s="108">
        <v>55403700</v>
      </c>
      <c r="AE505" s="109">
        <f t="shared" si="48"/>
        <v>0</v>
      </c>
      <c r="AF505" s="20">
        <v>351</v>
      </c>
      <c r="AG505" s="31">
        <v>43123</v>
      </c>
      <c r="AH505" s="108">
        <v>55403700</v>
      </c>
      <c r="AI505" s="1" t="s">
        <v>2384</v>
      </c>
      <c r="AJ505" s="1">
        <v>297</v>
      </c>
      <c r="AK505" s="109">
        <f t="shared" si="49"/>
        <v>0</v>
      </c>
      <c r="AL505" s="108">
        <v>24679830</v>
      </c>
      <c r="AM505" s="108">
        <f t="shared" si="50"/>
        <v>30723870</v>
      </c>
      <c r="AN505" s="1" t="s">
        <v>2308</v>
      </c>
      <c r="AO505" s="108">
        <f t="shared" si="51"/>
        <v>0</v>
      </c>
      <c r="AP505" s="1"/>
      <c r="AQ505" s="1"/>
      <c r="AR505" s="1"/>
      <c r="AS505" s="1"/>
      <c r="AT505" s="1"/>
      <c r="AU505" s="211"/>
    </row>
    <row r="506" spans="1:47" ht="344.25" x14ac:dyDescent="0.2">
      <c r="A506" s="1">
        <v>16</v>
      </c>
      <c r="B506" s="1" t="str">
        <f t="shared" si="47"/>
        <v>3075-16</v>
      </c>
      <c r="C506" s="99" t="s">
        <v>2294</v>
      </c>
      <c r="D506" s="100" t="s">
        <v>2295</v>
      </c>
      <c r="E506" s="100" t="s">
        <v>2296</v>
      </c>
      <c r="F506" s="99" t="s">
        <v>2366</v>
      </c>
      <c r="G506" s="117" t="s">
        <v>2367</v>
      </c>
      <c r="H506" s="102" t="s">
        <v>2368</v>
      </c>
      <c r="I506" s="100" t="s">
        <v>2300</v>
      </c>
      <c r="J506" s="100" t="s">
        <v>2301</v>
      </c>
      <c r="K506" s="100">
        <v>801116</v>
      </c>
      <c r="L506" s="1" t="s">
        <v>2302</v>
      </c>
      <c r="M506" s="1" t="s">
        <v>493</v>
      </c>
      <c r="N506" s="1" t="s">
        <v>494</v>
      </c>
      <c r="O506" s="100" t="s">
        <v>2369</v>
      </c>
      <c r="P506" s="100" t="s">
        <v>2385</v>
      </c>
      <c r="Q506" s="106">
        <v>7210000</v>
      </c>
      <c r="R506" s="1">
        <v>1</v>
      </c>
      <c r="S506" s="104">
        <v>79310000</v>
      </c>
      <c r="T506" s="1" t="s">
        <v>1619</v>
      </c>
      <c r="U506" s="1" t="s">
        <v>2361</v>
      </c>
      <c r="V506" s="31" t="s">
        <v>516</v>
      </c>
      <c r="W506" s="105">
        <v>11</v>
      </c>
      <c r="X506" s="1" t="s">
        <v>2386</v>
      </c>
      <c r="Y506" s="31">
        <v>43103</v>
      </c>
      <c r="Z506" s="106">
        <v>79310000</v>
      </c>
      <c r="AA506" s="107" t="s">
        <v>50</v>
      </c>
      <c r="AB506" s="20">
        <v>336</v>
      </c>
      <c r="AC506" s="31">
        <v>43110</v>
      </c>
      <c r="AD506" s="108">
        <v>79310000</v>
      </c>
      <c r="AE506" s="109">
        <f t="shared" si="48"/>
        <v>0</v>
      </c>
      <c r="AF506" s="20">
        <v>356</v>
      </c>
      <c r="AG506" s="31">
        <v>43123</v>
      </c>
      <c r="AH506" s="108">
        <v>79310000</v>
      </c>
      <c r="AI506" s="1" t="s">
        <v>2387</v>
      </c>
      <c r="AJ506" s="1">
        <v>354</v>
      </c>
      <c r="AK506" s="109">
        <f t="shared" si="49"/>
        <v>0</v>
      </c>
      <c r="AL506" s="108">
        <v>37251667</v>
      </c>
      <c r="AM506" s="108">
        <f t="shared" si="50"/>
        <v>42058333</v>
      </c>
      <c r="AN506" s="1" t="s">
        <v>2308</v>
      </c>
      <c r="AO506" s="108">
        <f t="shared" si="51"/>
        <v>0</v>
      </c>
      <c r="AP506" s="1"/>
      <c r="AQ506" s="1"/>
      <c r="AR506" s="1"/>
      <c r="AS506" s="1"/>
      <c r="AT506" s="1"/>
      <c r="AU506" s="211"/>
    </row>
    <row r="507" spans="1:47" ht="409.5" x14ac:dyDescent="0.2">
      <c r="A507" s="1">
        <v>17</v>
      </c>
      <c r="B507" s="1" t="str">
        <f t="shared" si="47"/>
        <v>3075-17</v>
      </c>
      <c r="C507" s="99" t="s">
        <v>2294</v>
      </c>
      <c r="D507" s="100" t="s">
        <v>2295</v>
      </c>
      <c r="E507" s="100" t="s">
        <v>2296</v>
      </c>
      <c r="F507" s="99" t="s">
        <v>2366</v>
      </c>
      <c r="G507" s="117" t="s">
        <v>2367</v>
      </c>
      <c r="H507" s="102" t="s">
        <v>2368</v>
      </c>
      <c r="I507" s="100" t="s">
        <v>2300</v>
      </c>
      <c r="J507" s="100" t="s">
        <v>2301</v>
      </c>
      <c r="K507" s="100">
        <v>801116</v>
      </c>
      <c r="L507" s="1" t="s">
        <v>2302</v>
      </c>
      <c r="M507" s="1" t="s">
        <v>493</v>
      </c>
      <c r="N507" s="1" t="s">
        <v>494</v>
      </c>
      <c r="O507" s="100" t="s">
        <v>2369</v>
      </c>
      <c r="P507" s="100" t="s">
        <v>2388</v>
      </c>
      <c r="Q507" s="106">
        <v>10300000</v>
      </c>
      <c r="R507" s="1">
        <v>1</v>
      </c>
      <c r="S507" s="104">
        <v>113300000</v>
      </c>
      <c r="T507" s="1" t="s">
        <v>1619</v>
      </c>
      <c r="U507" s="1" t="s">
        <v>2361</v>
      </c>
      <c r="V507" s="31" t="s">
        <v>516</v>
      </c>
      <c r="W507" s="105">
        <v>11</v>
      </c>
      <c r="X507" s="1" t="s">
        <v>2389</v>
      </c>
      <c r="Y507" s="31">
        <v>43103</v>
      </c>
      <c r="Z507" s="106">
        <v>113300000</v>
      </c>
      <c r="AA507" s="107" t="s">
        <v>2390</v>
      </c>
      <c r="AB507" s="20">
        <v>321</v>
      </c>
      <c r="AC507" s="31">
        <v>43110</v>
      </c>
      <c r="AD507" s="108">
        <v>113300000</v>
      </c>
      <c r="AE507" s="109">
        <f t="shared" si="48"/>
        <v>0</v>
      </c>
      <c r="AF507" s="20">
        <v>158</v>
      </c>
      <c r="AG507" s="31">
        <v>43118</v>
      </c>
      <c r="AH507" s="108">
        <v>113300000</v>
      </c>
      <c r="AI507" s="1" t="s">
        <v>2391</v>
      </c>
      <c r="AJ507" s="1">
        <v>109</v>
      </c>
      <c r="AK507" s="109">
        <f t="shared" si="49"/>
        <v>0</v>
      </c>
      <c r="AL507" s="108">
        <v>55963333</v>
      </c>
      <c r="AM507" s="108">
        <f t="shared" si="50"/>
        <v>57336667</v>
      </c>
      <c r="AN507" s="1" t="s">
        <v>2308</v>
      </c>
      <c r="AO507" s="108">
        <f t="shared" si="51"/>
        <v>0</v>
      </c>
      <c r="AP507" s="1"/>
      <c r="AQ507" s="1"/>
      <c r="AR507" s="1"/>
      <c r="AS507" s="1"/>
      <c r="AT507" s="1"/>
      <c r="AU507" s="211"/>
    </row>
    <row r="508" spans="1:47" ht="204" x14ac:dyDescent="0.2">
      <c r="A508" s="1">
        <v>18</v>
      </c>
      <c r="B508" s="1" t="str">
        <f t="shared" si="47"/>
        <v>3075-18</v>
      </c>
      <c r="C508" s="99" t="s">
        <v>2294</v>
      </c>
      <c r="D508" s="100" t="s">
        <v>2295</v>
      </c>
      <c r="E508" s="100" t="s">
        <v>2296</v>
      </c>
      <c r="F508" s="99" t="s">
        <v>2366</v>
      </c>
      <c r="G508" s="117" t="s">
        <v>2367</v>
      </c>
      <c r="H508" s="102" t="s">
        <v>2368</v>
      </c>
      <c r="I508" s="100" t="s">
        <v>2300</v>
      </c>
      <c r="J508" s="100" t="s">
        <v>2301</v>
      </c>
      <c r="K508" s="100">
        <v>801116</v>
      </c>
      <c r="L508" s="1" t="s">
        <v>2302</v>
      </c>
      <c r="M508" s="1" t="s">
        <v>493</v>
      </c>
      <c r="N508" s="1" t="s">
        <v>494</v>
      </c>
      <c r="O508" s="100" t="s">
        <v>2369</v>
      </c>
      <c r="P508" s="100" t="s">
        <v>2392</v>
      </c>
      <c r="Q508" s="106">
        <v>3399000</v>
      </c>
      <c r="R508" s="1">
        <v>1</v>
      </c>
      <c r="S508" s="104">
        <v>20394000</v>
      </c>
      <c r="T508" s="1" t="s">
        <v>1619</v>
      </c>
      <c r="U508" s="1" t="s">
        <v>2361</v>
      </c>
      <c r="V508" s="31" t="s">
        <v>516</v>
      </c>
      <c r="W508" s="105">
        <v>6</v>
      </c>
      <c r="X508" s="1" t="s">
        <v>2393</v>
      </c>
      <c r="Y508" s="31">
        <v>43102</v>
      </c>
      <c r="Z508" s="106">
        <v>20394000</v>
      </c>
      <c r="AA508" s="107" t="s">
        <v>50</v>
      </c>
      <c r="AB508" s="20">
        <v>230</v>
      </c>
      <c r="AC508" s="31">
        <v>43105</v>
      </c>
      <c r="AD508" s="108">
        <v>20394000</v>
      </c>
      <c r="AE508" s="109">
        <f t="shared" si="48"/>
        <v>0</v>
      </c>
      <c r="AF508" s="20">
        <v>345</v>
      </c>
      <c r="AG508" s="31">
        <v>43123</v>
      </c>
      <c r="AH508" s="108">
        <v>20394000</v>
      </c>
      <c r="AI508" s="1" t="s">
        <v>2394</v>
      </c>
      <c r="AJ508" s="1">
        <v>348</v>
      </c>
      <c r="AK508" s="109">
        <f t="shared" si="49"/>
        <v>0</v>
      </c>
      <c r="AL508" s="108">
        <v>17674800</v>
      </c>
      <c r="AM508" s="108">
        <f t="shared" si="50"/>
        <v>2719200</v>
      </c>
      <c r="AN508" s="1" t="s">
        <v>2308</v>
      </c>
      <c r="AO508" s="108">
        <f t="shared" si="51"/>
        <v>0</v>
      </c>
      <c r="AP508" s="1"/>
      <c r="AQ508" s="1"/>
      <c r="AR508" s="1"/>
      <c r="AS508" s="1"/>
      <c r="AT508" s="1"/>
      <c r="AU508" s="211"/>
    </row>
    <row r="509" spans="1:47" ht="280.5" x14ac:dyDescent="0.2">
      <c r="A509" s="1">
        <v>19</v>
      </c>
      <c r="B509" s="1" t="str">
        <f t="shared" si="47"/>
        <v>3075-19</v>
      </c>
      <c r="C509" s="99" t="s">
        <v>2294</v>
      </c>
      <c r="D509" s="100" t="s">
        <v>2295</v>
      </c>
      <c r="E509" s="100" t="s">
        <v>2296</v>
      </c>
      <c r="F509" s="99" t="s">
        <v>2366</v>
      </c>
      <c r="G509" s="117" t="s">
        <v>2367</v>
      </c>
      <c r="H509" s="102" t="s">
        <v>2368</v>
      </c>
      <c r="I509" s="100" t="s">
        <v>2300</v>
      </c>
      <c r="J509" s="100" t="s">
        <v>2301</v>
      </c>
      <c r="K509" s="100">
        <v>801116</v>
      </c>
      <c r="L509" s="1" t="s">
        <v>2302</v>
      </c>
      <c r="M509" s="1" t="s">
        <v>493</v>
      </c>
      <c r="N509" s="1" t="s">
        <v>494</v>
      </c>
      <c r="O509" s="100" t="s">
        <v>2369</v>
      </c>
      <c r="P509" s="118" t="s">
        <v>2395</v>
      </c>
      <c r="Q509" s="106">
        <v>3399000</v>
      </c>
      <c r="R509" s="1">
        <v>1</v>
      </c>
      <c r="S509" s="104">
        <v>30591000</v>
      </c>
      <c r="T509" s="1" t="s">
        <v>1619</v>
      </c>
      <c r="U509" s="1" t="s">
        <v>2361</v>
      </c>
      <c r="V509" s="31" t="s">
        <v>516</v>
      </c>
      <c r="W509" s="105">
        <v>9</v>
      </c>
      <c r="X509" s="1" t="s">
        <v>2396</v>
      </c>
      <c r="Y509" s="31">
        <v>43102</v>
      </c>
      <c r="Z509" s="106">
        <v>30591000</v>
      </c>
      <c r="AA509" s="107" t="s">
        <v>50</v>
      </c>
      <c r="AB509" s="20">
        <v>385</v>
      </c>
      <c r="AC509" s="31">
        <v>43110</v>
      </c>
      <c r="AD509" s="108">
        <v>30591000</v>
      </c>
      <c r="AE509" s="109">
        <f t="shared" si="48"/>
        <v>0</v>
      </c>
      <c r="AF509" s="20">
        <v>239</v>
      </c>
      <c r="AG509" s="31">
        <v>43119</v>
      </c>
      <c r="AH509" s="108">
        <v>30591000</v>
      </c>
      <c r="AI509" s="1" t="s">
        <v>2397</v>
      </c>
      <c r="AJ509" s="1">
        <v>222</v>
      </c>
      <c r="AK509" s="109">
        <f t="shared" si="49"/>
        <v>0</v>
      </c>
      <c r="AL509" s="108">
        <v>18354600</v>
      </c>
      <c r="AM509" s="108">
        <f t="shared" si="50"/>
        <v>12236400</v>
      </c>
      <c r="AN509" s="1" t="s">
        <v>2308</v>
      </c>
      <c r="AO509" s="108">
        <f t="shared" si="51"/>
        <v>0</v>
      </c>
      <c r="AP509" s="1"/>
      <c r="AQ509" s="1"/>
      <c r="AR509" s="1"/>
      <c r="AS509" s="1"/>
      <c r="AT509" s="1"/>
      <c r="AU509" s="211"/>
    </row>
    <row r="510" spans="1:47" ht="395.25" x14ac:dyDescent="0.2">
      <c r="A510" s="1">
        <v>20</v>
      </c>
      <c r="B510" s="1" t="str">
        <f t="shared" si="47"/>
        <v>3075-20</v>
      </c>
      <c r="C510" s="99" t="s">
        <v>2294</v>
      </c>
      <c r="D510" s="100" t="s">
        <v>2295</v>
      </c>
      <c r="E510" s="100" t="s">
        <v>2296</v>
      </c>
      <c r="F510" s="99" t="s">
        <v>2366</v>
      </c>
      <c r="G510" s="117" t="s">
        <v>2367</v>
      </c>
      <c r="H510" s="102" t="s">
        <v>2368</v>
      </c>
      <c r="I510" s="100" t="s">
        <v>2300</v>
      </c>
      <c r="J510" s="100" t="s">
        <v>2301</v>
      </c>
      <c r="K510" s="100">
        <v>801116</v>
      </c>
      <c r="L510" s="1" t="s">
        <v>2302</v>
      </c>
      <c r="M510" s="1" t="s">
        <v>493</v>
      </c>
      <c r="N510" s="1" t="s">
        <v>494</v>
      </c>
      <c r="O510" s="100" t="s">
        <v>2369</v>
      </c>
      <c r="P510" s="100" t="s">
        <v>2398</v>
      </c>
      <c r="Q510" s="106">
        <v>3399000</v>
      </c>
      <c r="R510" s="1">
        <v>1</v>
      </c>
      <c r="S510" s="104">
        <v>37389000</v>
      </c>
      <c r="T510" s="1" t="s">
        <v>1619</v>
      </c>
      <c r="U510" s="1" t="s">
        <v>2361</v>
      </c>
      <c r="V510" s="31" t="s">
        <v>516</v>
      </c>
      <c r="W510" s="105">
        <v>11</v>
      </c>
      <c r="X510" s="1" t="s">
        <v>2399</v>
      </c>
      <c r="Y510" s="31">
        <v>43102</v>
      </c>
      <c r="Z510" s="106">
        <v>37389000</v>
      </c>
      <c r="AA510" s="107" t="s">
        <v>50</v>
      </c>
      <c r="AB510" s="20">
        <v>151</v>
      </c>
      <c r="AC510" s="31">
        <v>43105</v>
      </c>
      <c r="AD510" s="108">
        <v>37389000</v>
      </c>
      <c r="AE510" s="109">
        <f t="shared" si="48"/>
        <v>0</v>
      </c>
      <c r="AF510" s="20">
        <v>2</v>
      </c>
      <c r="AG510" s="31">
        <v>43111</v>
      </c>
      <c r="AH510" s="108">
        <v>37389000</v>
      </c>
      <c r="AI510" s="1" t="s">
        <v>2400</v>
      </c>
      <c r="AJ510" s="1">
        <v>2</v>
      </c>
      <c r="AK510" s="109">
        <f t="shared" si="49"/>
        <v>0</v>
      </c>
      <c r="AL510" s="108">
        <v>19261000</v>
      </c>
      <c r="AM510" s="108">
        <f t="shared" si="50"/>
        <v>18128000</v>
      </c>
      <c r="AN510" s="1" t="s">
        <v>2308</v>
      </c>
      <c r="AO510" s="108">
        <f t="shared" si="51"/>
        <v>0</v>
      </c>
      <c r="AP510" s="1"/>
      <c r="AQ510" s="1"/>
      <c r="AR510" s="1"/>
      <c r="AS510" s="1"/>
      <c r="AT510" s="1"/>
      <c r="AU510" s="211"/>
    </row>
    <row r="511" spans="1:47" ht="357" x14ac:dyDescent="0.2">
      <c r="A511" s="1">
        <v>21</v>
      </c>
      <c r="B511" s="1" t="str">
        <f t="shared" si="47"/>
        <v>3075-21</v>
      </c>
      <c r="C511" s="99" t="s">
        <v>2294</v>
      </c>
      <c r="D511" s="100" t="s">
        <v>2295</v>
      </c>
      <c r="E511" s="100" t="s">
        <v>2296</v>
      </c>
      <c r="F511" s="99" t="s">
        <v>2366</v>
      </c>
      <c r="G511" s="117" t="s">
        <v>2367</v>
      </c>
      <c r="H511" s="102" t="s">
        <v>2368</v>
      </c>
      <c r="I511" s="100" t="s">
        <v>2300</v>
      </c>
      <c r="J511" s="100" t="s">
        <v>2301</v>
      </c>
      <c r="K511" s="100">
        <v>801116</v>
      </c>
      <c r="L511" s="1" t="s">
        <v>2302</v>
      </c>
      <c r="M511" s="1" t="s">
        <v>493</v>
      </c>
      <c r="N511" s="1" t="s">
        <v>494</v>
      </c>
      <c r="O511" s="100" t="s">
        <v>2369</v>
      </c>
      <c r="P511" s="100" t="s">
        <v>2401</v>
      </c>
      <c r="Q511" s="106">
        <v>3326900</v>
      </c>
      <c r="R511" s="1">
        <v>1</v>
      </c>
      <c r="S511" s="104">
        <v>33269000</v>
      </c>
      <c r="T511" s="1" t="s">
        <v>1634</v>
      </c>
      <c r="U511" s="1" t="s">
        <v>2361</v>
      </c>
      <c r="V511" s="31" t="s">
        <v>516</v>
      </c>
      <c r="W511" s="105">
        <v>10</v>
      </c>
      <c r="X511" s="1" t="s">
        <v>2402</v>
      </c>
      <c r="Y511" s="31">
        <v>43102</v>
      </c>
      <c r="Z511" s="106">
        <v>33269000</v>
      </c>
      <c r="AA511" s="107" t="s">
        <v>50</v>
      </c>
      <c r="AB511" s="20">
        <v>211</v>
      </c>
      <c r="AC511" s="31">
        <v>43105</v>
      </c>
      <c r="AD511" s="108">
        <v>33269000</v>
      </c>
      <c r="AE511" s="109">
        <f t="shared" si="48"/>
        <v>0</v>
      </c>
      <c r="AF511" s="20">
        <v>201</v>
      </c>
      <c r="AG511" s="31">
        <v>43118</v>
      </c>
      <c r="AH511" s="108">
        <v>33269000</v>
      </c>
      <c r="AI511" s="1" t="s">
        <v>2403</v>
      </c>
      <c r="AJ511" s="1">
        <v>190</v>
      </c>
      <c r="AK511" s="109">
        <f t="shared" si="49"/>
        <v>0</v>
      </c>
      <c r="AL511" s="108">
        <v>17965260</v>
      </c>
      <c r="AM511" s="108">
        <f t="shared" si="50"/>
        <v>15303740</v>
      </c>
      <c r="AN511" s="1" t="s">
        <v>2308</v>
      </c>
      <c r="AO511" s="108">
        <f t="shared" si="51"/>
        <v>0</v>
      </c>
      <c r="AP511" s="1"/>
      <c r="AQ511" s="1"/>
      <c r="AR511" s="1"/>
      <c r="AS511" s="1"/>
      <c r="AT511" s="1"/>
      <c r="AU511" s="211"/>
    </row>
    <row r="512" spans="1:47" ht="242.25" x14ac:dyDescent="0.2">
      <c r="A512" s="1">
        <v>22</v>
      </c>
      <c r="B512" s="1" t="str">
        <f t="shared" si="47"/>
        <v>3075-22</v>
      </c>
      <c r="C512" s="99" t="s">
        <v>2294</v>
      </c>
      <c r="D512" s="100" t="s">
        <v>2295</v>
      </c>
      <c r="E512" s="100" t="s">
        <v>2296</v>
      </c>
      <c r="F512" s="99" t="s">
        <v>2366</v>
      </c>
      <c r="G512" s="117" t="s">
        <v>2367</v>
      </c>
      <c r="H512" s="102" t="s">
        <v>2368</v>
      </c>
      <c r="I512" s="100" t="s">
        <v>2300</v>
      </c>
      <c r="J512" s="100" t="s">
        <v>2301</v>
      </c>
      <c r="K512" s="100">
        <v>801116</v>
      </c>
      <c r="L512" s="1" t="s">
        <v>2302</v>
      </c>
      <c r="M512" s="1" t="s">
        <v>493</v>
      </c>
      <c r="N512" s="1" t="s">
        <v>494</v>
      </c>
      <c r="O512" s="100" t="s">
        <v>2369</v>
      </c>
      <c r="P512" s="100" t="s">
        <v>2404</v>
      </c>
      <c r="Q512" s="106">
        <v>3326900</v>
      </c>
      <c r="R512" s="1">
        <v>1</v>
      </c>
      <c r="S512" s="104">
        <v>36595900</v>
      </c>
      <c r="T512" s="1" t="s">
        <v>1634</v>
      </c>
      <c r="U512" s="1" t="s">
        <v>2361</v>
      </c>
      <c r="V512" s="31" t="s">
        <v>516</v>
      </c>
      <c r="W512" s="105">
        <v>11</v>
      </c>
      <c r="X512" s="1" t="s">
        <v>2405</v>
      </c>
      <c r="Y512" s="31">
        <v>43102</v>
      </c>
      <c r="Z512" s="106">
        <v>36595900</v>
      </c>
      <c r="AA512" s="107" t="s">
        <v>50</v>
      </c>
      <c r="AB512" s="20">
        <v>202</v>
      </c>
      <c r="AC512" s="31">
        <v>43105</v>
      </c>
      <c r="AD512" s="108">
        <v>36595900</v>
      </c>
      <c r="AE512" s="109">
        <f t="shared" si="48"/>
        <v>0</v>
      </c>
      <c r="AF512" s="20">
        <v>198</v>
      </c>
      <c r="AG512" s="31">
        <v>43118</v>
      </c>
      <c r="AH512" s="108">
        <v>36595900</v>
      </c>
      <c r="AI512" s="1" t="s">
        <v>2406</v>
      </c>
      <c r="AJ512" s="1">
        <v>180</v>
      </c>
      <c r="AK512" s="109">
        <f t="shared" si="49"/>
        <v>0</v>
      </c>
      <c r="AL512" s="108">
        <v>17965260</v>
      </c>
      <c r="AM512" s="108">
        <f t="shared" si="50"/>
        <v>18630640</v>
      </c>
      <c r="AN512" s="1" t="s">
        <v>2308</v>
      </c>
      <c r="AO512" s="108">
        <f t="shared" si="51"/>
        <v>0</v>
      </c>
      <c r="AP512" s="1"/>
      <c r="AQ512" s="1"/>
      <c r="AR512" s="1"/>
      <c r="AS512" s="1"/>
      <c r="AT512" s="1"/>
      <c r="AU512" s="211"/>
    </row>
    <row r="513" spans="1:47" ht="357" x14ac:dyDescent="0.2">
      <c r="A513" s="1">
        <v>23</v>
      </c>
      <c r="B513" s="1" t="str">
        <f t="shared" si="47"/>
        <v>3075-23</v>
      </c>
      <c r="C513" s="99" t="s">
        <v>2294</v>
      </c>
      <c r="D513" s="100" t="s">
        <v>2295</v>
      </c>
      <c r="E513" s="100" t="s">
        <v>2296</v>
      </c>
      <c r="F513" s="99" t="s">
        <v>2366</v>
      </c>
      <c r="G513" s="117" t="s">
        <v>2367</v>
      </c>
      <c r="H513" s="102" t="s">
        <v>2368</v>
      </c>
      <c r="I513" s="100" t="s">
        <v>2300</v>
      </c>
      <c r="J513" s="100" t="s">
        <v>2301</v>
      </c>
      <c r="K513" s="100">
        <v>801116</v>
      </c>
      <c r="L513" s="1" t="s">
        <v>2302</v>
      </c>
      <c r="M513" s="1" t="s">
        <v>493</v>
      </c>
      <c r="N513" s="1" t="s">
        <v>494</v>
      </c>
      <c r="O513" s="100" t="s">
        <v>2369</v>
      </c>
      <c r="P513" s="100" t="s">
        <v>2407</v>
      </c>
      <c r="Q513" s="106">
        <v>3399000</v>
      </c>
      <c r="R513" s="1">
        <v>1</v>
      </c>
      <c r="S513" s="104">
        <v>30591000</v>
      </c>
      <c r="T513" s="1" t="s">
        <v>1619</v>
      </c>
      <c r="U513" s="1" t="s">
        <v>2361</v>
      </c>
      <c r="V513" s="31" t="s">
        <v>516</v>
      </c>
      <c r="W513" s="105">
        <v>9</v>
      </c>
      <c r="X513" s="1" t="s">
        <v>2408</v>
      </c>
      <c r="Y513" s="31">
        <v>43102</v>
      </c>
      <c r="Z513" s="106">
        <v>30591000</v>
      </c>
      <c r="AA513" s="107" t="s">
        <v>50</v>
      </c>
      <c r="AB513" s="20">
        <v>354</v>
      </c>
      <c r="AC513" s="31">
        <v>43110</v>
      </c>
      <c r="AD513" s="108">
        <v>30591000</v>
      </c>
      <c r="AE513" s="109">
        <f t="shared" si="48"/>
        <v>0</v>
      </c>
      <c r="AF513" s="20">
        <v>128</v>
      </c>
      <c r="AG513" s="31">
        <v>43117</v>
      </c>
      <c r="AH513" s="108">
        <v>30591000</v>
      </c>
      <c r="AI513" s="1" t="s">
        <v>2409</v>
      </c>
      <c r="AJ513" s="1">
        <v>111</v>
      </c>
      <c r="AK513" s="109">
        <f t="shared" si="49"/>
        <v>0</v>
      </c>
      <c r="AL513" s="108">
        <v>18467900</v>
      </c>
      <c r="AM513" s="108">
        <f t="shared" si="50"/>
        <v>12123100</v>
      </c>
      <c r="AN513" s="1" t="s">
        <v>2308</v>
      </c>
      <c r="AO513" s="108">
        <f t="shared" si="51"/>
        <v>0</v>
      </c>
      <c r="AP513" s="1"/>
      <c r="AQ513" s="1"/>
      <c r="AR513" s="1"/>
      <c r="AS513" s="1"/>
      <c r="AT513" s="1"/>
      <c r="AU513" s="211"/>
    </row>
    <row r="514" spans="1:47" ht="306" x14ac:dyDescent="0.2">
      <c r="A514" s="1">
        <v>24</v>
      </c>
      <c r="B514" s="1" t="str">
        <f t="shared" si="47"/>
        <v>3075-24</v>
      </c>
      <c r="C514" s="99" t="s">
        <v>2294</v>
      </c>
      <c r="D514" s="100" t="s">
        <v>2295</v>
      </c>
      <c r="E514" s="100" t="s">
        <v>2296</v>
      </c>
      <c r="F514" s="99" t="s">
        <v>2366</v>
      </c>
      <c r="G514" s="117" t="s">
        <v>2367</v>
      </c>
      <c r="H514" s="102" t="s">
        <v>2368</v>
      </c>
      <c r="I514" s="100" t="s">
        <v>2300</v>
      </c>
      <c r="J514" s="100" t="s">
        <v>2301</v>
      </c>
      <c r="K514" s="100">
        <v>801116</v>
      </c>
      <c r="L514" s="1" t="s">
        <v>2302</v>
      </c>
      <c r="M514" s="1" t="s">
        <v>493</v>
      </c>
      <c r="N514" s="1" t="s">
        <v>494</v>
      </c>
      <c r="O514" s="100" t="s">
        <v>2369</v>
      </c>
      <c r="P514" s="100" t="s">
        <v>2410</v>
      </c>
      <c r="Q514" s="106">
        <v>8240000</v>
      </c>
      <c r="R514" s="1">
        <v>1</v>
      </c>
      <c r="S514" s="104">
        <v>82400000</v>
      </c>
      <c r="T514" s="1" t="s">
        <v>1619</v>
      </c>
      <c r="U514" s="1" t="s">
        <v>2361</v>
      </c>
      <c r="V514" s="31" t="s">
        <v>516</v>
      </c>
      <c r="W514" s="105">
        <v>10</v>
      </c>
      <c r="X514" s="1" t="s">
        <v>2411</v>
      </c>
      <c r="Y514" s="31">
        <v>43103</v>
      </c>
      <c r="Z514" s="106">
        <v>82400000</v>
      </c>
      <c r="AA514" s="107" t="s">
        <v>50</v>
      </c>
      <c r="AB514" s="20">
        <v>239</v>
      </c>
      <c r="AC514" s="31">
        <v>43105</v>
      </c>
      <c r="AD514" s="108">
        <v>82400000</v>
      </c>
      <c r="AE514" s="109">
        <f t="shared" si="48"/>
        <v>0</v>
      </c>
      <c r="AF514" s="20">
        <v>461</v>
      </c>
      <c r="AG514" s="31">
        <v>43126</v>
      </c>
      <c r="AH514" s="108">
        <v>82400000</v>
      </c>
      <c r="AI514" s="1" t="s">
        <v>2412</v>
      </c>
      <c r="AJ514" s="1">
        <v>388</v>
      </c>
      <c r="AK514" s="109">
        <f t="shared" si="49"/>
        <v>0</v>
      </c>
      <c r="AL514" s="108">
        <v>42573333</v>
      </c>
      <c r="AM514" s="108">
        <f t="shared" si="50"/>
        <v>39826667</v>
      </c>
      <c r="AN514" s="1" t="s">
        <v>2308</v>
      </c>
      <c r="AO514" s="108">
        <f t="shared" si="51"/>
        <v>0</v>
      </c>
      <c r="AP514" s="1"/>
      <c r="AQ514" s="1"/>
      <c r="AR514" s="1"/>
      <c r="AS514" s="1"/>
      <c r="AT514" s="1"/>
      <c r="AU514" s="211"/>
    </row>
    <row r="515" spans="1:47" ht="267.75" x14ac:dyDescent="0.2">
      <c r="A515" s="1">
        <v>25</v>
      </c>
      <c r="B515" s="1" t="str">
        <f t="shared" si="47"/>
        <v>3075-25</v>
      </c>
      <c r="C515" s="99" t="s">
        <v>2294</v>
      </c>
      <c r="D515" s="100" t="s">
        <v>2295</v>
      </c>
      <c r="E515" s="100" t="s">
        <v>2296</v>
      </c>
      <c r="F515" s="99" t="s">
        <v>2366</v>
      </c>
      <c r="G515" s="117" t="s">
        <v>2367</v>
      </c>
      <c r="H515" s="102" t="s">
        <v>2368</v>
      </c>
      <c r="I515" s="100" t="s">
        <v>2300</v>
      </c>
      <c r="J515" s="100" t="s">
        <v>2301</v>
      </c>
      <c r="K515" s="100">
        <v>801116</v>
      </c>
      <c r="L515" s="1" t="s">
        <v>2302</v>
      </c>
      <c r="M515" s="1" t="s">
        <v>493</v>
      </c>
      <c r="N515" s="1" t="s">
        <v>494</v>
      </c>
      <c r="O515" s="100" t="s">
        <v>2369</v>
      </c>
      <c r="P515" s="100" t="s">
        <v>2413</v>
      </c>
      <c r="Q515" s="106">
        <v>8240000</v>
      </c>
      <c r="R515" s="1">
        <v>3</v>
      </c>
      <c r="S515" s="104">
        <v>0</v>
      </c>
      <c r="T515" s="1"/>
      <c r="U515" s="1" t="s">
        <v>2361</v>
      </c>
      <c r="V515" s="31"/>
      <c r="W515" s="105">
        <v>10.333333333333334</v>
      </c>
      <c r="X515" s="1"/>
      <c r="Y515" s="31"/>
      <c r="Z515" s="106"/>
      <c r="AA515" s="107"/>
      <c r="AB515" s="20"/>
      <c r="AC515" s="31"/>
      <c r="AD515" s="108"/>
      <c r="AE515" s="109">
        <f t="shared" si="48"/>
        <v>0</v>
      </c>
      <c r="AF515" s="20"/>
      <c r="AG515" s="31"/>
      <c r="AH515" s="108"/>
      <c r="AI515" s="1"/>
      <c r="AJ515" s="1"/>
      <c r="AK515" s="109">
        <f t="shared" si="49"/>
        <v>0</v>
      </c>
      <c r="AL515" s="108"/>
      <c r="AM515" s="108">
        <f t="shared" si="50"/>
        <v>0</v>
      </c>
      <c r="AN515" s="1" t="s">
        <v>2308</v>
      </c>
      <c r="AO515" s="108">
        <f t="shared" si="51"/>
        <v>0</v>
      </c>
      <c r="AP515" s="1"/>
      <c r="AQ515" s="1"/>
      <c r="AR515" s="1"/>
      <c r="AS515" s="1"/>
      <c r="AT515" s="1"/>
      <c r="AU515" s="211"/>
    </row>
    <row r="516" spans="1:47" ht="255" x14ac:dyDescent="0.2">
      <c r="A516" s="1">
        <v>26</v>
      </c>
      <c r="B516" s="1" t="str">
        <f t="shared" si="47"/>
        <v>3075-26</v>
      </c>
      <c r="C516" s="99" t="s">
        <v>2294</v>
      </c>
      <c r="D516" s="100" t="s">
        <v>2295</v>
      </c>
      <c r="E516" s="100" t="s">
        <v>2296</v>
      </c>
      <c r="F516" s="99" t="s">
        <v>2366</v>
      </c>
      <c r="G516" s="117" t="s">
        <v>2367</v>
      </c>
      <c r="H516" s="102" t="s">
        <v>2368</v>
      </c>
      <c r="I516" s="100" t="s">
        <v>2300</v>
      </c>
      <c r="J516" s="100" t="s">
        <v>2301</v>
      </c>
      <c r="K516" s="100">
        <v>801116</v>
      </c>
      <c r="L516" s="1" t="s">
        <v>2302</v>
      </c>
      <c r="M516" s="1" t="s">
        <v>493</v>
      </c>
      <c r="N516" s="1" t="s">
        <v>494</v>
      </c>
      <c r="O516" s="100" t="s">
        <v>2369</v>
      </c>
      <c r="P516" s="100" t="s">
        <v>2414</v>
      </c>
      <c r="Q516" s="106">
        <v>4120000</v>
      </c>
      <c r="R516" s="1">
        <v>4</v>
      </c>
      <c r="S516" s="104">
        <v>0</v>
      </c>
      <c r="T516" s="1"/>
      <c r="U516" s="1" t="s">
        <v>2361</v>
      </c>
      <c r="V516" s="31"/>
      <c r="W516" s="105">
        <v>9.75</v>
      </c>
      <c r="X516" s="1"/>
      <c r="Y516" s="31"/>
      <c r="Z516" s="106"/>
      <c r="AA516" s="107"/>
      <c r="AB516" s="20"/>
      <c r="AC516" s="31"/>
      <c r="AD516" s="108"/>
      <c r="AE516" s="109">
        <f t="shared" si="48"/>
        <v>0</v>
      </c>
      <c r="AF516" s="20"/>
      <c r="AG516" s="31"/>
      <c r="AH516" s="108"/>
      <c r="AI516" s="1"/>
      <c r="AJ516" s="1"/>
      <c r="AK516" s="109">
        <f t="shared" si="49"/>
        <v>0</v>
      </c>
      <c r="AL516" s="108"/>
      <c r="AM516" s="108">
        <f t="shared" si="50"/>
        <v>0</v>
      </c>
      <c r="AN516" s="1" t="s">
        <v>2308</v>
      </c>
      <c r="AO516" s="108">
        <f t="shared" si="51"/>
        <v>0</v>
      </c>
      <c r="AP516" s="1"/>
      <c r="AQ516" s="1"/>
      <c r="AR516" s="1"/>
      <c r="AS516" s="1"/>
      <c r="AT516" s="1"/>
      <c r="AU516" s="211"/>
    </row>
    <row r="517" spans="1:47" ht="344.25" x14ac:dyDescent="0.2">
      <c r="A517" s="1">
        <v>27</v>
      </c>
      <c r="B517" s="1" t="str">
        <f t="shared" si="47"/>
        <v>3075-27</v>
      </c>
      <c r="C517" s="99" t="s">
        <v>2294</v>
      </c>
      <c r="D517" s="100" t="s">
        <v>2295</v>
      </c>
      <c r="E517" s="100" t="s">
        <v>2296</v>
      </c>
      <c r="F517" s="99" t="s">
        <v>2366</v>
      </c>
      <c r="G517" s="117" t="s">
        <v>2367</v>
      </c>
      <c r="H517" s="102" t="s">
        <v>2368</v>
      </c>
      <c r="I517" s="100" t="s">
        <v>2300</v>
      </c>
      <c r="J517" s="100" t="s">
        <v>2301</v>
      </c>
      <c r="K517" s="100">
        <v>801116</v>
      </c>
      <c r="L517" s="1" t="s">
        <v>2302</v>
      </c>
      <c r="M517" s="1" t="s">
        <v>493</v>
      </c>
      <c r="N517" s="1" t="s">
        <v>494</v>
      </c>
      <c r="O517" s="100" t="s">
        <v>2369</v>
      </c>
      <c r="P517" s="118" t="s">
        <v>2385</v>
      </c>
      <c r="Q517" s="106">
        <v>5253000</v>
      </c>
      <c r="R517" s="1">
        <v>1</v>
      </c>
      <c r="S517" s="104">
        <v>47277000</v>
      </c>
      <c r="T517" s="1" t="s">
        <v>1619</v>
      </c>
      <c r="U517" s="1" t="s">
        <v>2361</v>
      </c>
      <c r="V517" s="31" t="s">
        <v>516</v>
      </c>
      <c r="W517" s="105">
        <v>9</v>
      </c>
      <c r="X517" s="1" t="s">
        <v>2415</v>
      </c>
      <c r="Y517" s="31">
        <v>43103</v>
      </c>
      <c r="Z517" s="106">
        <v>47277000</v>
      </c>
      <c r="AA517" s="107" t="s">
        <v>50</v>
      </c>
      <c r="AB517" s="20">
        <v>351</v>
      </c>
      <c r="AC517" s="31">
        <v>43110</v>
      </c>
      <c r="AD517" s="108">
        <v>47277000</v>
      </c>
      <c r="AE517" s="109">
        <f t="shared" si="48"/>
        <v>0</v>
      </c>
      <c r="AF517" s="20">
        <v>418</v>
      </c>
      <c r="AG517" s="31">
        <v>43124</v>
      </c>
      <c r="AH517" s="108">
        <v>47277000</v>
      </c>
      <c r="AI517" s="1" t="s">
        <v>2416</v>
      </c>
      <c r="AJ517" s="1">
        <v>369</v>
      </c>
      <c r="AK517" s="109">
        <f t="shared" si="49"/>
        <v>0</v>
      </c>
      <c r="AL517" s="108">
        <v>27315600</v>
      </c>
      <c r="AM517" s="108">
        <f t="shared" si="50"/>
        <v>19961400</v>
      </c>
      <c r="AN517" s="1" t="s">
        <v>2308</v>
      </c>
      <c r="AO517" s="108">
        <f t="shared" si="51"/>
        <v>0</v>
      </c>
      <c r="AP517" s="1"/>
      <c r="AQ517" s="1"/>
      <c r="AR517" s="1"/>
      <c r="AS517" s="1"/>
      <c r="AT517" s="1"/>
      <c r="AU517" s="211"/>
    </row>
    <row r="518" spans="1:47" ht="331.5" x14ac:dyDescent="0.2">
      <c r="A518" s="1">
        <v>28</v>
      </c>
      <c r="B518" s="1" t="str">
        <f t="shared" si="47"/>
        <v>3075-28</v>
      </c>
      <c r="C518" s="99" t="s">
        <v>2294</v>
      </c>
      <c r="D518" s="100" t="s">
        <v>2295</v>
      </c>
      <c r="E518" s="100" t="s">
        <v>2296</v>
      </c>
      <c r="F518" s="99" t="s">
        <v>2366</v>
      </c>
      <c r="G518" s="117" t="s">
        <v>2367</v>
      </c>
      <c r="H518" s="102" t="s">
        <v>2368</v>
      </c>
      <c r="I518" s="100" t="s">
        <v>2300</v>
      </c>
      <c r="J518" s="100" t="s">
        <v>2301</v>
      </c>
      <c r="K518" s="100">
        <v>801116</v>
      </c>
      <c r="L518" s="1" t="s">
        <v>2302</v>
      </c>
      <c r="M518" s="1" t="s">
        <v>493</v>
      </c>
      <c r="N518" s="1" t="s">
        <v>494</v>
      </c>
      <c r="O518" s="100" t="s">
        <v>2369</v>
      </c>
      <c r="P518" s="118" t="s">
        <v>2417</v>
      </c>
      <c r="Q518" s="106">
        <v>5036700</v>
      </c>
      <c r="R518" s="1">
        <v>1</v>
      </c>
      <c r="S518" s="104">
        <v>50367000</v>
      </c>
      <c r="T518" s="1" t="s">
        <v>1619</v>
      </c>
      <c r="U518" s="1" t="s">
        <v>2361</v>
      </c>
      <c r="V518" s="31" t="s">
        <v>516</v>
      </c>
      <c r="W518" s="105">
        <v>10</v>
      </c>
      <c r="X518" s="1" t="s">
        <v>2418</v>
      </c>
      <c r="Y518" s="31">
        <v>43103</v>
      </c>
      <c r="Z518" s="106">
        <v>50367000</v>
      </c>
      <c r="AA518" s="107" t="s">
        <v>50</v>
      </c>
      <c r="AB518" s="20">
        <v>323</v>
      </c>
      <c r="AC518" s="31">
        <v>43110</v>
      </c>
      <c r="AD518" s="108">
        <v>50367000</v>
      </c>
      <c r="AE518" s="109">
        <f t="shared" si="48"/>
        <v>0</v>
      </c>
      <c r="AF518" s="20">
        <v>230</v>
      </c>
      <c r="AG518" s="31">
        <v>43118</v>
      </c>
      <c r="AH518" s="108">
        <v>50367000</v>
      </c>
      <c r="AI518" s="1" t="s">
        <v>2419</v>
      </c>
      <c r="AJ518" s="1">
        <v>200</v>
      </c>
      <c r="AK518" s="109">
        <f t="shared" si="49"/>
        <v>0</v>
      </c>
      <c r="AL518" s="108">
        <v>27198180</v>
      </c>
      <c r="AM518" s="108">
        <f t="shared" si="50"/>
        <v>23168820</v>
      </c>
      <c r="AN518" s="1" t="s">
        <v>2308</v>
      </c>
      <c r="AO518" s="108">
        <f t="shared" si="51"/>
        <v>0</v>
      </c>
      <c r="AP518" s="1"/>
      <c r="AQ518" s="1"/>
      <c r="AR518" s="1"/>
      <c r="AS518" s="1"/>
      <c r="AT518" s="1"/>
      <c r="AU518" s="211"/>
    </row>
    <row r="519" spans="1:47" ht="255" x14ac:dyDescent="0.2">
      <c r="A519" s="1">
        <v>29</v>
      </c>
      <c r="B519" s="1" t="str">
        <f t="shared" si="47"/>
        <v>3075-29</v>
      </c>
      <c r="C519" s="99" t="s">
        <v>2294</v>
      </c>
      <c r="D519" s="100" t="s">
        <v>2295</v>
      </c>
      <c r="E519" s="100" t="s">
        <v>2296</v>
      </c>
      <c r="F519" s="99" t="s">
        <v>2366</v>
      </c>
      <c r="G519" s="117" t="s">
        <v>2367</v>
      </c>
      <c r="H519" s="102" t="s">
        <v>2368</v>
      </c>
      <c r="I519" s="100" t="s">
        <v>2300</v>
      </c>
      <c r="J519" s="100" t="s">
        <v>2301</v>
      </c>
      <c r="K519" s="100">
        <v>801116</v>
      </c>
      <c r="L519" s="1" t="s">
        <v>2302</v>
      </c>
      <c r="M519" s="1" t="s">
        <v>493</v>
      </c>
      <c r="N519" s="1" t="s">
        <v>494</v>
      </c>
      <c r="O519" s="100" t="s">
        <v>2369</v>
      </c>
      <c r="P519" s="118" t="s">
        <v>2420</v>
      </c>
      <c r="Q519" s="106">
        <v>1751000</v>
      </c>
      <c r="R519" s="1">
        <v>1</v>
      </c>
      <c r="S519" s="104">
        <v>17510000</v>
      </c>
      <c r="T519" s="1" t="s">
        <v>1634</v>
      </c>
      <c r="U519" s="1" t="s">
        <v>2361</v>
      </c>
      <c r="V519" s="31" t="s">
        <v>516</v>
      </c>
      <c r="W519" s="105">
        <v>10</v>
      </c>
      <c r="X519" s="1" t="s">
        <v>2421</v>
      </c>
      <c r="Y519" s="31">
        <v>43102</v>
      </c>
      <c r="Z519" s="106">
        <v>17510000</v>
      </c>
      <c r="AA519" s="107" t="s">
        <v>50</v>
      </c>
      <c r="AB519" s="20">
        <v>208</v>
      </c>
      <c r="AC519" s="31">
        <v>43105</v>
      </c>
      <c r="AD519" s="108">
        <v>17510000</v>
      </c>
      <c r="AE519" s="109">
        <f t="shared" si="48"/>
        <v>0</v>
      </c>
      <c r="AF519" s="20">
        <v>233</v>
      </c>
      <c r="AG519" s="31">
        <v>43119</v>
      </c>
      <c r="AH519" s="108">
        <v>17510000</v>
      </c>
      <c r="AI519" s="1" t="s">
        <v>2422</v>
      </c>
      <c r="AJ519" s="1">
        <v>211</v>
      </c>
      <c r="AK519" s="109">
        <f t="shared" si="49"/>
        <v>0</v>
      </c>
      <c r="AL519" s="108">
        <v>9455400</v>
      </c>
      <c r="AM519" s="108">
        <f t="shared" si="50"/>
        <v>8054600</v>
      </c>
      <c r="AN519" s="1" t="s">
        <v>2308</v>
      </c>
      <c r="AO519" s="108">
        <f t="shared" si="51"/>
        <v>0</v>
      </c>
      <c r="AP519" s="1"/>
      <c r="AQ519" s="1"/>
      <c r="AR519" s="1"/>
      <c r="AS519" s="1"/>
      <c r="AT519" s="1"/>
      <c r="AU519" s="211"/>
    </row>
    <row r="520" spans="1:47" ht="255" x14ac:dyDescent="0.2">
      <c r="A520" s="1">
        <v>30</v>
      </c>
      <c r="B520" s="1" t="str">
        <f t="shared" si="47"/>
        <v>3075-30</v>
      </c>
      <c r="C520" s="99" t="s">
        <v>2294</v>
      </c>
      <c r="D520" s="100" t="s">
        <v>2295</v>
      </c>
      <c r="E520" s="100" t="s">
        <v>2296</v>
      </c>
      <c r="F520" s="99" t="s">
        <v>2366</v>
      </c>
      <c r="G520" s="117" t="s">
        <v>2367</v>
      </c>
      <c r="H520" s="102" t="s">
        <v>2368</v>
      </c>
      <c r="I520" s="100" t="s">
        <v>2300</v>
      </c>
      <c r="J520" s="100" t="s">
        <v>2301</v>
      </c>
      <c r="K520" s="100">
        <v>801116</v>
      </c>
      <c r="L520" s="1" t="s">
        <v>2302</v>
      </c>
      <c r="M520" s="1" t="s">
        <v>493</v>
      </c>
      <c r="N520" s="1" t="s">
        <v>494</v>
      </c>
      <c r="O520" s="100" t="s">
        <v>2369</v>
      </c>
      <c r="P520" s="100" t="s">
        <v>2423</v>
      </c>
      <c r="Q520" s="106">
        <v>3399000</v>
      </c>
      <c r="R520" s="1">
        <v>4</v>
      </c>
      <c r="S520" s="104">
        <v>16995000</v>
      </c>
      <c r="T520" s="1" t="s">
        <v>1619</v>
      </c>
      <c r="U520" s="1" t="s">
        <v>2361</v>
      </c>
      <c r="V520" s="31" t="s">
        <v>516</v>
      </c>
      <c r="W520" s="105">
        <v>9.5</v>
      </c>
      <c r="X520" s="1" t="s">
        <v>2424</v>
      </c>
      <c r="Y520" s="31">
        <v>43111</v>
      </c>
      <c r="Z520" s="106">
        <v>16995000</v>
      </c>
      <c r="AA520" s="107" t="s">
        <v>50</v>
      </c>
      <c r="AB520" s="20">
        <v>469</v>
      </c>
      <c r="AC520" s="31">
        <v>43112</v>
      </c>
      <c r="AD520" s="108">
        <v>16995000</v>
      </c>
      <c r="AE520" s="109">
        <f t="shared" si="48"/>
        <v>0</v>
      </c>
      <c r="AF520" s="20">
        <v>277</v>
      </c>
      <c r="AG520" s="31">
        <v>43122</v>
      </c>
      <c r="AH520" s="108">
        <v>16995000</v>
      </c>
      <c r="AI520" s="1" t="s">
        <v>2425</v>
      </c>
      <c r="AJ520" s="1">
        <v>247</v>
      </c>
      <c r="AK520" s="109">
        <f t="shared" si="49"/>
        <v>0</v>
      </c>
      <c r="AL520" s="108">
        <v>16995000</v>
      </c>
      <c r="AM520" s="108">
        <f t="shared" si="50"/>
        <v>0</v>
      </c>
      <c r="AN520" s="1" t="s">
        <v>2308</v>
      </c>
      <c r="AO520" s="108">
        <f t="shared" si="51"/>
        <v>0</v>
      </c>
      <c r="AP520" s="1"/>
      <c r="AQ520" s="1"/>
      <c r="AR520" s="1"/>
      <c r="AS520" s="1"/>
      <c r="AT520" s="1"/>
      <c r="AU520" s="211"/>
    </row>
    <row r="521" spans="1:47" ht="293.25" x14ac:dyDescent="0.2">
      <c r="A521" s="1">
        <v>31</v>
      </c>
      <c r="B521" s="1" t="str">
        <f t="shared" si="47"/>
        <v>3075-31</v>
      </c>
      <c r="C521" s="99" t="s">
        <v>2294</v>
      </c>
      <c r="D521" s="100" t="s">
        <v>2295</v>
      </c>
      <c r="E521" s="100" t="s">
        <v>2296</v>
      </c>
      <c r="F521" s="99" t="s">
        <v>2366</v>
      </c>
      <c r="G521" s="117" t="s">
        <v>2367</v>
      </c>
      <c r="H521" s="102" t="s">
        <v>2368</v>
      </c>
      <c r="I521" s="100" t="s">
        <v>2300</v>
      </c>
      <c r="J521" s="100" t="s">
        <v>2301</v>
      </c>
      <c r="K521" s="100">
        <v>801116</v>
      </c>
      <c r="L521" s="1" t="s">
        <v>2302</v>
      </c>
      <c r="M521" s="1" t="s">
        <v>493</v>
      </c>
      <c r="N521" s="1" t="s">
        <v>494</v>
      </c>
      <c r="O521" s="100" t="s">
        <v>2369</v>
      </c>
      <c r="P521" s="100" t="s">
        <v>2426</v>
      </c>
      <c r="Q521" s="106">
        <v>1751000</v>
      </c>
      <c r="R521" s="1">
        <v>4</v>
      </c>
      <c r="S521" s="104">
        <v>0</v>
      </c>
      <c r="T521" s="1"/>
      <c r="U521" s="1" t="s">
        <v>2361</v>
      </c>
      <c r="V521" s="31"/>
      <c r="W521" s="105">
        <v>9.7769999999999992</v>
      </c>
      <c r="X521" s="1"/>
      <c r="Y521" s="31"/>
      <c r="Z521" s="106"/>
      <c r="AA521" s="107"/>
      <c r="AB521" s="20"/>
      <c r="AC521" s="31"/>
      <c r="AD521" s="108"/>
      <c r="AE521" s="109">
        <f t="shared" si="48"/>
        <v>0</v>
      </c>
      <c r="AF521" s="20"/>
      <c r="AG521" s="31"/>
      <c r="AH521" s="108"/>
      <c r="AI521" s="1"/>
      <c r="AJ521" s="1"/>
      <c r="AK521" s="109">
        <f t="shared" si="49"/>
        <v>0</v>
      </c>
      <c r="AL521" s="108"/>
      <c r="AM521" s="108">
        <f t="shared" si="50"/>
        <v>0</v>
      </c>
      <c r="AN521" s="1" t="s">
        <v>2308</v>
      </c>
      <c r="AO521" s="108">
        <f t="shared" si="51"/>
        <v>0</v>
      </c>
      <c r="AP521" s="1"/>
      <c r="AQ521" s="1"/>
      <c r="AR521" s="1"/>
      <c r="AS521" s="1"/>
      <c r="AT521" s="1"/>
      <c r="AU521" s="211"/>
    </row>
    <row r="522" spans="1:47" ht="267.75" x14ac:dyDescent="0.2">
      <c r="A522" s="1">
        <v>32</v>
      </c>
      <c r="B522" s="1" t="str">
        <f t="shared" si="47"/>
        <v>3075-32</v>
      </c>
      <c r="C522" s="99" t="s">
        <v>2294</v>
      </c>
      <c r="D522" s="100" t="s">
        <v>2295</v>
      </c>
      <c r="E522" s="100" t="s">
        <v>2296</v>
      </c>
      <c r="F522" s="99" t="s">
        <v>2366</v>
      </c>
      <c r="G522" s="117" t="s">
        <v>2367</v>
      </c>
      <c r="H522" s="102" t="s">
        <v>2368</v>
      </c>
      <c r="I522" s="100" t="s">
        <v>2300</v>
      </c>
      <c r="J522" s="100" t="s">
        <v>2301</v>
      </c>
      <c r="K522" s="100">
        <v>801116</v>
      </c>
      <c r="L522" s="1" t="s">
        <v>2302</v>
      </c>
      <c r="M522" s="1" t="s">
        <v>493</v>
      </c>
      <c r="N522" s="1" t="s">
        <v>494</v>
      </c>
      <c r="O522" s="100" t="s">
        <v>2369</v>
      </c>
      <c r="P522" s="118" t="s">
        <v>2427</v>
      </c>
      <c r="Q522" s="106">
        <v>2472000</v>
      </c>
      <c r="R522" s="1">
        <v>1</v>
      </c>
      <c r="S522" s="104">
        <v>24720000</v>
      </c>
      <c r="T522" s="1" t="s">
        <v>1634</v>
      </c>
      <c r="U522" s="1" t="s">
        <v>2361</v>
      </c>
      <c r="V522" s="31" t="s">
        <v>516</v>
      </c>
      <c r="W522" s="105">
        <v>10</v>
      </c>
      <c r="X522" s="1" t="s">
        <v>2428</v>
      </c>
      <c r="Y522" s="31">
        <v>43102</v>
      </c>
      <c r="Z522" s="106">
        <v>24720000</v>
      </c>
      <c r="AA522" s="107" t="s">
        <v>50</v>
      </c>
      <c r="AB522" s="20">
        <v>405</v>
      </c>
      <c r="AC522" s="31">
        <v>43110</v>
      </c>
      <c r="AD522" s="108">
        <v>24720000</v>
      </c>
      <c r="AE522" s="109">
        <f t="shared" si="48"/>
        <v>0</v>
      </c>
      <c r="AF522" s="20">
        <v>390</v>
      </c>
      <c r="AG522" s="31">
        <v>43124</v>
      </c>
      <c r="AH522" s="108">
        <v>24720000</v>
      </c>
      <c r="AI522" s="1" t="s">
        <v>2429</v>
      </c>
      <c r="AJ522" s="1">
        <v>329</v>
      </c>
      <c r="AK522" s="109">
        <f t="shared" si="49"/>
        <v>0</v>
      </c>
      <c r="AL522" s="108">
        <v>12854400</v>
      </c>
      <c r="AM522" s="108">
        <f t="shared" si="50"/>
        <v>11865600</v>
      </c>
      <c r="AN522" s="1" t="s">
        <v>2308</v>
      </c>
      <c r="AO522" s="108">
        <f t="shared" si="51"/>
        <v>0</v>
      </c>
      <c r="AP522" s="1"/>
      <c r="AQ522" s="1"/>
      <c r="AR522" s="1"/>
      <c r="AS522" s="1"/>
      <c r="AT522" s="1"/>
      <c r="AU522" s="211"/>
    </row>
    <row r="523" spans="1:47" ht="255" x14ac:dyDescent="0.2">
      <c r="A523" s="1">
        <v>33</v>
      </c>
      <c r="B523" s="1" t="str">
        <f t="shared" si="47"/>
        <v>3075-33</v>
      </c>
      <c r="C523" s="99" t="s">
        <v>2294</v>
      </c>
      <c r="D523" s="100" t="s">
        <v>2295</v>
      </c>
      <c r="E523" s="100" t="s">
        <v>2296</v>
      </c>
      <c r="F523" s="99" t="s">
        <v>2366</v>
      </c>
      <c r="G523" s="117" t="s">
        <v>2367</v>
      </c>
      <c r="H523" s="102" t="s">
        <v>2368</v>
      </c>
      <c r="I523" s="100" t="s">
        <v>2300</v>
      </c>
      <c r="J523" s="100" t="s">
        <v>2301</v>
      </c>
      <c r="K523" s="100">
        <v>801116</v>
      </c>
      <c r="L523" s="1" t="s">
        <v>2302</v>
      </c>
      <c r="M523" s="1" t="s">
        <v>493</v>
      </c>
      <c r="N523" s="1" t="s">
        <v>494</v>
      </c>
      <c r="O523" s="100" t="s">
        <v>2369</v>
      </c>
      <c r="P523" s="100" t="s">
        <v>2430</v>
      </c>
      <c r="Q523" s="106">
        <v>2472000</v>
      </c>
      <c r="R523" s="1">
        <v>3</v>
      </c>
      <c r="S523" s="104">
        <v>0</v>
      </c>
      <c r="T523" s="1"/>
      <c r="U523" s="1" t="s">
        <v>2361</v>
      </c>
      <c r="V523" s="31"/>
      <c r="W523" s="105">
        <v>11</v>
      </c>
      <c r="X523" s="1"/>
      <c r="Y523" s="31"/>
      <c r="Z523" s="106"/>
      <c r="AA523" s="107"/>
      <c r="AB523" s="20"/>
      <c r="AC523" s="31"/>
      <c r="AD523" s="108"/>
      <c r="AE523" s="109">
        <f t="shared" si="48"/>
        <v>0</v>
      </c>
      <c r="AF523" s="20"/>
      <c r="AG523" s="31"/>
      <c r="AH523" s="108"/>
      <c r="AI523" s="1"/>
      <c r="AJ523" s="1"/>
      <c r="AK523" s="109">
        <f t="shared" si="49"/>
        <v>0</v>
      </c>
      <c r="AL523" s="108"/>
      <c r="AM523" s="108">
        <f t="shared" si="50"/>
        <v>0</v>
      </c>
      <c r="AN523" s="1" t="s">
        <v>2308</v>
      </c>
      <c r="AO523" s="108">
        <f t="shared" si="51"/>
        <v>0</v>
      </c>
      <c r="AP523" s="1"/>
      <c r="AQ523" s="1"/>
      <c r="AR523" s="1"/>
      <c r="AS523" s="1"/>
      <c r="AT523" s="1"/>
      <c r="AU523" s="211"/>
    </row>
    <row r="524" spans="1:47" ht="242.25" x14ac:dyDescent="0.2">
      <c r="A524" s="1">
        <v>34</v>
      </c>
      <c r="B524" s="1" t="str">
        <f t="shared" si="47"/>
        <v>3075-34</v>
      </c>
      <c r="C524" s="99" t="s">
        <v>2294</v>
      </c>
      <c r="D524" s="100" t="s">
        <v>2295</v>
      </c>
      <c r="E524" s="100" t="s">
        <v>2296</v>
      </c>
      <c r="F524" s="99" t="s">
        <v>2366</v>
      </c>
      <c r="G524" s="117" t="s">
        <v>2367</v>
      </c>
      <c r="H524" s="102" t="s">
        <v>2368</v>
      </c>
      <c r="I524" s="100" t="s">
        <v>2300</v>
      </c>
      <c r="J524" s="100" t="s">
        <v>2301</v>
      </c>
      <c r="K524" s="100">
        <v>801116</v>
      </c>
      <c r="L524" s="1" t="s">
        <v>2302</v>
      </c>
      <c r="M524" s="1" t="s">
        <v>493</v>
      </c>
      <c r="N524" s="1" t="s">
        <v>494</v>
      </c>
      <c r="O524" s="100" t="s">
        <v>2369</v>
      </c>
      <c r="P524" s="100" t="s">
        <v>2431</v>
      </c>
      <c r="Q524" s="106">
        <v>3038500</v>
      </c>
      <c r="R524" s="1">
        <v>1</v>
      </c>
      <c r="S524" s="104">
        <v>30385000</v>
      </c>
      <c r="T524" s="1" t="s">
        <v>1634</v>
      </c>
      <c r="U524" s="1" t="s">
        <v>2361</v>
      </c>
      <c r="V524" s="31" t="s">
        <v>516</v>
      </c>
      <c r="W524" s="105">
        <v>10</v>
      </c>
      <c r="X524" s="1" t="s">
        <v>2432</v>
      </c>
      <c r="Y524" s="31">
        <v>43102</v>
      </c>
      <c r="Z524" s="106">
        <v>30385000</v>
      </c>
      <c r="AA524" s="107" t="s">
        <v>50</v>
      </c>
      <c r="AB524" s="20">
        <v>199</v>
      </c>
      <c r="AC524" s="31">
        <v>43105</v>
      </c>
      <c r="AD524" s="108">
        <v>30385000</v>
      </c>
      <c r="AE524" s="109">
        <f t="shared" si="48"/>
        <v>0</v>
      </c>
      <c r="AF524" s="20">
        <v>171</v>
      </c>
      <c r="AG524" s="31">
        <v>43118</v>
      </c>
      <c r="AH524" s="108">
        <v>30385000</v>
      </c>
      <c r="AI524" s="1" t="s">
        <v>2433</v>
      </c>
      <c r="AJ524" s="1">
        <v>154</v>
      </c>
      <c r="AK524" s="109">
        <f t="shared" si="49"/>
        <v>0</v>
      </c>
      <c r="AL524" s="108">
        <v>16509183</v>
      </c>
      <c r="AM524" s="108">
        <f t="shared" si="50"/>
        <v>13875817</v>
      </c>
      <c r="AN524" s="1" t="s">
        <v>2308</v>
      </c>
      <c r="AO524" s="108">
        <f t="shared" si="51"/>
        <v>0</v>
      </c>
      <c r="AP524" s="1"/>
      <c r="AQ524" s="1"/>
      <c r="AR524" s="1"/>
      <c r="AS524" s="1"/>
      <c r="AT524" s="1"/>
      <c r="AU524" s="211"/>
    </row>
    <row r="525" spans="1:47" ht="267.75" x14ac:dyDescent="0.2">
      <c r="A525" s="1">
        <v>35</v>
      </c>
      <c r="B525" s="1" t="str">
        <f t="shared" si="47"/>
        <v>3075-35</v>
      </c>
      <c r="C525" s="99" t="s">
        <v>2294</v>
      </c>
      <c r="D525" s="100" t="s">
        <v>2295</v>
      </c>
      <c r="E525" s="100" t="s">
        <v>2296</v>
      </c>
      <c r="F525" s="99" t="s">
        <v>2366</v>
      </c>
      <c r="G525" s="117" t="s">
        <v>2367</v>
      </c>
      <c r="H525" s="102" t="s">
        <v>2368</v>
      </c>
      <c r="I525" s="100" t="s">
        <v>2300</v>
      </c>
      <c r="J525" s="100" t="s">
        <v>2301</v>
      </c>
      <c r="K525" s="100">
        <v>801116</v>
      </c>
      <c r="L525" s="1" t="s">
        <v>2302</v>
      </c>
      <c r="M525" s="1" t="s">
        <v>493</v>
      </c>
      <c r="N525" s="1" t="s">
        <v>494</v>
      </c>
      <c r="O525" s="100" t="s">
        <v>2369</v>
      </c>
      <c r="P525" s="100" t="s">
        <v>2427</v>
      </c>
      <c r="Q525" s="106">
        <v>3038500</v>
      </c>
      <c r="R525" s="1">
        <v>1</v>
      </c>
      <c r="S525" s="104">
        <v>30385000</v>
      </c>
      <c r="T525" s="1" t="s">
        <v>1634</v>
      </c>
      <c r="U525" s="1" t="s">
        <v>2361</v>
      </c>
      <c r="V525" s="31" t="s">
        <v>516</v>
      </c>
      <c r="W525" s="105">
        <v>10</v>
      </c>
      <c r="X525" s="1" t="s">
        <v>2434</v>
      </c>
      <c r="Y525" s="31">
        <v>43102</v>
      </c>
      <c r="Z525" s="106">
        <v>30385000</v>
      </c>
      <c r="AA525" s="107" t="s">
        <v>50</v>
      </c>
      <c r="AB525" s="20">
        <v>344</v>
      </c>
      <c r="AC525" s="31">
        <v>43110</v>
      </c>
      <c r="AD525" s="108">
        <v>30385000</v>
      </c>
      <c r="AE525" s="109">
        <f t="shared" si="48"/>
        <v>0</v>
      </c>
      <c r="AF525" s="20">
        <v>349</v>
      </c>
      <c r="AG525" s="31">
        <v>43123</v>
      </c>
      <c r="AH525" s="108">
        <v>30385000</v>
      </c>
      <c r="AI525" s="1" t="s">
        <v>2435</v>
      </c>
      <c r="AJ525" s="1">
        <v>350</v>
      </c>
      <c r="AK525" s="109">
        <f t="shared" si="49"/>
        <v>0</v>
      </c>
      <c r="AL525" s="108">
        <v>15800200</v>
      </c>
      <c r="AM525" s="108">
        <f t="shared" si="50"/>
        <v>14584800</v>
      </c>
      <c r="AN525" s="1" t="s">
        <v>2308</v>
      </c>
      <c r="AO525" s="108">
        <f t="shared" si="51"/>
        <v>0</v>
      </c>
      <c r="AP525" s="1"/>
      <c r="AQ525" s="1"/>
      <c r="AR525" s="1"/>
      <c r="AS525" s="1"/>
      <c r="AT525" s="1"/>
      <c r="AU525" s="211"/>
    </row>
    <row r="526" spans="1:47" ht="255" x14ac:dyDescent="0.2">
      <c r="A526" s="1">
        <v>36</v>
      </c>
      <c r="B526" s="1" t="str">
        <f t="shared" si="47"/>
        <v>3075-36</v>
      </c>
      <c r="C526" s="99" t="s">
        <v>2294</v>
      </c>
      <c r="D526" s="100" t="s">
        <v>2295</v>
      </c>
      <c r="E526" s="100" t="s">
        <v>2296</v>
      </c>
      <c r="F526" s="99" t="s">
        <v>2366</v>
      </c>
      <c r="G526" s="117" t="s">
        <v>2367</v>
      </c>
      <c r="H526" s="102" t="s">
        <v>2368</v>
      </c>
      <c r="I526" s="100" t="s">
        <v>2300</v>
      </c>
      <c r="J526" s="100" t="s">
        <v>2301</v>
      </c>
      <c r="K526" s="100">
        <v>801116</v>
      </c>
      <c r="L526" s="1" t="s">
        <v>2302</v>
      </c>
      <c r="M526" s="1" t="s">
        <v>493</v>
      </c>
      <c r="N526" s="1" t="s">
        <v>494</v>
      </c>
      <c r="O526" s="100" t="s">
        <v>2369</v>
      </c>
      <c r="P526" s="100" t="s">
        <v>2430</v>
      </c>
      <c r="Q526" s="106">
        <v>3038500</v>
      </c>
      <c r="R526" s="1">
        <v>1</v>
      </c>
      <c r="S526" s="104">
        <v>33423500</v>
      </c>
      <c r="T526" s="1" t="s">
        <v>1634</v>
      </c>
      <c r="U526" s="1" t="s">
        <v>2361</v>
      </c>
      <c r="V526" s="31" t="s">
        <v>516</v>
      </c>
      <c r="W526" s="105">
        <v>11</v>
      </c>
      <c r="X526" s="1" t="s">
        <v>2436</v>
      </c>
      <c r="Y526" s="31">
        <v>43102</v>
      </c>
      <c r="Z526" s="106">
        <v>33423500</v>
      </c>
      <c r="AA526" s="107" t="s">
        <v>50</v>
      </c>
      <c r="AB526" s="20">
        <v>390</v>
      </c>
      <c r="AC526" s="31">
        <v>43110</v>
      </c>
      <c r="AD526" s="108">
        <v>33423500</v>
      </c>
      <c r="AE526" s="109">
        <f t="shared" si="48"/>
        <v>0</v>
      </c>
      <c r="AF526" s="20">
        <v>212</v>
      </c>
      <c r="AG526" s="31">
        <v>43118</v>
      </c>
      <c r="AH526" s="108">
        <v>33423500</v>
      </c>
      <c r="AI526" s="1" t="s">
        <v>2437</v>
      </c>
      <c r="AJ526" s="1">
        <v>184</v>
      </c>
      <c r="AK526" s="109">
        <f t="shared" si="49"/>
        <v>0</v>
      </c>
      <c r="AL526" s="108">
        <v>16407900</v>
      </c>
      <c r="AM526" s="108">
        <f t="shared" si="50"/>
        <v>17015600</v>
      </c>
      <c r="AN526" s="1" t="s">
        <v>2308</v>
      </c>
      <c r="AO526" s="108">
        <f t="shared" si="51"/>
        <v>0</v>
      </c>
      <c r="AP526" s="1"/>
      <c r="AQ526" s="1"/>
      <c r="AR526" s="1"/>
      <c r="AS526" s="1"/>
      <c r="AT526" s="1"/>
      <c r="AU526" s="211"/>
    </row>
    <row r="527" spans="1:47" ht="395.25" x14ac:dyDescent="0.2">
      <c r="A527" s="1">
        <v>37</v>
      </c>
      <c r="B527" s="1" t="str">
        <f t="shared" si="47"/>
        <v>3075-37</v>
      </c>
      <c r="C527" s="99" t="s">
        <v>2294</v>
      </c>
      <c r="D527" s="100" t="s">
        <v>2295</v>
      </c>
      <c r="E527" s="100" t="s">
        <v>2296</v>
      </c>
      <c r="F527" s="99" t="s">
        <v>2366</v>
      </c>
      <c r="G527" s="117" t="s">
        <v>2367</v>
      </c>
      <c r="H527" s="102" t="s">
        <v>2368</v>
      </c>
      <c r="I527" s="100" t="s">
        <v>2300</v>
      </c>
      <c r="J527" s="100" t="s">
        <v>2301</v>
      </c>
      <c r="K527" s="100">
        <v>801116</v>
      </c>
      <c r="L527" s="1" t="s">
        <v>2302</v>
      </c>
      <c r="M527" s="1" t="s">
        <v>493</v>
      </c>
      <c r="N527" s="1" t="s">
        <v>494</v>
      </c>
      <c r="O527" s="100" t="s">
        <v>2369</v>
      </c>
      <c r="P527" s="100" t="s">
        <v>2438</v>
      </c>
      <c r="Q527" s="106">
        <v>6180000</v>
      </c>
      <c r="R527" s="1">
        <v>1</v>
      </c>
      <c r="S527" s="104">
        <v>67980000</v>
      </c>
      <c r="T527" s="1" t="s">
        <v>1619</v>
      </c>
      <c r="U527" s="1" t="s">
        <v>2361</v>
      </c>
      <c r="V527" s="31" t="s">
        <v>516</v>
      </c>
      <c r="W527" s="105">
        <v>11</v>
      </c>
      <c r="X527" s="1" t="s">
        <v>2439</v>
      </c>
      <c r="Y527" s="31">
        <v>43103</v>
      </c>
      <c r="Z527" s="106">
        <v>67980000</v>
      </c>
      <c r="AA527" s="107" t="s">
        <v>50</v>
      </c>
      <c r="AB527" s="20">
        <v>334</v>
      </c>
      <c r="AC527" s="31">
        <v>43110</v>
      </c>
      <c r="AD527" s="108">
        <v>67980000</v>
      </c>
      <c r="AE527" s="109">
        <f t="shared" si="48"/>
        <v>0</v>
      </c>
      <c r="AF527" s="20">
        <v>192</v>
      </c>
      <c r="AG527" s="31">
        <v>43118</v>
      </c>
      <c r="AH527" s="108">
        <v>67980000</v>
      </c>
      <c r="AI527" s="1" t="s">
        <v>2440</v>
      </c>
      <c r="AJ527" s="1">
        <v>165</v>
      </c>
      <c r="AK527" s="109">
        <f t="shared" si="49"/>
        <v>0</v>
      </c>
      <c r="AL527" s="108">
        <v>33372000</v>
      </c>
      <c r="AM527" s="108">
        <f t="shared" si="50"/>
        <v>34608000</v>
      </c>
      <c r="AN527" s="1" t="s">
        <v>2308</v>
      </c>
      <c r="AO527" s="108">
        <f t="shared" si="51"/>
        <v>0</v>
      </c>
      <c r="AP527" s="1"/>
      <c r="AQ527" s="1"/>
      <c r="AR527" s="1"/>
      <c r="AS527" s="1"/>
      <c r="AT527" s="1"/>
      <c r="AU527" s="211"/>
    </row>
    <row r="528" spans="1:47" ht="255" x14ac:dyDescent="0.2">
      <c r="A528" s="1">
        <v>38</v>
      </c>
      <c r="B528" s="1" t="str">
        <f t="shared" si="47"/>
        <v>3075-38</v>
      </c>
      <c r="C528" s="99" t="s">
        <v>2294</v>
      </c>
      <c r="D528" s="100" t="s">
        <v>2295</v>
      </c>
      <c r="E528" s="100" t="s">
        <v>2296</v>
      </c>
      <c r="F528" s="99" t="s">
        <v>2366</v>
      </c>
      <c r="G528" s="117" t="s">
        <v>2367</v>
      </c>
      <c r="H528" s="102" t="s">
        <v>2368</v>
      </c>
      <c r="I528" s="100" t="s">
        <v>2300</v>
      </c>
      <c r="J528" s="100" t="s">
        <v>2301</v>
      </c>
      <c r="K528" s="100">
        <v>801116</v>
      </c>
      <c r="L528" s="1" t="s">
        <v>2302</v>
      </c>
      <c r="M528" s="1" t="s">
        <v>493</v>
      </c>
      <c r="N528" s="1" t="s">
        <v>494</v>
      </c>
      <c r="O528" s="100" t="s">
        <v>2369</v>
      </c>
      <c r="P528" s="100" t="s">
        <v>2441</v>
      </c>
      <c r="Q528" s="106">
        <v>4120000</v>
      </c>
      <c r="R528" s="1">
        <v>8</v>
      </c>
      <c r="S528" s="104">
        <v>24720000</v>
      </c>
      <c r="T528" s="1" t="s">
        <v>1619</v>
      </c>
      <c r="U528" s="1" t="s">
        <v>2361</v>
      </c>
      <c r="V528" s="31" t="s">
        <v>516</v>
      </c>
      <c r="W528" s="105">
        <v>9.75</v>
      </c>
      <c r="X528" s="1" t="s">
        <v>2442</v>
      </c>
      <c r="Y528" s="31">
        <v>43111</v>
      </c>
      <c r="Z528" s="106">
        <v>24720000</v>
      </c>
      <c r="AA528" s="107" t="s">
        <v>50</v>
      </c>
      <c r="AB528" s="20">
        <v>470</v>
      </c>
      <c r="AC528" s="31">
        <v>43112</v>
      </c>
      <c r="AD528" s="108">
        <v>24720000</v>
      </c>
      <c r="AE528" s="109">
        <f t="shared" si="48"/>
        <v>0</v>
      </c>
      <c r="AF528" s="20">
        <v>243</v>
      </c>
      <c r="AG528" s="31">
        <v>43119</v>
      </c>
      <c r="AH528" s="108">
        <v>24720000</v>
      </c>
      <c r="AI528" s="1" t="s">
        <v>2443</v>
      </c>
      <c r="AJ528" s="1">
        <v>218</v>
      </c>
      <c r="AK528" s="109">
        <f t="shared" si="49"/>
        <v>0</v>
      </c>
      <c r="AL528" s="108">
        <v>22248000</v>
      </c>
      <c r="AM528" s="108">
        <f t="shared" si="50"/>
        <v>2472000</v>
      </c>
      <c r="AN528" s="1" t="s">
        <v>2308</v>
      </c>
      <c r="AO528" s="108">
        <f t="shared" si="51"/>
        <v>0</v>
      </c>
      <c r="AP528" s="1"/>
      <c r="AQ528" s="1"/>
      <c r="AR528" s="1"/>
      <c r="AS528" s="1"/>
      <c r="AT528" s="1"/>
      <c r="AU528" s="211"/>
    </row>
    <row r="529" spans="1:47" ht="369.75" x14ac:dyDescent="0.2">
      <c r="A529" s="1">
        <v>39</v>
      </c>
      <c r="B529" s="1" t="str">
        <f t="shared" si="47"/>
        <v>3075-39</v>
      </c>
      <c r="C529" s="99" t="s">
        <v>2294</v>
      </c>
      <c r="D529" s="100" t="s">
        <v>2295</v>
      </c>
      <c r="E529" s="100" t="s">
        <v>2296</v>
      </c>
      <c r="F529" s="99" t="s">
        <v>2366</v>
      </c>
      <c r="G529" s="117" t="s">
        <v>2367</v>
      </c>
      <c r="H529" s="102" t="s">
        <v>2368</v>
      </c>
      <c r="I529" s="100" t="s">
        <v>2300</v>
      </c>
      <c r="J529" s="100" t="s">
        <v>2301</v>
      </c>
      <c r="K529" s="100">
        <v>801116</v>
      </c>
      <c r="L529" s="1" t="s">
        <v>2302</v>
      </c>
      <c r="M529" s="1" t="s">
        <v>493</v>
      </c>
      <c r="N529" s="1" t="s">
        <v>494</v>
      </c>
      <c r="O529" s="100" t="s">
        <v>2369</v>
      </c>
      <c r="P529" s="65" t="s">
        <v>2444</v>
      </c>
      <c r="Q529" s="106">
        <v>4120000</v>
      </c>
      <c r="R529" s="1">
        <v>1</v>
      </c>
      <c r="S529" s="104">
        <v>41200000</v>
      </c>
      <c r="T529" s="1" t="s">
        <v>1619</v>
      </c>
      <c r="U529" s="1" t="s">
        <v>2361</v>
      </c>
      <c r="V529" s="31" t="s">
        <v>516</v>
      </c>
      <c r="W529" s="105">
        <v>10</v>
      </c>
      <c r="X529" s="1" t="s">
        <v>2445</v>
      </c>
      <c r="Y529" s="31">
        <v>43102</v>
      </c>
      <c r="Z529" s="106">
        <v>41200000</v>
      </c>
      <c r="AA529" s="107" t="s">
        <v>50</v>
      </c>
      <c r="AB529" s="20">
        <v>314</v>
      </c>
      <c r="AC529" s="31">
        <v>43110</v>
      </c>
      <c r="AD529" s="108">
        <v>41200000</v>
      </c>
      <c r="AE529" s="109">
        <f t="shared" si="48"/>
        <v>0</v>
      </c>
      <c r="AF529" s="20">
        <v>325</v>
      </c>
      <c r="AG529" s="31">
        <v>43123</v>
      </c>
      <c r="AH529" s="108">
        <v>41200000</v>
      </c>
      <c r="AI529" s="1" t="s">
        <v>2446</v>
      </c>
      <c r="AJ529" s="1">
        <v>286</v>
      </c>
      <c r="AK529" s="109">
        <f t="shared" si="49"/>
        <v>0</v>
      </c>
      <c r="AL529" s="108">
        <v>21698667</v>
      </c>
      <c r="AM529" s="108">
        <f t="shared" si="50"/>
        <v>19501333</v>
      </c>
      <c r="AN529" s="1" t="s">
        <v>2308</v>
      </c>
      <c r="AO529" s="108">
        <f t="shared" si="51"/>
        <v>0</v>
      </c>
      <c r="AP529" s="1"/>
      <c r="AQ529" s="1"/>
      <c r="AR529" s="1"/>
      <c r="AS529" s="1"/>
      <c r="AT529" s="1"/>
      <c r="AU529" s="211"/>
    </row>
    <row r="530" spans="1:47" ht="191.25" x14ac:dyDescent="0.2">
      <c r="A530" s="1">
        <v>40</v>
      </c>
      <c r="B530" s="1" t="str">
        <f t="shared" si="47"/>
        <v>3075-40</v>
      </c>
      <c r="C530" s="99" t="s">
        <v>2294</v>
      </c>
      <c r="D530" s="100" t="s">
        <v>2295</v>
      </c>
      <c r="E530" s="100" t="s">
        <v>2296</v>
      </c>
      <c r="F530" s="99" t="s">
        <v>2366</v>
      </c>
      <c r="G530" s="117" t="s">
        <v>2367</v>
      </c>
      <c r="H530" s="102" t="s">
        <v>2368</v>
      </c>
      <c r="I530" s="100" t="s">
        <v>2300</v>
      </c>
      <c r="J530" s="100" t="s">
        <v>2301</v>
      </c>
      <c r="K530" s="100">
        <v>801116</v>
      </c>
      <c r="L530" s="1" t="s">
        <v>2302</v>
      </c>
      <c r="M530" s="1" t="s">
        <v>493</v>
      </c>
      <c r="N530" s="1" t="s">
        <v>494</v>
      </c>
      <c r="O530" s="100" t="s">
        <v>2369</v>
      </c>
      <c r="P530" s="100" t="s">
        <v>2447</v>
      </c>
      <c r="Q530" s="106">
        <v>4120000</v>
      </c>
      <c r="R530" s="1">
        <v>4</v>
      </c>
      <c r="S530" s="104">
        <v>0</v>
      </c>
      <c r="T530" s="1"/>
      <c r="U530" s="1" t="s">
        <v>2361</v>
      </c>
      <c r="V530" s="31"/>
      <c r="W530" s="105">
        <v>9.25</v>
      </c>
      <c r="X530" s="1"/>
      <c r="Y530" s="31"/>
      <c r="Z530" s="106"/>
      <c r="AA530" s="107"/>
      <c r="AB530" s="20"/>
      <c r="AC530" s="31"/>
      <c r="AD530" s="108"/>
      <c r="AE530" s="109">
        <f t="shared" si="48"/>
        <v>0</v>
      </c>
      <c r="AF530" s="20"/>
      <c r="AG530" s="31"/>
      <c r="AH530" s="108"/>
      <c r="AI530" s="1"/>
      <c r="AJ530" s="1"/>
      <c r="AK530" s="109">
        <f t="shared" si="49"/>
        <v>0</v>
      </c>
      <c r="AL530" s="108"/>
      <c r="AM530" s="108">
        <f t="shared" si="50"/>
        <v>0</v>
      </c>
      <c r="AN530" s="1" t="s">
        <v>2308</v>
      </c>
      <c r="AO530" s="108">
        <f t="shared" si="51"/>
        <v>0</v>
      </c>
      <c r="AP530" s="1"/>
      <c r="AQ530" s="1"/>
      <c r="AR530" s="1"/>
      <c r="AS530" s="1"/>
      <c r="AT530" s="1"/>
      <c r="AU530" s="211"/>
    </row>
    <row r="531" spans="1:47" ht="409.5" x14ac:dyDescent="0.2">
      <c r="A531" s="1">
        <v>41</v>
      </c>
      <c r="B531" s="1" t="str">
        <f t="shared" si="47"/>
        <v>3075-41</v>
      </c>
      <c r="C531" s="99" t="s">
        <v>2294</v>
      </c>
      <c r="D531" s="100" t="s">
        <v>2295</v>
      </c>
      <c r="E531" s="100" t="s">
        <v>2296</v>
      </c>
      <c r="F531" s="99" t="s">
        <v>2366</v>
      </c>
      <c r="G531" s="117" t="s">
        <v>2367</v>
      </c>
      <c r="H531" s="102" t="s">
        <v>2368</v>
      </c>
      <c r="I531" s="100" t="s">
        <v>2300</v>
      </c>
      <c r="J531" s="100" t="s">
        <v>2301</v>
      </c>
      <c r="K531" s="100">
        <v>801116</v>
      </c>
      <c r="L531" s="1" t="s">
        <v>2302</v>
      </c>
      <c r="M531" s="1" t="s">
        <v>493</v>
      </c>
      <c r="N531" s="1" t="s">
        <v>494</v>
      </c>
      <c r="O531" s="100" t="s">
        <v>2369</v>
      </c>
      <c r="P531" s="100" t="s">
        <v>2448</v>
      </c>
      <c r="Q531" s="106">
        <v>4120000</v>
      </c>
      <c r="R531" s="1">
        <v>2</v>
      </c>
      <c r="S531" s="104">
        <v>0</v>
      </c>
      <c r="T531" s="1"/>
      <c r="U531" s="1" t="s">
        <v>2361</v>
      </c>
      <c r="V531" s="31"/>
      <c r="W531" s="105">
        <v>9</v>
      </c>
      <c r="X531" s="1"/>
      <c r="Y531" s="31"/>
      <c r="Z531" s="106"/>
      <c r="AA531" s="107"/>
      <c r="AB531" s="20"/>
      <c r="AC531" s="31"/>
      <c r="AD531" s="108"/>
      <c r="AE531" s="109">
        <f t="shared" si="48"/>
        <v>0</v>
      </c>
      <c r="AF531" s="20"/>
      <c r="AG531" s="31"/>
      <c r="AH531" s="108"/>
      <c r="AI531" s="1"/>
      <c r="AJ531" s="1"/>
      <c r="AK531" s="109">
        <f t="shared" si="49"/>
        <v>0</v>
      </c>
      <c r="AL531" s="108"/>
      <c r="AM531" s="108">
        <f t="shared" si="50"/>
        <v>0</v>
      </c>
      <c r="AN531" s="1" t="s">
        <v>2308</v>
      </c>
      <c r="AO531" s="108">
        <f t="shared" si="51"/>
        <v>0</v>
      </c>
      <c r="AP531" s="1"/>
      <c r="AQ531" s="1"/>
      <c r="AR531" s="1"/>
      <c r="AS531" s="1"/>
      <c r="AT531" s="1"/>
      <c r="AU531" s="211"/>
    </row>
    <row r="532" spans="1:47" ht="306" x14ac:dyDescent="0.2">
      <c r="A532" s="1">
        <v>42</v>
      </c>
      <c r="B532" s="1" t="str">
        <f t="shared" si="47"/>
        <v>3075-42</v>
      </c>
      <c r="C532" s="99" t="s">
        <v>2294</v>
      </c>
      <c r="D532" s="100" t="s">
        <v>2295</v>
      </c>
      <c r="E532" s="100" t="s">
        <v>2296</v>
      </c>
      <c r="F532" s="99" t="s">
        <v>2366</v>
      </c>
      <c r="G532" s="117" t="s">
        <v>2367</v>
      </c>
      <c r="H532" s="102" t="s">
        <v>2368</v>
      </c>
      <c r="I532" s="100" t="s">
        <v>2300</v>
      </c>
      <c r="J532" s="100" t="s">
        <v>2301</v>
      </c>
      <c r="K532" s="100">
        <v>801116</v>
      </c>
      <c r="L532" s="1" t="s">
        <v>2302</v>
      </c>
      <c r="M532" s="1" t="s">
        <v>493</v>
      </c>
      <c r="N532" s="1" t="s">
        <v>494</v>
      </c>
      <c r="O532" s="100" t="s">
        <v>2369</v>
      </c>
      <c r="P532" s="100" t="s">
        <v>2449</v>
      </c>
      <c r="Q532" s="106">
        <v>5036700</v>
      </c>
      <c r="R532" s="1">
        <v>1</v>
      </c>
      <c r="S532" s="104">
        <v>55403700</v>
      </c>
      <c r="T532" s="1" t="s">
        <v>1619</v>
      </c>
      <c r="U532" s="1" t="s">
        <v>2361</v>
      </c>
      <c r="V532" s="31" t="s">
        <v>516</v>
      </c>
      <c r="W532" s="105">
        <v>11</v>
      </c>
      <c r="X532" s="1" t="s">
        <v>2450</v>
      </c>
      <c r="Y532" s="31">
        <v>43103</v>
      </c>
      <c r="Z532" s="106">
        <v>55403700</v>
      </c>
      <c r="AA532" s="107" t="s">
        <v>50</v>
      </c>
      <c r="AB532" s="20">
        <v>346</v>
      </c>
      <c r="AC532" s="31">
        <v>43110</v>
      </c>
      <c r="AD532" s="108">
        <v>55403700</v>
      </c>
      <c r="AE532" s="109">
        <f t="shared" si="48"/>
        <v>0</v>
      </c>
      <c r="AF532" s="20">
        <v>194</v>
      </c>
      <c r="AG532" s="31">
        <v>43118</v>
      </c>
      <c r="AH532" s="108">
        <v>55403700</v>
      </c>
      <c r="AI532" s="1" t="s">
        <v>2451</v>
      </c>
      <c r="AJ532" s="1">
        <v>162</v>
      </c>
      <c r="AK532" s="109">
        <f t="shared" si="49"/>
        <v>0</v>
      </c>
      <c r="AL532" s="108">
        <v>27198180</v>
      </c>
      <c r="AM532" s="108">
        <f t="shared" si="50"/>
        <v>28205520</v>
      </c>
      <c r="AN532" s="1" t="s">
        <v>2308</v>
      </c>
      <c r="AO532" s="108">
        <f t="shared" si="51"/>
        <v>0</v>
      </c>
      <c r="AP532" s="1"/>
      <c r="AQ532" s="1"/>
      <c r="AR532" s="1"/>
      <c r="AS532" s="1"/>
      <c r="AT532" s="1"/>
      <c r="AU532" s="211"/>
    </row>
    <row r="533" spans="1:47" ht="331.5" x14ac:dyDescent="0.2">
      <c r="A533" s="1">
        <v>43</v>
      </c>
      <c r="B533" s="1" t="str">
        <f t="shared" si="47"/>
        <v>3075-43</v>
      </c>
      <c r="C533" s="99" t="s">
        <v>2294</v>
      </c>
      <c r="D533" s="100" t="s">
        <v>2295</v>
      </c>
      <c r="E533" s="100" t="s">
        <v>2296</v>
      </c>
      <c r="F533" s="99" t="s">
        <v>2366</v>
      </c>
      <c r="G533" s="117" t="s">
        <v>2367</v>
      </c>
      <c r="H533" s="102" t="s">
        <v>2368</v>
      </c>
      <c r="I533" s="100" t="s">
        <v>2300</v>
      </c>
      <c r="J533" s="100" t="s">
        <v>2301</v>
      </c>
      <c r="K533" s="100">
        <v>801116</v>
      </c>
      <c r="L533" s="1" t="s">
        <v>2302</v>
      </c>
      <c r="M533" s="1" t="s">
        <v>493</v>
      </c>
      <c r="N533" s="1" t="s">
        <v>494</v>
      </c>
      <c r="O533" s="100" t="s">
        <v>2369</v>
      </c>
      <c r="P533" s="100" t="s">
        <v>2452</v>
      </c>
      <c r="Q533" s="106">
        <v>5665000</v>
      </c>
      <c r="R533" s="1">
        <v>1</v>
      </c>
      <c r="S533" s="104">
        <v>45320000</v>
      </c>
      <c r="T533" s="1" t="s">
        <v>1619</v>
      </c>
      <c r="U533" s="1" t="s">
        <v>2361</v>
      </c>
      <c r="V533" s="31" t="s">
        <v>516</v>
      </c>
      <c r="W533" s="105">
        <v>8</v>
      </c>
      <c r="X533" s="1" t="s">
        <v>2453</v>
      </c>
      <c r="Y533" s="31">
        <v>43103</v>
      </c>
      <c r="Z533" s="106">
        <v>45320000</v>
      </c>
      <c r="AA533" s="107" t="s">
        <v>50</v>
      </c>
      <c r="AB533" s="20">
        <v>355</v>
      </c>
      <c r="AC533" s="31">
        <v>43110</v>
      </c>
      <c r="AD533" s="108">
        <v>45320000</v>
      </c>
      <c r="AE533" s="109">
        <f t="shared" si="48"/>
        <v>0</v>
      </c>
      <c r="AF533" s="20">
        <v>139</v>
      </c>
      <c r="AG533" s="31">
        <v>43117</v>
      </c>
      <c r="AH533" s="108">
        <v>45320000</v>
      </c>
      <c r="AI533" s="1" t="s">
        <v>2454</v>
      </c>
      <c r="AJ533" s="1">
        <v>146</v>
      </c>
      <c r="AK533" s="109">
        <f t="shared" si="49"/>
        <v>0</v>
      </c>
      <c r="AL533" s="108">
        <v>30779833</v>
      </c>
      <c r="AM533" s="108">
        <f t="shared" si="50"/>
        <v>14540167</v>
      </c>
      <c r="AN533" s="1" t="s">
        <v>2308</v>
      </c>
      <c r="AO533" s="108">
        <f t="shared" si="51"/>
        <v>0</v>
      </c>
      <c r="AP533" s="1"/>
      <c r="AQ533" s="1"/>
      <c r="AR533" s="1"/>
      <c r="AS533" s="1"/>
      <c r="AT533" s="1"/>
      <c r="AU533" s="211"/>
    </row>
    <row r="534" spans="1:47" ht="267.75" x14ac:dyDescent="0.2">
      <c r="A534" s="1">
        <v>44</v>
      </c>
      <c r="B534" s="1" t="str">
        <f t="shared" si="47"/>
        <v>3075-44</v>
      </c>
      <c r="C534" s="99" t="s">
        <v>2294</v>
      </c>
      <c r="D534" s="100" t="s">
        <v>2295</v>
      </c>
      <c r="E534" s="100" t="s">
        <v>2296</v>
      </c>
      <c r="F534" s="99" t="s">
        <v>2366</v>
      </c>
      <c r="G534" s="117" t="s">
        <v>2367</v>
      </c>
      <c r="H534" s="102" t="s">
        <v>2368</v>
      </c>
      <c r="I534" s="100" t="s">
        <v>2300</v>
      </c>
      <c r="J534" s="100" t="s">
        <v>2301</v>
      </c>
      <c r="K534" s="100">
        <v>801116</v>
      </c>
      <c r="L534" s="1" t="s">
        <v>2302</v>
      </c>
      <c r="M534" s="1" t="s">
        <v>493</v>
      </c>
      <c r="N534" s="1" t="s">
        <v>494</v>
      </c>
      <c r="O534" s="100" t="s">
        <v>2369</v>
      </c>
      <c r="P534" s="100" t="s">
        <v>2455</v>
      </c>
      <c r="Q534" s="106">
        <v>8240000</v>
      </c>
      <c r="R534" s="1">
        <v>2</v>
      </c>
      <c r="S534" s="104">
        <v>0</v>
      </c>
      <c r="T534" s="1"/>
      <c r="U534" s="1" t="s">
        <v>2361</v>
      </c>
      <c r="V534" s="31"/>
      <c r="W534" s="105">
        <v>10.5</v>
      </c>
      <c r="X534" s="1"/>
      <c r="Y534" s="31"/>
      <c r="Z534" s="106"/>
      <c r="AA534" s="107"/>
      <c r="AB534" s="20"/>
      <c r="AC534" s="31"/>
      <c r="AD534" s="108"/>
      <c r="AE534" s="109">
        <f t="shared" si="48"/>
        <v>0</v>
      </c>
      <c r="AF534" s="20"/>
      <c r="AG534" s="31"/>
      <c r="AH534" s="108"/>
      <c r="AI534" s="1"/>
      <c r="AJ534" s="1"/>
      <c r="AK534" s="109">
        <f t="shared" si="49"/>
        <v>0</v>
      </c>
      <c r="AL534" s="108"/>
      <c r="AM534" s="108">
        <f t="shared" si="50"/>
        <v>0</v>
      </c>
      <c r="AN534" s="1" t="s">
        <v>2308</v>
      </c>
      <c r="AO534" s="108">
        <f t="shared" si="51"/>
        <v>0</v>
      </c>
      <c r="AP534" s="1"/>
      <c r="AQ534" s="1"/>
      <c r="AR534" s="1"/>
      <c r="AS534" s="1"/>
      <c r="AT534" s="1"/>
      <c r="AU534" s="211"/>
    </row>
    <row r="535" spans="1:47" ht="306" x14ac:dyDescent="0.2">
      <c r="A535" s="1">
        <v>45</v>
      </c>
      <c r="B535" s="1" t="str">
        <f t="shared" si="47"/>
        <v>3075-45</v>
      </c>
      <c r="C535" s="99" t="s">
        <v>2294</v>
      </c>
      <c r="D535" s="100" t="s">
        <v>2295</v>
      </c>
      <c r="E535" s="100" t="s">
        <v>2296</v>
      </c>
      <c r="F535" s="99" t="s">
        <v>2366</v>
      </c>
      <c r="G535" s="117" t="s">
        <v>2367</v>
      </c>
      <c r="H535" s="102" t="s">
        <v>2368</v>
      </c>
      <c r="I535" s="100" t="s">
        <v>2300</v>
      </c>
      <c r="J535" s="100" t="s">
        <v>2301</v>
      </c>
      <c r="K535" s="100">
        <v>801116</v>
      </c>
      <c r="L535" s="1" t="s">
        <v>2302</v>
      </c>
      <c r="M535" s="1" t="s">
        <v>493</v>
      </c>
      <c r="N535" s="1" t="s">
        <v>494</v>
      </c>
      <c r="O535" s="100" t="s">
        <v>2369</v>
      </c>
      <c r="P535" s="100" t="s">
        <v>2456</v>
      </c>
      <c r="Q535" s="106">
        <v>8240000</v>
      </c>
      <c r="R535" s="1">
        <v>1</v>
      </c>
      <c r="S535" s="104">
        <v>90640000</v>
      </c>
      <c r="T535" s="1" t="s">
        <v>1619</v>
      </c>
      <c r="U535" s="1" t="s">
        <v>2361</v>
      </c>
      <c r="V535" s="31" t="s">
        <v>516</v>
      </c>
      <c r="W535" s="105">
        <v>11</v>
      </c>
      <c r="X535" s="1" t="s">
        <v>2457</v>
      </c>
      <c r="Y535" s="31">
        <v>43103</v>
      </c>
      <c r="Z535" s="106">
        <v>90640000</v>
      </c>
      <c r="AA535" s="107" t="s">
        <v>50</v>
      </c>
      <c r="AB535" s="20">
        <v>364</v>
      </c>
      <c r="AC535" s="31">
        <v>43110</v>
      </c>
      <c r="AD535" s="108">
        <v>90640000</v>
      </c>
      <c r="AE535" s="109">
        <f t="shared" si="48"/>
        <v>0</v>
      </c>
      <c r="AF535" s="20">
        <v>116</v>
      </c>
      <c r="AG535" s="31">
        <v>43117</v>
      </c>
      <c r="AH535" s="108">
        <v>90640000</v>
      </c>
      <c r="AI535" s="1" t="s">
        <v>2458</v>
      </c>
      <c r="AJ535" s="1">
        <v>94</v>
      </c>
      <c r="AK535" s="109">
        <f t="shared" si="49"/>
        <v>0</v>
      </c>
      <c r="AL535" s="108">
        <v>45045334</v>
      </c>
      <c r="AM535" s="108">
        <f t="shared" si="50"/>
        <v>45594666</v>
      </c>
      <c r="AN535" s="1" t="s">
        <v>2308</v>
      </c>
      <c r="AO535" s="108">
        <f t="shared" si="51"/>
        <v>0</v>
      </c>
      <c r="AP535" s="1"/>
      <c r="AQ535" s="1"/>
      <c r="AR535" s="1"/>
      <c r="AS535" s="1"/>
      <c r="AT535" s="1"/>
      <c r="AU535" s="211"/>
    </row>
    <row r="536" spans="1:47" ht="306" x14ac:dyDescent="0.2">
      <c r="A536" s="1">
        <v>46</v>
      </c>
      <c r="B536" s="1" t="str">
        <f t="shared" si="47"/>
        <v>3075-46</v>
      </c>
      <c r="C536" s="99" t="s">
        <v>2294</v>
      </c>
      <c r="D536" s="100" t="s">
        <v>2295</v>
      </c>
      <c r="E536" s="100" t="s">
        <v>2459</v>
      </c>
      <c r="F536" s="99" t="s">
        <v>2366</v>
      </c>
      <c r="G536" s="117" t="s">
        <v>2367</v>
      </c>
      <c r="H536" s="102" t="s">
        <v>2368</v>
      </c>
      <c r="I536" s="100" t="s">
        <v>2300</v>
      </c>
      <c r="J536" s="100" t="s">
        <v>2301</v>
      </c>
      <c r="K536" s="100">
        <v>801116</v>
      </c>
      <c r="L536" s="1" t="s">
        <v>2302</v>
      </c>
      <c r="M536" s="1" t="s">
        <v>493</v>
      </c>
      <c r="N536" s="1" t="s">
        <v>494</v>
      </c>
      <c r="O536" s="100" t="s">
        <v>2369</v>
      </c>
      <c r="P536" s="100" t="s">
        <v>2460</v>
      </c>
      <c r="Q536" s="106">
        <v>8240000</v>
      </c>
      <c r="R536" s="1">
        <v>1</v>
      </c>
      <c r="S536" s="104">
        <v>90640000</v>
      </c>
      <c r="T536" s="1" t="s">
        <v>1619</v>
      </c>
      <c r="U536" s="1" t="s">
        <v>2361</v>
      </c>
      <c r="V536" s="31" t="s">
        <v>516</v>
      </c>
      <c r="W536" s="105">
        <v>11</v>
      </c>
      <c r="X536" s="1" t="s">
        <v>2461</v>
      </c>
      <c r="Y536" s="31">
        <v>43103</v>
      </c>
      <c r="Z536" s="106">
        <v>90640000</v>
      </c>
      <c r="AA536" s="107" t="s">
        <v>50</v>
      </c>
      <c r="AB536" s="20">
        <v>319</v>
      </c>
      <c r="AC536" s="31">
        <v>43110</v>
      </c>
      <c r="AD536" s="108">
        <v>90640000</v>
      </c>
      <c r="AE536" s="109">
        <f t="shared" si="48"/>
        <v>0</v>
      </c>
      <c r="AF536" s="20">
        <v>127</v>
      </c>
      <c r="AG536" s="31">
        <v>43117</v>
      </c>
      <c r="AH536" s="108">
        <v>90640000</v>
      </c>
      <c r="AI536" s="1" t="s">
        <v>2462</v>
      </c>
      <c r="AJ536" s="1">
        <v>119</v>
      </c>
      <c r="AK536" s="109">
        <f t="shared" si="49"/>
        <v>0</v>
      </c>
      <c r="AL536" s="108">
        <v>44770667</v>
      </c>
      <c r="AM536" s="108">
        <f t="shared" si="50"/>
        <v>45869333</v>
      </c>
      <c r="AN536" s="1" t="s">
        <v>2308</v>
      </c>
      <c r="AO536" s="108">
        <f t="shared" si="51"/>
        <v>0</v>
      </c>
      <c r="AP536" s="1"/>
      <c r="AQ536" s="1"/>
      <c r="AR536" s="1"/>
      <c r="AS536" s="1"/>
      <c r="AT536" s="1"/>
      <c r="AU536" s="211"/>
    </row>
    <row r="537" spans="1:47" ht="280.5" x14ac:dyDescent="0.2">
      <c r="A537" s="1">
        <v>47</v>
      </c>
      <c r="B537" s="1" t="str">
        <f t="shared" si="47"/>
        <v>3075-47</v>
      </c>
      <c r="C537" s="99" t="s">
        <v>2294</v>
      </c>
      <c r="D537" s="100" t="s">
        <v>2295</v>
      </c>
      <c r="E537" s="100" t="s">
        <v>2296</v>
      </c>
      <c r="F537" s="99" t="s">
        <v>2366</v>
      </c>
      <c r="G537" s="117" t="s">
        <v>2367</v>
      </c>
      <c r="H537" s="102" t="s">
        <v>2368</v>
      </c>
      <c r="I537" s="100" t="s">
        <v>2300</v>
      </c>
      <c r="J537" s="100" t="s">
        <v>2301</v>
      </c>
      <c r="K537" s="100">
        <v>801116</v>
      </c>
      <c r="L537" s="1" t="s">
        <v>2302</v>
      </c>
      <c r="M537" s="1" t="s">
        <v>493</v>
      </c>
      <c r="N537" s="1" t="s">
        <v>494</v>
      </c>
      <c r="O537" s="100" t="s">
        <v>2369</v>
      </c>
      <c r="P537" s="100" t="s">
        <v>2463</v>
      </c>
      <c r="Q537" s="106">
        <v>6180000</v>
      </c>
      <c r="R537" s="1">
        <v>1</v>
      </c>
      <c r="S537" s="104">
        <v>61800000</v>
      </c>
      <c r="T537" s="1" t="s">
        <v>1619</v>
      </c>
      <c r="U537" s="1" t="s">
        <v>2361</v>
      </c>
      <c r="V537" s="31" t="s">
        <v>516</v>
      </c>
      <c r="W537" s="105">
        <v>10</v>
      </c>
      <c r="X537" s="1" t="s">
        <v>2464</v>
      </c>
      <c r="Y537" s="31">
        <v>43103</v>
      </c>
      <c r="Z537" s="106">
        <v>61800000</v>
      </c>
      <c r="AA537" s="107" t="s">
        <v>50</v>
      </c>
      <c r="AB537" s="20">
        <v>329</v>
      </c>
      <c r="AC537" s="31">
        <v>43110</v>
      </c>
      <c r="AD537" s="108">
        <v>61800000</v>
      </c>
      <c r="AE537" s="109">
        <f t="shared" si="48"/>
        <v>0</v>
      </c>
      <c r="AF537" s="20">
        <v>389</v>
      </c>
      <c r="AG537" s="31">
        <v>43124</v>
      </c>
      <c r="AH537" s="108">
        <v>61800000</v>
      </c>
      <c r="AI537" s="1" t="s">
        <v>2465</v>
      </c>
      <c r="AJ537" s="1">
        <v>312</v>
      </c>
      <c r="AK537" s="109">
        <f t="shared" si="49"/>
        <v>0</v>
      </c>
      <c r="AL537" s="108">
        <v>32342000</v>
      </c>
      <c r="AM537" s="108">
        <f t="shared" si="50"/>
        <v>29458000</v>
      </c>
      <c r="AN537" s="1" t="s">
        <v>2308</v>
      </c>
      <c r="AO537" s="108">
        <f t="shared" si="51"/>
        <v>0</v>
      </c>
      <c r="AP537" s="1"/>
      <c r="AQ537" s="1"/>
      <c r="AR537" s="1"/>
      <c r="AS537" s="1"/>
      <c r="AT537" s="1"/>
      <c r="AU537" s="211"/>
    </row>
    <row r="538" spans="1:47" ht="409.5" x14ac:dyDescent="0.2">
      <c r="A538" s="1">
        <v>48</v>
      </c>
      <c r="B538" s="1" t="str">
        <f t="shared" si="47"/>
        <v>3075-48</v>
      </c>
      <c r="C538" s="99" t="s">
        <v>2294</v>
      </c>
      <c r="D538" s="100" t="s">
        <v>2295</v>
      </c>
      <c r="E538" s="100" t="s">
        <v>2296</v>
      </c>
      <c r="F538" s="99" t="s">
        <v>2366</v>
      </c>
      <c r="G538" s="117" t="s">
        <v>2367</v>
      </c>
      <c r="H538" s="102" t="s">
        <v>2368</v>
      </c>
      <c r="I538" s="100" t="s">
        <v>2300</v>
      </c>
      <c r="J538" s="100" t="s">
        <v>2301</v>
      </c>
      <c r="K538" s="100">
        <v>801116</v>
      </c>
      <c r="L538" s="1" t="s">
        <v>2302</v>
      </c>
      <c r="M538" s="1" t="s">
        <v>493</v>
      </c>
      <c r="N538" s="1" t="s">
        <v>494</v>
      </c>
      <c r="O538" s="100" t="s">
        <v>2369</v>
      </c>
      <c r="P538" s="100" t="s">
        <v>2466</v>
      </c>
      <c r="Q538" s="106">
        <v>5036700</v>
      </c>
      <c r="R538" s="1">
        <v>2</v>
      </c>
      <c r="S538" s="104">
        <v>50367000</v>
      </c>
      <c r="T538" s="1" t="s">
        <v>1619</v>
      </c>
      <c r="U538" s="1" t="s">
        <v>2361</v>
      </c>
      <c r="V538" s="31" t="s">
        <v>516</v>
      </c>
      <c r="W538" s="105">
        <v>10</v>
      </c>
      <c r="X538" s="1" t="s">
        <v>2467</v>
      </c>
      <c r="Y538" s="31">
        <v>43111</v>
      </c>
      <c r="Z538" s="106">
        <v>50367000</v>
      </c>
      <c r="AA538" s="107" t="s">
        <v>2468</v>
      </c>
      <c r="AB538" s="20">
        <v>453</v>
      </c>
      <c r="AC538" s="31">
        <v>43111</v>
      </c>
      <c r="AD538" s="108">
        <v>50367000</v>
      </c>
      <c r="AE538" s="109">
        <f t="shared" si="48"/>
        <v>0</v>
      </c>
      <c r="AF538" s="20">
        <v>419</v>
      </c>
      <c r="AG538" s="31">
        <v>43124</v>
      </c>
      <c r="AH538" s="108">
        <v>50367000</v>
      </c>
      <c r="AI538" s="1" t="s">
        <v>2469</v>
      </c>
      <c r="AJ538" s="1">
        <v>368</v>
      </c>
      <c r="AK538" s="109">
        <f t="shared" si="49"/>
        <v>0</v>
      </c>
      <c r="AL538" s="108">
        <v>26190840</v>
      </c>
      <c r="AM538" s="108">
        <f t="shared" si="50"/>
        <v>24176160</v>
      </c>
      <c r="AN538" s="1" t="s">
        <v>2308</v>
      </c>
      <c r="AO538" s="108">
        <f t="shared" si="51"/>
        <v>0</v>
      </c>
      <c r="AP538" s="1" t="s">
        <v>2470</v>
      </c>
      <c r="AQ538" s="1"/>
      <c r="AR538" s="1"/>
      <c r="AS538" s="1"/>
      <c r="AT538" s="1"/>
      <c r="AU538" s="211"/>
    </row>
    <row r="539" spans="1:47" ht="344.25" x14ac:dyDescent="0.2">
      <c r="A539" s="1">
        <v>49</v>
      </c>
      <c r="B539" s="1" t="str">
        <f t="shared" si="47"/>
        <v>3075-49</v>
      </c>
      <c r="C539" s="99" t="s">
        <v>2294</v>
      </c>
      <c r="D539" s="100" t="s">
        <v>2295</v>
      </c>
      <c r="E539" s="100" t="s">
        <v>2296</v>
      </c>
      <c r="F539" s="99" t="s">
        <v>2366</v>
      </c>
      <c r="G539" s="117" t="s">
        <v>2367</v>
      </c>
      <c r="H539" s="102" t="s">
        <v>2368</v>
      </c>
      <c r="I539" s="100" t="s">
        <v>2300</v>
      </c>
      <c r="J539" s="100" t="s">
        <v>2301</v>
      </c>
      <c r="K539" s="100">
        <v>801116</v>
      </c>
      <c r="L539" s="1" t="s">
        <v>2302</v>
      </c>
      <c r="M539" s="1" t="s">
        <v>493</v>
      </c>
      <c r="N539" s="1" t="s">
        <v>494</v>
      </c>
      <c r="O539" s="100" t="s">
        <v>2369</v>
      </c>
      <c r="P539" s="100" t="s">
        <v>2471</v>
      </c>
      <c r="Q539" s="106">
        <v>8240000</v>
      </c>
      <c r="R539" s="1">
        <v>1</v>
      </c>
      <c r="S539" s="104">
        <v>82400000</v>
      </c>
      <c r="T539" s="1" t="s">
        <v>1619</v>
      </c>
      <c r="U539" s="1" t="s">
        <v>2361</v>
      </c>
      <c r="V539" s="31" t="s">
        <v>516</v>
      </c>
      <c r="W539" s="105">
        <v>10</v>
      </c>
      <c r="X539" s="1" t="s">
        <v>2472</v>
      </c>
      <c r="Y539" s="31">
        <v>43103</v>
      </c>
      <c r="Z539" s="106">
        <v>82400000</v>
      </c>
      <c r="AA539" s="107" t="s">
        <v>50</v>
      </c>
      <c r="AB539" s="20">
        <v>363</v>
      </c>
      <c r="AC539" s="31">
        <v>43110</v>
      </c>
      <c r="AD539" s="108">
        <v>82400000</v>
      </c>
      <c r="AE539" s="109">
        <f t="shared" si="48"/>
        <v>0</v>
      </c>
      <c r="AF539" s="20">
        <v>450</v>
      </c>
      <c r="AG539" s="31">
        <v>43125</v>
      </c>
      <c r="AH539" s="108">
        <v>82400000</v>
      </c>
      <c r="AI539" s="1" t="s">
        <v>2473</v>
      </c>
      <c r="AJ539" s="1">
        <v>386</v>
      </c>
      <c r="AK539" s="109">
        <f t="shared" si="49"/>
        <v>0</v>
      </c>
      <c r="AL539" s="108">
        <v>42848000</v>
      </c>
      <c r="AM539" s="108">
        <f t="shared" si="50"/>
        <v>39552000</v>
      </c>
      <c r="AN539" s="1" t="s">
        <v>2308</v>
      </c>
      <c r="AO539" s="108">
        <f t="shared" si="51"/>
        <v>0</v>
      </c>
      <c r="AP539" s="1"/>
      <c r="AQ539" s="1"/>
      <c r="AR539" s="1"/>
      <c r="AS539" s="1"/>
      <c r="AT539" s="1"/>
      <c r="AU539" s="211"/>
    </row>
    <row r="540" spans="1:47" ht="229.5" x14ac:dyDescent="0.2">
      <c r="A540" s="1">
        <v>50</v>
      </c>
      <c r="B540" s="1" t="str">
        <f t="shared" si="47"/>
        <v>3075-50</v>
      </c>
      <c r="C540" s="99" t="s">
        <v>2294</v>
      </c>
      <c r="D540" s="100" t="s">
        <v>2295</v>
      </c>
      <c r="E540" s="100" t="s">
        <v>2296</v>
      </c>
      <c r="F540" s="99" t="s">
        <v>2366</v>
      </c>
      <c r="G540" s="117" t="s">
        <v>2367</v>
      </c>
      <c r="H540" s="102" t="s">
        <v>2368</v>
      </c>
      <c r="I540" s="100" t="s">
        <v>2300</v>
      </c>
      <c r="J540" s="100" t="s">
        <v>2301</v>
      </c>
      <c r="K540" s="100">
        <v>801116</v>
      </c>
      <c r="L540" s="1" t="s">
        <v>2302</v>
      </c>
      <c r="M540" s="1" t="s">
        <v>493</v>
      </c>
      <c r="N540" s="1" t="s">
        <v>494</v>
      </c>
      <c r="O540" s="100" t="s">
        <v>2369</v>
      </c>
      <c r="P540" s="100" t="s">
        <v>2474</v>
      </c>
      <c r="Q540" s="106">
        <v>7210000</v>
      </c>
      <c r="R540" s="1">
        <v>1</v>
      </c>
      <c r="S540" s="104">
        <f>72100000-25183500-20600000</f>
        <v>26316500</v>
      </c>
      <c r="T540" s="1" t="s">
        <v>1619</v>
      </c>
      <c r="U540" s="1" t="s">
        <v>2361</v>
      </c>
      <c r="V540" s="31" t="s">
        <v>516</v>
      </c>
      <c r="W540" s="105">
        <v>10</v>
      </c>
      <c r="X540" s="1" t="s">
        <v>2475</v>
      </c>
      <c r="Y540" s="31">
        <v>43124</v>
      </c>
      <c r="Z540" s="106">
        <v>20394000</v>
      </c>
      <c r="AA540" s="107" t="s">
        <v>50</v>
      </c>
      <c r="AB540" s="20">
        <v>564</v>
      </c>
      <c r="AC540" s="31">
        <v>43124</v>
      </c>
      <c r="AD540" s="108">
        <v>20394000</v>
      </c>
      <c r="AE540" s="109">
        <f t="shared" si="48"/>
        <v>5922500</v>
      </c>
      <c r="AF540" s="20">
        <v>484</v>
      </c>
      <c r="AG540" s="31">
        <v>43126</v>
      </c>
      <c r="AH540" s="108">
        <v>20394000</v>
      </c>
      <c r="AI540" s="1" t="s">
        <v>2476</v>
      </c>
      <c r="AJ540" s="1">
        <v>406</v>
      </c>
      <c r="AK540" s="109">
        <f t="shared" si="49"/>
        <v>0</v>
      </c>
      <c r="AL540" s="108">
        <v>17561500</v>
      </c>
      <c r="AM540" s="108">
        <f t="shared" si="50"/>
        <v>2832500</v>
      </c>
      <c r="AN540" s="1" t="s">
        <v>2308</v>
      </c>
      <c r="AO540" s="108">
        <f t="shared" si="51"/>
        <v>5922500</v>
      </c>
      <c r="AP540" s="1" t="s">
        <v>2477</v>
      </c>
      <c r="AQ540" s="1"/>
      <c r="AR540" s="1"/>
      <c r="AS540" s="1"/>
      <c r="AT540" s="1"/>
      <c r="AU540" s="211"/>
    </row>
    <row r="541" spans="1:47" ht="408" x14ac:dyDescent="0.2">
      <c r="A541" s="1">
        <v>51</v>
      </c>
      <c r="B541" s="1" t="str">
        <f t="shared" si="47"/>
        <v>3075-51</v>
      </c>
      <c r="C541" s="99" t="s">
        <v>2294</v>
      </c>
      <c r="D541" s="100" t="s">
        <v>2295</v>
      </c>
      <c r="E541" s="100" t="s">
        <v>2296</v>
      </c>
      <c r="F541" s="99" t="s">
        <v>2366</v>
      </c>
      <c r="G541" s="117" t="s">
        <v>2367</v>
      </c>
      <c r="H541" s="102" t="s">
        <v>2368</v>
      </c>
      <c r="I541" s="100" t="s">
        <v>2300</v>
      </c>
      <c r="J541" s="100" t="s">
        <v>2301</v>
      </c>
      <c r="K541" s="100">
        <v>801116</v>
      </c>
      <c r="L541" s="1" t="s">
        <v>2302</v>
      </c>
      <c r="M541" s="1" t="s">
        <v>493</v>
      </c>
      <c r="N541" s="1" t="s">
        <v>494</v>
      </c>
      <c r="O541" s="100" t="s">
        <v>2369</v>
      </c>
      <c r="P541" s="100" t="s">
        <v>2478</v>
      </c>
      <c r="Q541" s="106">
        <v>6180000</v>
      </c>
      <c r="R541" s="1">
        <v>1</v>
      </c>
      <c r="S541" s="104">
        <v>57783000</v>
      </c>
      <c r="T541" s="1" t="s">
        <v>1619</v>
      </c>
      <c r="U541" s="1" t="s">
        <v>2361</v>
      </c>
      <c r="V541" s="31" t="s">
        <v>516</v>
      </c>
      <c r="W541" s="105">
        <v>11.5</v>
      </c>
      <c r="X541" s="1" t="s">
        <v>2479</v>
      </c>
      <c r="Y541" s="31">
        <v>43110</v>
      </c>
      <c r="Z541" s="106">
        <v>57783000</v>
      </c>
      <c r="AA541" s="107" t="s">
        <v>50</v>
      </c>
      <c r="AB541" s="20">
        <v>450</v>
      </c>
      <c r="AC541" s="31">
        <v>43111</v>
      </c>
      <c r="AD541" s="108">
        <v>57783000</v>
      </c>
      <c r="AE541" s="109">
        <f t="shared" si="48"/>
        <v>0</v>
      </c>
      <c r="AF541" s="20">
        <v>263</v>
      </c>
      <c r="AG541" s="31">
        <v>43119</v>
      </c>
      <c r="AH541" s="108">
        <v>57783000</v>
      </c>
      <c r="AI541" s="1" t="s">
        <v>2480</v>
      </c>
      <c r="AJ541" s="1">
        <v>229</v>
      </c>
      <c r="AK541" s="109">
        <f t="shared" si="49"/>
        <v>0</v>
      </c>
      <c r="AL541" s="108">
        <v>28016000</v>
      </c>
      <c r="AM541" s="108">
        <f t="shared" si="50"/>
        <v>29767000</v>
      </c>
      <c r="AN541" s="1" t="s">
        <v>2308</v>
      </c>
      <c r="AO541" s="108">
        <f t="shared" si="51"/>
        <v>0</v>
      </c>
      <c r="AP541" s="1"/>
      <c r="AQ541" s="1"/>
      <c r="AR541" s="1"/>
      <c r="AS541" s="1"/>
      <c r="AT541" s="1"/>
      <c r="AU541" s="211"/>
    </row>
    <row r="542" spans="1:47" ht="408" x14ac:dyDescent="0.2">
      <c r="A542" s="1">
        <v>52</v>
      </c>
      <c r="B542" s="1" t="str">
        <f t="shared" si="47"/>
        <v>3075-52</v>
      </c>
      <c r="C542" s="99" t="s">
        <v>2294</v>
      </c>
      <c r="D542" s="100" t="s">
        <v>2295</v>
      </c>
      <c r="E542" s="100" t="s">
        <v>2296</v>
      </c>
      <c r="F542" s="99" t="s">
        <v>2366</v>
      </c>
      <c r="G542" s="117" t="s">
        <v>2367</v>
      </c>
      <c r="H542" s="102" t="s">
        <v>2368</v>
      </c>
      <c r="I542" s="100" t="s">
        <v>2300</v>
      </c>
      <c r="J542" s="100" t="s">
        <v>2301</v>
      </c>
      <c r="K542" s="100">
        <v>801116</v>
      </c>
      <c r="L542" s="1" t="s">
        <v>2302</v>
      </c>
      <c r="M542" s="1" t="s">
        <v>493</v>
      </c>
      <c r="N542" s="1" t="s">
        <v>494</v>
      </c>
      <c r="O542" s="100" t="s">
        <v>2369</v>
      </c>
      <c r="P542" s="100" t="s">
        <v>2478</v>
      </c>
      <c r="Q542" s="106">
        <v>4532000</v>
      </c>
      <c r="R542" s="1">
        <v>1</v>
      </c>
      <c r="S542" s="104">
        <f>47380000-17767500</f>
        <v>29612500</v>
      </c>
      <c r="T542" s="1" t="s">
        <v>1619</v>
      </c>
      <c r="U542" s="1" t="s">
        <v>2361</v>
      </c>
      <c r="V542" s="31" t="s">
        <v>516</v>
      </c>
      <c r="W542" s="105">
        <v>11.5</v>
      </c>
      <c r="X542" s="1" t="s">
        <v>2481</v>
      </c>
      <c r="Y542" s="31">
        <v>43109</v>
      </c>
      <c r="Z542" s="106">
        <f>47380000-17767500</f>
        <v>29612500</v>
      </c>
      <c r="AA542" s="107" t="s">
        <v>50</v>
      </c>
      <c r="AB542" s="20">
        <v>430</v>
      </c>
      <c r="AC542" s="31">
        <v>43111</v>
      </c>
      <c r="AD542" s="108">
        <v>24720000</v>
      </c>
      <c r="AE542" s="109">
        <f t="shared" si="48"/>
        <v>0</v>
      </c>
      <c r="AF542" s="20">
        <v>228</v>
      </c>
      <c r="AG542" s="31">
        <v>43118</v>
      </c>
      <c r="AH542" s="108">
        <v>24720000</v>
      </c>
      <c r="AI542" s="1" t="s">
        <v>2482</v>
      </c>
      <c r="AJ542" s="1">
        <v>161</v>
      </c>
      <c r="AK542" s="109">
        <f t="shared" si="49"/>
        <v>0</v>
      </c>
      <c r="AL542" s="108">
        <v>22385333</v>
      </c>
      <c r="AM542" s="108">
        <f t="shared" si="50"/>
        <v>2334667</v>
      </c>
      <c r="AN542" s="1" t="s">
        <v>2308</v>
      </c>
      <c r="AO542" s="108">
        <f t="shared" si="51"/>
        <v>4892500</v>
      </c>
      <c r="AP542" s="1"/>
      <c r="AQ542" s="1"/>
      <c r="AR542" s="1"/>
      <c r="AS542" s="1"/>
      <c r="AT542" s="1"/>
      <c r="AU542" s="211"/>
    </row>
    <row r="543" spans="1:47" ht="331.5" x14ac:dyDescent="0.2">
      <c r="A543" s="1">
        <v>53</v>
      </c>
      <c r="B543" s="1" t="str">
        <f t="shared" si="47"/>
        <v>3075-53</v>
      </c>
      <c r="C543" s="99" t="s">
        <v>2294</v>
      </c>
      <c r="D543" s="100" t="s">
        <v>2295</v>
      </c>
      <c r="E543" s="100" t="s">
        <v>2296</v>
      </c>
      <c r="F543" s="99" t="s">
        <v>2366</v>
      </c>
      <c r="G543" s="117" t="s">
        <v>2367</v>
      </c>
      <c r="H543" s="102" t="s">
        <v>2368</v>
      </c>
      <c r="I543" s="100" t="s">
        <v>2300</v>
      </c>
      <c r="J543" s="100" t="s">
        <v>2301</v>
      </c>
      <c r="K543" s="100">
        <v>801116</v>
      </c>
      <c r="L543" s="1" t="s">
        <v>2302</v>
      </c>
      <c r="M543" s="1" t="s">
        <v>493</v>
      </c>
      <c r="N543" s="1" t="s">
        <v>494</v>
      </c>
      <c r="O543" s="100" t="s">
        <v>2369</v>
      </c>
      <c r="P543" s="100" t="s">
        <v>2483</v>
      </c>
      <c r="Q543" s="106">
        <v>5036700</v>
      </c>
      <c r="R543" s="1">
        <v>1</v>
      </c>
      <c r="S543" s="104">
        <v>45330300</v>
      </c>
      <c r="T543" s="1" t="s">
        <v>1619</v>
      </c>
      <c r="U543" s="1" t="s">
        <v>2361</v>
      </c>
      <c r="V543" s="31" t="s">
        <v>516</v>
      </c>
      <c r="W543" s="105">
        <v>9</v>
      </c>
      <c r="X543" s="1" t="s">
        <v>2484</v>
      </c>
      <c r="Y543" s="31">
        <v>43103</v>
      </c>
      <c r="Z543" s="106">
        <v>45330300</v>
      </c>
      <c r="AA543" s="107" t="s">
        <v>50</v>
      </c>
      <c r="AB543" s="20">
        <v>360</v>
      </c>
      <c r="AC543" s="31">
        <v>43110</v>
      </c>
      <c r="AD543" s="108">
        <v>45330300</v>
      </c>
      <c r="AE543" s="109">
        <f t="shared" si="48"/>
        <v>0</v>
      </c>
      <c r="AF543" s="20">
        <v>125</v>
      </c>
      <c r="AG543" s="31">
        <v>43117</v>
      </c>
      <c r="AH543" s="108">
        <v>45330300</v>
      </c>
      <c r="AI543" s="1" t="s">
        <v>2485</v>
      </c>
      <c r="AJ543" s="1">
        <v>110</v>
      </c>
      <c r="AK543" s="109">
        <f t="shared" si="49"/>
        <v>0</v>
      </c>
      <c r="AL543" s="108">
        <v>27366070</v>
      </c>
      <c r="AM543" s="108">
        <f t="shared" si="50"/>
        <v>17964230</v>
      </c>
      <c r="AN543" s="1" t="s">
        <v>2308</v>
      </c>
      <c r="AO543" s="108">
        <f t="shared" si="51"/>
        <v>0</v>
      </c>
      <c r="AP543" s="1"/>
      <c r="AQ543" s="1"/>
      <c r="AR543" s="1"/>
      <c r="AS543" s="1"/>
      <c r="AT543" s="1"/>
      <c r="AU543" s="211"/>
    </row>
    <row r="544" spans="1:47" ht="255" x14ac:dyDescent="0.2">
      <c r="A544" s="1">
        <v>54</v>
      </c>
      <c r="B544" s="1" t="str">
        <f t="shared" si="47"/>
        <v>3075-54</v>
      </c>
      <c r="C544" s="99" t="s">
        <v>2294</v>
      </c>
      <c r="D544" s="100" t="s">
        <v>2295</v>
      </c>
      <c r="E544" s="100" t="s">
        <v>2296</v>
      </c>
      <c r="F544" s="99" t="s">
        <v>2366</v>
      </c>
      <c r="G544" s="117" t="s">
        <v>2367</v>
      </c>
      <c r="H544" s="102" t="s">
        <v>2368</v>
      </c>
      <c r="I544" s="100" t="s">
        <v>2300</v>
      </c>
      <c r="J544" s="100" t="s">
        <v>2301</v>
      </c>
      <c r="K544" s="100">
        <v>801116</v>
      </c>
      <c r="L544" s="1" t="s">
        <v>2302</v>
      </c>
      <c r="M544" s="1" t="s">
        <v>493</v>
      </c>
      <c r="N544" s="1" t="s">
        <v>494</v>
      </c>
      <c r="O544" s="100" t="s">
        <v>2369</v>
      </c>
      <c r="P544" s="100" t="s">
        <v>2486</v>
      </c>
      <c r="Q544" s="106">
        <v>2060000</v>
      </c>
      <c r="R544" s="1">
        <v>1</v>
      </c>
      <c r="S544" s="104">
        <v>23690000</v>
      </c>
      <c r="T544" s="1" t="s">
        <v>1619</v>
      </c>
      <c r="U544" s="1" t="s">
        <v>2361</v>
      </c>
      <c r="V544" s="31" t="s">
        <v>516</v>
      </c>
      <c r="W544" s="105">
        <v>11.5</v>
      </c>
      <c r="X544" s="1" t="s">
        <v>2487</v>
      </c>
      <c r="Y544" s="31">
        <v>43109</v>
      </c>
      <c r="Z544" s="106">
        <v>23690000</v>
      </c>
      <c r="AA544" s="107" t="s">
        <v>50</v>
      </c>
      <c r="AB544" s="20">
        <v>431</v>
      </c>
      <c r="AC544" s="31">
        <v>43111</v>
      </c>
      <c r="AD544" s="108">
        <v>23690000</v>
      </c>
      <c r="AE544" s="109">
        <f t="shared" si="48"/>
        <v>0</v>
      </c>
      <c r="AF544" s="20">
        <v>154</v>
      </c>
      <c r="AG544" s="31">
        <v>43117</v>
      </c>
      <c r="AH544" s="108">
        <v>23690000</v>
      </c>
      <c r="AI544" s="1" t="s">
        <v>614</v>
      </c>
      <c r="AJ544" s="1">
        <v>155</v>
      </c>
      <c r="AK544" s="109">
        <f t="shared" si="49"/>
        <v>0</v>
      </c>
      <c r="AL544" s="108">
        <v>11192666</v>
      </c>
      <c r="AM544" s="108">
        <f t="shared" si="50"/>
        <v>12497334</v>
      </c>
      <c r="AN544" s="1" t="s">
        <v>2308</v>
      </c>
      <c r="AO544" s="108">
        <f t="shared" si="51"/>
        <v>0</v>
      </c>
      <c r="AP544" s="1"/>
      <c r="AQ544" s="1"/>
      <c r="AR544" s="1"/>
      <c r="AS544" s="1"/>
      <c r="AT544" s="1"/>
      <c r="AU544" s="211"/>
    </row>
    <row r="545" spans="1:47" ht="280.5" x14ac:dyDescent="0.2">
      <c r="A545" s="1">
        <v>55</v>
      </c>
      <c r="B545" s="1" t="str">
        <f t="shared" si="47"/>
        <v>3075-55</v>
      </c>
      <c r="C545" s="99" t="s">
        <v>2294</v>
      </c>
      <c r="D545" s="100" t="s">
        <v>2295</v>
      </c>
      <c r="E545" s="100" t="s">
        <v>2296</v>
      </c>
      <c r="F545" s="99" t="s">
        <v>2366</v>
      </c>
      <c r="G545" s="117" t="s">
        <v>2367</v>
      </c>
      <c r="H545" s="102" t="s">
        <v>2368</v>
      </c>
      <c r="I545" s="100" t="s">
        <v>2300</v>
      </c>
      <c r="J545" s="100" t="s">
        <v>2301</v>
      </c>
      <c r="K545" s="100">
        <v>801116</v>
      </c>
      <c r="L545" s="1" t="s">
        <v>2302</v>
      </c>
      <c r="M545" s="1" t="s">
        <v>493</v>
      </c>
      <c r="N545" s="1" t="s">
        <v>494</v>
      </c>
      <c r="O545" s="100" t="s">
        <v>2369</v>
      </c>
      <c r="P545" s="100" t="s">
        <v>2395</v>
      </c>
      <c r="Q545" s="106">
        <v>4120000</v>
      </c>
      <c r="R545" s="1">
        <v>3</v>
      </c>
      <c r="S545" s="104">
        <v>0</v>
      </c>
      <c r="T545" s="1"/>
      <c r="U545" s="1" t="s">
        <v>2361</v>
      </c>
      <c r="V545" s="31"/>
      <c r="W545" s="105">
        <v>9.6666666666666661</v>
      </c>
      <c r="X545" s="1"/>
      <c r="Y545" s="31"/>
      <c r="Z545" s="106"/>
      <c r="AA545" s="107"/>
      <c r="AB545" s="20"/>
      <c r="AC545" s="31"/>
      <c r="AD545" s="108"/>
      <c r="AE545" s="109">
        <f t="shared" si="48"/>
        <v>0</v>
      </c>
      <c r="AF545" s="20"/>
      <c r="AG545" s="31"/>
      <c r="AH545" s="108"/>
      <c r="AI545" s="1"/>
      <c r="AJ545" s="1"/>
      <c r="AK545" s="109">
        <f t="shared" si="49"/>
        <v>0</v>
      </c>
      <c r="AL545" s="108"/>
      <c r="AM545" s="108">
        <f t="shared" si="50"/>
        <v>0</v>
      </c>
      <c r="AN545" s="1" t="s">
        <v>2308</v>
      </c>
      <c r="AO545" s="108">
        <f t="shared" si="51"/>
        <v>0</v>
      </c>
      <c r="AP545" s="1"/>
      <c r="AQ545" s="1"/>
      <c r="AR545" s="1"/>
      <c r="AS545" s="1"/>
      <c r="AT545" s="1"/>
      <c r="AU545" s="211"/>
    </row>
    <row r="546" spans="1:47" ht="369.75" x14ac:dyDescent="0.2">
      <c r="A546" s="1">
        <v>56</v>
      </c>
      <c r="B546" s="1" t="str">
        <f t="shared" si="47"/>
        <v>3075-56</v>
      </c>
      <c r="C546" s="99" t="s">
        <v>2294</v>
      </c>
      <c r="D546" s="100" t="s">
        <v>2295</v>
      </c>
      <c r="E546" s="100" t="s">
        <v>2296</v>
      </c>
      <c r="F546" s="99" t="s">
        <v>2366</v>
      </c>
      <c r="G546" s="117" t="s">
        <v>2367</v>
      </c>
      <c r="H546" s="102" t="s">
        <v>2368</v>
      </c>
      <c r="I546" s="100" t="s">
        <v>2300</v>
      </c>
      <c r="J546" s="100" t="s">
        <v>2301</v>
      </c>
      <c r="K546" s="100">
        <v>801116</v>
      </c>
      <c r="L546" s="1" t="s">
        <v>2302</v>
      </c>
      <c r="M546" s="1" t="s">
        <v>493</v>
      </c>
      <c r="N546" s="1" t="s">
        <v>494</v>
      </c>
      <c r="O546" s="100" t="s">
        <v>2369</v>
      </c>
      <c r="P546" s="100" t="s">
        <v>2488</v>
      </c>
      <c r="Q546" s="106">
        <v>4120000</v>
      </c>
      <c r="R546" s="1">
        <v>1</v>
      </c>
      <c r="S546" s="104">
        <v>47380000</v>
      </c>
      <c r="T546" s="1" t="s">
        <v>1619</v>
      </c>
      <c r="U546" s="1" t="s">
        <v>2361</v>
      </c>
      <c r="V546" s="31" t="s">
        <v>516</v>
      </c>
      <c r="W546" s="105">
        <v>11.5</v>
      </c>
      <c r="X546" s="1" t="s">
        <v>2489</v>
      </c>
      <c r="Y546" s="31">
        <v>43109</v>
      </c>
      <c r="Z546" s="106">
        <v>47380000</v>
      </c>
      <c r="AA546" s="107" t="s">
        <v>50</v>
      </c>
      <c r="AB546" s="20">
        <v>429</v>
      </c>
      <c r="AC546" s="31">
        <v>43111</v>
      </c>
      <c r="AD546" s="108">
        <v>47380000</v>
      </c>
      <c r="AE546" s="109">
        <f t="shared" si="48"/>
        <v>0</v>
      </c>
      <c r="AF546" s="20">
        <v>83</v>
      </c>
      <c r="AG546" s="31">
        <v>43116</v>
      </c>
      <c r="AH546" s="108">
        <v>47380000</v>
      </c>
      <c r="AI546" s="1" t="s">
        <v>639</v>
      </c>
      <c r="AJ546" s="1">
        <v>33</v>
      </c>
      <c r="AK546" s="109">
        <f t="shared" si="49"/>
        <v>0</v>
      </c>
      <c r="AL546" s="108">
        <v>22660000</v>
      </c>
      <c r="AM546" s="108">
        <f t="shared" si="50"/>
        <v>24720000</v>
      </c>
      <c r="AN546" s="1" t="s">
        <v>2308</v>
      </c>
      <c r="AO546" s="108">
        <f t="shared" si="51"/>
        <v>0</v>
      </c>
      <c r="AP546" s="1"/>
      <c r="AQ546" s="1"/>
      <c r="AR546" s="1"/>
      <c r="AS546" s="1"/>
      <c r="AT546" s="1"/>
      <c r="AU546" s="211"/>
    </row>
    <row r="547" spans="1:47" ht="409.5" x14ac:dyDescent="0.2">
      <c r="A547" s="1">
        <v>57</v>
      </c>
      <c r="B547" s="1" t="str">
        <f t="shared" si="47"/>
        <v>3075-57</v>
      </c>
      <c r="C547" s="99" t="s">
        <v>2294</v>
      </c>
      <c r="D547" s="100" t="s">
        <v>2295</v>
      </c>
      <c r="E547" s="100" t="s">
        <v>2296</v>
      </c>
      <c r="F547" s="99" t="s">
        <v>2366</v>
      </c>
      <c r="G547" s="117" t="s">
        <v>2367</v>
      </c>
      <c r="H547" s="102" t="s">
        <v>2368</v>
      </c>
      <c r="I547" s="100" t="s">
        <v>2300</v>
      </c>
      <c r="J547" s="100" t="s">
        <v>2301</v>
      </c>
      <c r="K547" s="100">
        <v>801116</v>
      </c>
      <c r="L547" s="1" t="s">
        <v>2302</v>
      </c>
      <c r="M547" s="1" t="s">
        <v>493</v>
      </c>
      <c r="N547" s="1" t="s">
        <v>494</v>
      </c>
      <c r="O547" s="100" t="s">
        <v>2369</v>
      </c>
      <c r="P547" s="100" t="s">
        <v>2490</v>
      </c>
      <c r="Q547" s="106">
        <v>5098500</v>
      </c>
      <c r="R547" s="1">
        <v>1</v>
      </c>
      <c r="S547" s="104">
        <v>58632750</v>
      </c>
      <c r="T547" s="1" t="s">
        <v>1619</v>
      </c>
      <c r="U547" s="1" t="s">
        <v>2361</v>
      </c>
      <c r="V547" s="31" t="s">
        <v>516</v>
      </c>
      <c r="W547" s="119">
        <v>11.5</v>
      </c>
      <c r="X547" s="1" t="s">
        <v>2491</v>
      </c>
      <c r="Y547" s="31">
        <v>43110</v>
      </c>
      <c r="Z547" s="106">
        <v>58632750</v>
      </c>
      <c r="AA547" s="107" t="s">
        <v>50</v>
      </c>
      <c r="AB547" s="20">
        <v>451</v>
      </c>
      <c r="AC547" s="31">
        <v>43111</v>
      </c>
      <c r="AD547" s="108">
        <v>58632750</v>
      </c>
      <c r="AE547" s="109">
        <f t="shared" si="48"/>
        <v>0</v>
      </c>
      <c r="AF547" s="20">
        <v>411</v>
      </c>
      <c r="AG547" s="31">
        <v>43124</v>
      </c>
      <c r="AH547" s="108">
        <v>58632750</v>
      </c>
      <c r="AI547" s="1" t="s">
        <v>1245</v>
      </c>
      <c r="AJ547" s="1">
        <v>314</v>
      </c>
      <c r="AK547" s="109">
        <f t="shared" si="49"/>
        <v>0</v>
      </c>
      <c r="AL547" s="108">
        <v>41888000</v>
      </c>
      <c r="AM547" s="108">
        <f t="shared" si="50"/>
        <v>16744750</v>
      </c>
      <c r="AN547" s="1" t="s">
        <v>2308</v>
      </c>
      <c r="AO547" s="108">
        <f t="shared" si="51"/>
        <v>0</v>
      </c>
      <c r="AP547" s="1"/>
      <c r="AQ547" s="1"/>
      <c r="AR547" s="1"/>
      <c r="AS547" s="1"/>
      <c r="AT547" s="1"/>
      <c r="AU547" s="211"/>
    </row>
    <row r="548" spans="1:47" ht="395.25" x14ac:dyDescent="0.2">
      <c r="A548" s="1">
        <v>58</v>
      </c>
      <c r="B548" s="1" t="str">
        <f t="shared" si="47"/>
        <v>3075-58</v>
      </c>
      <c r="C548" s="99" t="s">
        <v>2294</v>
      </c>
      <c r="D548" s="100" t="s">
        <v>2295</v>
      </c>
      <c r="E548" s="100" t="s">
        <v>2296</v>
      </c>
      <c r="F548" s="99" t="s">
        <v>2366</v>
      </c>
      <c r="G548" s="117" t="s">
        <v>2367</v>
      </c>
      <c r="H548" s="102" t="s">
        <v>2368</v>
      </c>
      <c r="I548" s="100" t="s">
        <v>2300</v>
      </c>
      <c r="J548" s="100" t="s">
        <v>2301</v>
      </c>
      <c r="K548" s="100">
        <v>801116</v>
      </c>
      <c r="L548" s="1" t="s">
        <v>2302</v>
      </c>
      <c r="M548" s="1" t="s">
        <v>493</v>
      </c>
      <c r="N548" s="1" t="s">
        <v>494</v>
      </c>
      <c r="O548" s="100" t="s">
        <v>2369</v>
      </c>
      <c r="P548" s="100" t="s">
        <v>2492</v>
      </c>
      <c r="Q548" s="120">
        <v>6868146.5217391308</v>
      </c>
      <c r="R548" s="1">
        <v>1</v>
      </c>
      <c r="S548" s="104">
        <v>78983685</v>
      </c>
      <c r="T548" s="1" t="s">
        <v>1619</v>
      </c>
      <c r="U548" s="1" t="s">
        <v>2361</v>
      </c>
      <c r="V548" s="31" t="s">
        <v>516</v>
      </c>
      <c r="W548" s="105">
        <v>11.5</v>
      </c>
      <c r="X548" s="1" t="s">
        <v>2493</v>
      </c>
      <c r="Y548" s="31">
        <v>43118</v>
      </c>
      <c r="Z548" s="106">
        <v>68425000</v>
      </c>
      <c r="AA548" s="107" t="s">
        <v>50</v>
      </c>
      <c r="AB548" s="20">
        <v>531</v>
      </c>
      <c r="AC548" s="31">
        <v>43118</v>
      </c>
      <c r="AD548" s="108">
        <v>68425000</v>
      </c>
      <c r="AE548" s="109">
        <f t="shared" si="48"/>
        <v>10558685</v>
      </c>
      <c r="AF548" s="20">
        <v>309</v>
      </c>
      <c r="AG548" s="31">
        <v>43122</v>
      </c>
      <c r="AH548" s="108">
        <v>68425000</v>
      </c>
      <c r="AI548" s="1" t="s">
        <v>2494</v>
      </c>
      <c r="AJ548" s="1">
        <v>280</v>
      </c>
      <c r="AK548" s="109">
        <f t="shared" si="49"/>
        <v>0</v>
      </c>
      <c r="AL548" s="108">
        <v>28758334</v>
      </c>
      <c r="AM548" s="108">
        <f t="shared" si="50"/>
        <v>39666666</v>
      </c>
      <c r="AN548" s="1" t="s">
        <v>2308</v>
      </c>
      <c r="AO548" s="108">
        <f t="shared" si="51"/>
        <v>10558685</v>
      </c>
      <c r="AP548" s="1" t="s">
        <v>2495</v>
      </c>
      <c r="AQ548" s="1"/>
      <c r="AR548" s="1"/>
      <c r="AS548" s="1"/>
      <c r="AT548" s="1"/>
      <c r="AU548" s="211"/>
    </row>
    <row r="549" spans="1:47" ht="409.5" x14ac:dyDescent="0.2">
      <c r="A549" s="1">
        <v>59</v>
      </c>
      <c r="B549" s="1" t="str">
        <f t="shared" si="47"/>
        <v>3075-59</v>
      </c>
      <c r="C549" s="99" t="s">
        <v>2294</v>
      </c>
      <c r="D549" s="100" t="s">
        <v>2295</v>
      </c>
      <c r="E549" s="100" t="s">
        <v>2296</v>
      </c>
      <c r="F549" s="99" t="s">
        <v>2366</v>
      </c>
      <c r="G549" s="117" t="s">
        <v>2367</v>
      </c>
      <c r="H549" s="102" t="s">
        <v>2368</v>
      </c>
      <c r="I549" s="100" t="s">
        <v>2300</v>
      </c>
      <c r="J549" s="100" t="s">
        <v>2301</v>
      </c>
      <c r="K549" s="100">
        <v>801116</v>
      </c>
      <c r="L549" s="1" t="s">
        <v>2302</v>
      </c>
      <c r="M549" s="1" t="s">
        <v>493</v>
      </c>
      <c r="N549" s="1" t="s">
        <v>494</v>
      </c>
      <c r="O549" s="100" t="s">
        <v>2369</v>
      </c>
      <c r="P549" s="100" t="s">
        <v>2496</v>
      </c>
      <c r="Q549" s="106">
        <v>4532000</v>
      </c>
      <c r="R549" s="1">
        <v>2</v>
      </c>
      <c r="S549" s="104">
        <v>52530000</v>
      </c>
      <c r="T549" s="1" t="s">
        <v>1619</v>
      </c>
      <c r="U549" s="1" t="s">
        <v>2361</v>
      </c>
      <c r="V549" s="31" t="s">
        <v>516</v>
      </c>
      <c r="W549" s="105">
        <v>7.5</v>
      </c>
      <c r="X549" s="1" t="s">
        <v>2497</v>
      </c>
      <c r="Y549" s="31">
        <v>43111</v>
      </c>
      <c r="Z549" s="106">
        <v>52530000</v>
      </c>
      <c r="AA549" s="107" t="s">
        <v>2498</v>
      </c>
      <c r="AB549" s="20">
        <v>452</v>
      </c>
      <c r="AC549" s="31">
        <v>43111</v>
      </c>
      <c r="AD549" s="108">
        <v>52530000</v>
      </c>
      <c r="AE549" s="109">
        <f t="shared" si="48"/>
        <v>0</v>
      </c>
      <c r="AF549" s="20">
        <v>430</v>
      </c>
      <c r="AG549" s="31">
        <v>43124</v>
      </c>
      <c r="AH549" s="108">
        <v>52530000</v>
      </c>
      <c r="AI549" s="1" t="s">
        <v>2499</v>
      </c>
      <c r="AJ549" s="1">
        <v>371</v>
      </c>
      <c r="AK549" s="109">
        <f t="shared" si="49"/>
        <v>0</v>
      </c>
      <c r="AL549" s="108">
        <v>27315600</v>
      </c>
      <c r="AM549" s="108">
        <f t="shared" si="50"/>
        <v>25214400</v>
      </c>
      <c r="AN549" s="1" t="s">
        <v>2308</v>
      </c>
      <c r="AO549" s="108">
        <f t="shared" si="51"/>
        <v>0</v>
      </c>
      <c r="AP549" s="1" t="s">
        <v>2500</v>
      </c>
      <c r="AQ549" s="1"/>
      <c r="AR549" s="1"/>
      <c r="AS549" s="1"/>
      <c r="AT549" s="1"/>
      <c r="AU549" s="211"/>
    </row>
    <row r="550" spans="1:47" ht="229.5" x14ac:dyDescent="0.2">
      <c r="A550" s="1">
        <v>60</v>
      </c>
      <c r="B550" s="1" t="str">
        <f t="shared" si="47"/>
        <v>3075-60</v>
      </c>
      <c r="C550" s="99" t="s">
        <v>2294</v>
      </c>
      <c r="D550" s="100" t="s">
        <v>2295</v>
      </c>
      <c r="E550" s="100" t="s">
        <v>2296</v>
      </c>
      <c r="F550" s="99" t="s">
        <v>2366</v>
      </c>
      <c r="G550" s="117" t="s">
        <v>2367</v>
      </c>
      <c r="H550" s="102" t="s">
        <v>2368</v>
      </c>
      <c r="I550" s="100" t="s">
        <v>2300</v>
      </c>
      <c r="J550" s="100" t="s">
        <v>2301</v>
      </c>
      <c r="K550" s="100">
        <v>801116</v>
      </c>
      <c r="L550" s="1" t="s">
        <v>2302</v>
      </c>
      <c r="M550" s="1" t="s">
        <v>493</v>
      </c>
      <c r="N550" s="1" t="s">
        <v>494</v>
      </c>
      <c r="O550" s="100" t="s">
        <v>2369</v>
      </c>
      <c r="P550" s="100" t="s">
        <v>2501</v>
      </c>
      <c r="Q550" s="106">
        <v>7210000</v>
      </c>
      <c r="R550" s="1">
        <v>3</v>
      </c>
      <c r="S550" s="104">
        <v>0</v>
      </c>
      <c r="T550" s="1"/>
      <c r="U550" s="1" t="s">
        <v>2361</v>
      </c>
      <c r="V550" s="31"/>
      <c r="W550" s="105">
        <v>8.3333333333333339</v>
      </c>
      <c r="X550" s="1"/>
      <c r="Y550" s="31"/>
      <c r="Z550" s="106"/>
      <c r="AA550" s="107"/>
      <c r="AB550" s="20"/>
      <c r="AC550" s="31"/>
      <c r="AD550" s="108"/>
      <c r="AE550" s="109">
        <f t="shared" si="48"/>
        <v>0</v>
      </c>
      <c r="AF550" s="20"/>
      <c r="AG550" s="31"/>
      <c r="AH550" s="108"/>
      <c r="AI550" s="1"/>
      <c r="AJ550" s="1"/>
      <c r="AK550" s="109">
        <f t="shared" si="49"/>
        <v>0</v>
      </c>
      <c r="AL550" s="108"/>
      <c r="AM550" s="108">
        <f t="shared" si="50"/>
        <v>0</v>
      </c>
      <c r="AN550" s="1" t="s">
        <v>2308</v>
      </c>
      <c r="AO550" s="108">
        <f t="shared" si="51"/>
        <v>0</v>
      </c>
      <c r="AP550" s="1"/>
      <c r="AQ550" s="1"/>
      <c r="AR550" s="1"/>
      <c r="AS550" s="1"/>
      <c r="AT550" s="1"/>
      <c r="AU550" s="211"/>
    </row>
    <row r="551" spans="1:47" ht="267.75" x14ac:dyDescent="0.2">
      <c r="A551" s="1">
        <v>61</v>
      </c>
      <c r="B551" s="1" t="str">
        <f t="shared" si="47"/>
        <v>3075-61</v>
      </c>
      <c r="C551" s="99" t="s">
        <v>2294</v>
      </c>
      <c r="D551" s="100" t="s">
        <v>2295</v>
      </c>
      <c r="E551" s="100" t="s">
        <v>2296</v>
      </c>
      <c r="F551" s="99" t="s">
        <v>2366</v>
      </c>
      <c r="G551" s="117" t="s">
        <v>2367</v>
      </c>
      <c r="H551" s="102" t="s">
        <v>2368</v>
      </c>
      <c r="I551" s="100" t="s">
        <v>2300</v>
      </c>
      <c r="J551" s="100" t="s">
        <v>2301</v>
      </c>
      <c r="K551" s="100">
        <v>801116</v>
      </c>
      <c r="L551" s="1" t="s">
        <v>2302</v>
      </c>
      <c r="M551" s="1" t="s">
        <v>493</v>
      </c>
      <c r="N551" s="1" t="s">
        <v>494</v>
      </c>
      <c r="O551" s="100" t="s">
        <v>2369</v>
      </c>
      <c r="P551" s="100" t="s">
        <v>2502</v>
      </c>
      <c r="Q551" s="106">
        <v>4532000</v>
      </c>
      <c r="R551" s="1">
        <v>1</v>
      </c>
      <c r="S551" s="104">
        <v>27192000</v>
      </c>
      <c r="T551" s="1" t="s">
        <v>1619</v>
      </c>
      <c r="U551" s="1" t="s">
        <v>2361</v>
      </c>
      <c r="V551" s="31" t="s">
        <v>516</v>
      </c>
      <c r="W551" s="105">
        <v>6</v>
      </c>
      <c r="X551" s="1" t="s">
        <v>2503</v>
      </c>
      <c r="Y551" s="31">
        <v>43103</v>
      </c>
      <c r="Z551" s="106">
        <v>27192000</v>
      </c>
      <c r="AA551" s="107" t="s">
        <v>50</v>
      </c>
      <c r="AB551" s="20">
        <v>333</v>
      </c>
      <c r="AC551" s="31">
        <v>43110</v>
      </c>
      <c r="AD551" s="108">
        <v>27192000</v>
      </c>
      <c r="AE551" s="109">
        <f t="shared" si="48"/>
        <v>0</v>
      </c>
      <c r="AF551" s="20">
        <v>436</v>
      </c>
      <c r="AG551" s="31">
        <v>43125</v>
      </c>
      <c r="AH551" s="108">
        <v>27192000</v>
      </c>
      <c r="AI551" s="1" t="s">
        <v>2504</v>
      </c>
      <c r="AJ551" s="1">
        <v>376</v>
      </c>
      <c r="AK551" s="109">
        <f t="shared" si="49"/>
        <v>0</v>
      </c>
      <c r="AL551" s="108">
        <v>23566400</v>
      </c>
      <c r="AM551" s="108">
        <f t="shared" si="50"/>
        <v>3625600</v>
      </c>
      <c r="AN551" s="1" t="s">
        <v>2308</v>
      </c>
      <c r="AO551" s="108">
        <f t="shared" si="51"/>
        <v>0</v>
      </c>
      <c r="AP551" s="1"/>
      <c r="AQ551" s="1"/>
      <c r="AR551" s="1"/>
      <c r="AS551" s="1"/>
      <c r="AT551" s="1"/>
      <c r="AU551" s="211"/>
    </row>
    <row r="552" spans="1:47" ht="255" x14ac:dyDescent="0.2">
      <c r="A552" s="1">
        <v>62</v>
      </c>
      <c r="B552" s="1" t="str">
        <f t="shared" si="47"/>
        <v>3075-62</v>
      </c>
      <c r="C552" s="99" t="s">
        <v>2294</v>
      </c>
      <c r="D552" s="100" t="s">
        <v>2295</v>
      </c>
      <c r="E552" s="100" t="s">
        <v>2296</v>
      </c>
      <c r="F552" s="99" t="s">
        <v>2366</v>
      </c>
      <c r="G552" s="117" t="s">
        <v>2367</v>
      </c>
      <c r="H552" s="102" t="s">
        <v>2368</v>
      </c>
      <c r="I552" s="100" t="s">
        <v>2300</v>
      </c>
      <c r="J552" s="100" t="s">
        <v>2301</v>
      </c>
      <c r="K552" s="100">
        <v>801116</v>
      </c>
      <c r="L552" s="1" t="s">
        <v>2302</v>
      </c>
      <c r="M552" s="1" t="s">
        <v>493</v>
      </c>
      <c r="N552" s="1" t="s">
        <v>494</v>
      </c>
      <c r="O552" s="100" t="s">
        <v>2369</v>
      </c>
      <c r="P552" s="100" t="s">
        <v>2423</v>
      </c>
      <c r="Q552" s="106">
        <v>3553500</v>
      </c>
      <c r="R552" s="1">
        <v>2</v>
      </c>
      <c r="S552" s="104">
        <v>17767500</v>
      </c>
      <c r="T552" s="1" t="s">
        <v>1619</v>
      </c>
      <c r="U552" s="1" t="s">
        <v>2361</v>
      </c>
      <c r="V552" s="31" t="s">
        <v>516</v>
      </c>
      <c r="W552" s="105">
        <v>8</v>
      </c>
      <c r="X552" s="1" t="s">
        <v>2505</v>
      </c>
      <c r="Y552" s="31">
        <v>43111</v>
      </c>
      <c r="Z552" s="106">
        <v>17767500</v>
      </c>
      <c r="AA552" s="107" t="s">
        <v>2506</v>
      </c>
      <c r="AB552" s="20">
        <v>446</v>
      </c>
      <c r="AC552" s="31">
        <v>43111</v>
      </c>
      <c r="AD552" s="108">
        <v>17767500</v>
      </c>
      <c r="AE552" s="109">
        <f t="shared" si="48"/>
        <v>0</v>
      </c>
      <c r="AF552" s="20">
        <v>385</v>
      </c>
      <c r="AG552" s="31">
        <v>43124</v>
      </c>
      <c r="AH552" s="108">
        <v>17767500</v>
      </c>
      <c r="AI552" s="1" t="s">
        <v>2507</v>
      </c>
      <c r="AJ552" s="1">
        <v>328</v>
      </c>
      <c r="AK552" s="109">
        <f t="shared" si="49"/>
        <v>0</v>
      </c>
      <c r="AL552" s="108">
        <v>17767500</v>
      </c>
      <c r="AM552" s="108">
        <f t="shared" si="50"/>
        <v>0</v>
      </c>
      <c r="AN552" s="1" t="s">
        <v>2308</v>
      </c>
      <c r="AO552" s="108">
        <f t="shared" si="51"/>
        <v>0</v>
      </c>
      <c r="AP552" s="1"/>
      <c r="AQ552" s="1"/>
      <c r="AR552" s="1"/>
      <c r="AS552" s="1"/>
      <c r="AT552" s="1"/>
      <c r="AU552" s="211"/>
    </row>
    <row r="553" spans="1:47" ht="306" x14ac:dyDescent="0.2">
      <c r="A553" s="1">
        <v>63</v>
      </c>
      <c r="B553" s="1" t="str">
        <f t="shared" si="47"/>
        <v>3075-63</v>
      </c>
      <c r="C553" s="99" t="s">
        <v>2294</v>
      </c>
      <c r="D553" s="100" t="s">
        <v>2295</v>
      </c>
      <c r="E553" s="100" t="s">
        <v>2296</v>
      </c>
      <c r="F553" s="99" t="s">
        <v>2366</v>
      </c>
      <c r="G553" s="117" t="s">
        <v>2367</v>
      </c>
      <c r="H553" s="102" t="s">
        <v>2368</v>
      </c>
      <c r="I553" s="100" t="s">
        <v>2300</v>
      </c>
      <c r="J553" s="100" t="s">
        <v>2301</v>
      </c>
      <c r="K553" s="100">
        <v>801116</v>
      </c>
      <c r="L553" s="1" t="s">
        <v>2302</v>
      </c>
      <c r="M553" s="1" t="s">
        <v>493</v>
      </c>
      <c r="N553" s="1" t="s">
        <v>494</v>
      </c>
      <c r="O553" s="100" t="s">
        <v>2369</v>
      </c>
      <c r="P553" s="100" t="s">
        <v>2508</v>
      </c>
      <c r="Q553" s="106">
        <v>3326900</v>
      </c>
      <c r="R553" s="1">
        <v>1</v>
      </c>
      <c r="S553" s="104">
        <v>19961400</v>
      </c>
      <c r="T553" s="1" t="s">
        <v>1634</v>
      </c>
      <c r="U553" s="1" t="s">
        <v>2361</v>
      </c>
      <c r="V553" s="31" t="s">
        <v>516</v>
      </c>
      <c r="W553" s="105">
        <v>6</v>
      </c>
      <c r="X553" s="1" t="s">
        <v>2509</v>
      </c>
      <c r="Y553" s="31">
        <v>43103</v>
      </c>
      <c r="Z553" s="106">
        <v>19961400</v>
      </c>
      <c r="AA553" s="107" t="s">
        <v>50</v>
      </c>
      <c r="AB553" s="20">
        <v>326</v>
      </c>
      <c r="AC553" s="31">
        <v>43110</v>
      </c>
      <c r="AD553" s="108">
        <v>19961400</v>
      </c>
      <c r="AE553" s="109">
        <f t="shared" si="48"/>
        <v>0</v>
      </c>
      <c r="AF553" s="20">
        <v>427</v>
      </c>
      <c r="AG553" s="31">
        <v>43124</v>
      </c>
      <c r="AH553" s="108">
        <v>19961400</v>
      </c>
      <c r="AI553" s="1" t="s">
        <v>2510</v>
      </c>
      <c r="AJ553" s="1">
        <v>362</v>
      </c>
      <c r="AK553" s="109">
        <f t="shared" si="49"/>
        <v>0</v>
      </c>
      <c r="AL553" s="108">
        <v>17299880</v>
      </c>
      <c r="AM553" s="108">
        <f t="shared" si="50"/>
        <v>2661520</v>
      </c>
      <c r="AN553" s="1" t="s">
        <v>2308</v>
      </c>
      <c r="AO553" s="108">
        <f t="shared" si="51"/>
        <v>0</v>
      </c>
      <c r="AP553" s="1"/>
      <c r="AQ553" s="1"/>
      <c r="AR553" s="1"/>
      <c r="AS553" s="1"/>
      <c r="AT553" s="1"/>
      <c r="AU553" s="211"/>
    </row>
    <row r="554" spans="1:47" ht="306" x14ac:dyDescent="0.2">
      <c r="A554" s="1">
        <v>64</v>
      </c>
      <c r="B554" s="1" t="str">
        <f t="shared" si="47"/>
        <v>3075-64</v>
      </c>
      <c r="C554" s="99" t="s">
        <v>2294</v>
      </c>
      <c r="D554" s="100" t="s">
        <v>2295</v>
      </c>
      <c r="E554" s="100" t="s">
        <v>2296</v>
      </c>
      <c r="F554" s="99" t="s">
        <v>2366</v>
      </c>
      <c r="G554" s="117" t="s">
        <v>2367</v>
      </c>
      <c r="H554" s="102" t="s">
        <v>2368</v>
      </c>
      <c r="I554" s="100" t="s">
        <v>2300</v>
      </c>
      <c r="J554" s="100" t="s">
        <v>2301</v>
      </c>
      <c r="K554" s="100">
        <v>801116</v>
      </c>
      <c r="L554" s="1" t="s">
        <v>2302</v>
      </c>
      <c r="M554" s="1" t="s">
        <v>493</v>
      </c>
      <c r="N554" s="1" t="s">
        <v>494</v>
      </c>
      <c r="O554" s="100" t="s">
        <v>2369</v>
      </c>
      <c r="P554" s="100" t="s">
        <v>2456</v>
      </c>
      <c r="Q554" s="106">
        <v>5253000</v>
      </c>
      <c r="R554" s="1">
        <v>1</v>
      </c>
      <c r="S554" s="104">
        <v>31518000</v>
      </c>
      <c r="T554" s="1" t="s">
        <v>1619</v>
      </c>
      <c r="U554" s="1" t="s">
        <v>2361</v>
      </c>
      <c r="V554" s="31" t="s">
        <v>516</v>
      </c>
      <c r="W554" s="105">
        <v>6</v>
      </c>
      <c r="X554" s="1" t="s">
        <v>2511</v>
      </c>
      <c r="Y554" s="31">
        <v>43103</v>
      </c>
      <c r="Z554" s="106">
        <v>31518000</v>
      </c>
      <c r="AA554" s="107" t="s">
        <v>50</v>
      </c>
      <c r="AB554" s="20">
        <v>311</v>
      </c>
      <c r="AC554" s="31">
        <v>43110</v>
      </c>
      <c r="AD554" s="108">
        <v>31518000</v>
      </c>
      <c r="AE554" s="109">
        <f t="shared" si="48"/>
        <v>0</v>
      </c>
      <c r="AF554" s="20">
        <v>454</v>
      </c>
      <c r="AG554" s="31">
        <v>43125</v>
      </c>
      <c r="AH554" s="108">
        <v>31518000</v>
      </c>
      <c r="AI554" s="1" t="s">
        <v>2512</v>
      </c>
      <c r="AJ554" s="1">
        <v>384</v>
      </c>
      <c r="AK554" s="109">
        <f t="shared" si="49"/>
        <v>0</v>
      </c>
      <c r="AL554" s="108">
        <v>27140500</v>
      </c>
      <c r="AM554" s="108">
        <f t="shared" si="50"/>
        <v>4377500</v>
      </c>
      <c r="AN554" s="1" t="s">
        <v>2308</v>
      </c>
      <c r="AO554" s="108">
        <f t="shared" si="51"/>
        <v>0</v>
      </c>
      <c r="AP554" s="1"/>
      <c r="AQ554" s="1"/>
      <c r="AR554" s="1"/>
      <c r="AS554" s="1"/>
      <c r="AT554" s="1"/>
      <c r="AU554" s="211"/>
    </row>
    <row r="555" spans="1:47" ht="409.5" x14ac:dyDescent="0.2">
      <c r="A555" s="1">
        <v>65</v>
      </c>
      <c r="B555" s="1" t="str">
        <f t="shared" ref="B555:B618" si="52">CONCATENATE("3075","-",A555)</f>
        <v>3075-65</v>
      </c>
      <c r="C555" s="99" t="s">
        <v>2294</v>
      </c>
      <c r="D555" s="100" t="s">
        <v>2295</v>
      </c>
      <c r="E555" s="100" t="s">
        <v>2296</v>
      </c>
      <c r="F555" s="99" t="s">
        <v>2366</v>
      </c>
      <c r="G555" s="117" t="s">
        <v>2367</v>
      </c>
      <c r="H555" s="102" t="s">
        <v>2368</v>
      </c>
      <c r="I555" s="100" t="s">
        <v>2300</v>
      </c>
      <c r="J555" s="100" t="s">
        <v>2301</v>
      </c>
      <c r="K555" s="100">
        <v>801116</v>
      </c>
      <c r="L555" s="1" t="s">
        <v>2302</v>
      </c>
      <c r="M555" s="1" t="s">
        <v>493</v>
      </c>
      <c r="N555" s="1" t="s">
        <v>494</v>
      </c>
      <c r="O555" s="100" t="s">
        <v>2369</v>
      </c>
      <c r="P555" s="100" t="s">
        <v>2513</v>
      </c>
      <c r="Q555" s="106">
        <v>5036700</v>
      </c>
      <c r="R555" s="1">
        <v>1</v>
      </c>
      <c r="S555" s="104">
        <v>50367000</v>
      </c>
      <c r="T555" s="1" t="s">
        <v>1619</v>
      </c>
      <c r="U555" s="1" t="s">
        <v>2361</v>
      </c>
      <c r="V555" s="31" t="s">
        <v>516</v>
      </c>
      <c r="W555" s="105">
        <v>10</v>
      </c>
      <c r="X555" s="1" t="s">
        <v>2514</v>
      </c>
      <c r="Y555" s="31">
        <v>43103</v>
      </c>
      <c r="Z555" s="106">
        <v>50367000</v>
      </c>
      <c r="AA555" s="107" t="s">
        <v>50</v>
      </c>
      <c r="AB555" s="20">
        <v>325</v>
      </c>
      <c r="AC555" s="31">
        <v>43110</v>
      </c>
      <c r="AD555" s="108">
        <v>50367000</v>
      </c>
      <c r="AE555" s="109">
        <f t="shared" ref="AE555:AE618" si="53">S555-Z555</f>
        <v>0</v>
      </c>
      <c r="AF555" s="20">
        <v>249</v>
      </c>
      <c r="AG555" s="31">
        <v>43119</v>
      </c>
      <c r="AH555" s="108">
        <v>50367000</v>
      </c>
      <c r="AI555" s="1" t="s">
        <v>2515</v>
      </c>
      <c r="AJ555" s="1">
        <v>206</v>
      </c>
      <c r="AK555" s="109">
        <f t="shared" ref="AK555:AK618" si="54">AD555-AH555</f>
        <v>0</v>
      </c>
      <c r="AL555" s="108">
        <v>27198180</v>
      </c>
      <c r="AM555" s="108">
        <f t="shared" ref="AM555:AM618" si="55">AH555-AL555</f>
        <v>23168820</v>
      </c>
      <c r="AN555" s="1" t="s">
        <v>2308</v>
      </c>
      <c r="AO555" s="108">
        <f t="shared" ref="AO555:AO618" si="56">S555-AH555</f>
        <v>0</v>
      </c>
      <c r="AP555" s="1"/>
      <c r="AQ555" s="1"/>
      <c r="AR555" s="1"/>
      <c r="AS555" s="1"/>
      <c r="AT555" s="1"/>
      <c r="AU555" s="211"/>
    </row>
    <row r="556" spans="1:47" ht="409.5" x14ac:dyDescent="0.2">
      <c r="A556" s="1">
        <v>66</v>
      </c>
      <c r="B556" s="1" t="str">
        <f t="shared" si="52"/>
        <v>3075-66</v>
      </c>
      <c r="C556" s="99" t="s">
        <v>2294</v>
      </c>
      <c r="D556" s="100" t="s">
        <v>2295</v>
      </c>
      <c r="E556" s="100" t="s">
        <v>2296</v>
      </c>
      <c r="F556" s="99" t="s">
        <v>2366</v>
      </c>
      <c r="G556" s="117" t="s">
        <v>2367</v>
      </c>
      <c r="H556" s="102" t="s">
        <v>2368</v>
      </c>
      <c r="I556" s="100" t="s">
        <v>2300</v>
      </c>
      <c r="J556" s="100" t="s">
        <v>2301</v>
      </c>
      <c r="K556" s="100">
        <v>801116</v>
      </c>
      <c r="L556" s="1" t="s">
        <v>2302</v>
      </c>
      <c r="M556" s="1" t="s">
        <v>493</v>
      </c>
      <c r="N556" s="1" t="s">
        <v>494</v>
      </c>
      <c r="O556" s="100" t="s">
        <v>2369</v>
      </c>
      <c r="P556" s="100" t="s">
        <v>2448</v>
      </c>
      <c r="Q556" s="106">
        <v>7210000</v>
      </c>
      <c r="R556" s="1">
        <v>1</v>
      </c>
      <c r="S556" s="104">
        <v>72100000</v>
      </c>
      <c r="T556" s="1" t="s">
        <v>1619</v>
      </c>
      <c r="U556" s="1" t="s">
        <v>2361</v>
      </c>
      <c r="V556" s="31" t="s">
        <v>516</v>
      </c>
      <c r="W556" s="105">
        <v>10</v>
      </c>
      <c r="X556" s="1" t="s">
        <v>2516</v>
      </c>
      <c r="Y556" s="31">
        <v>43103</v>
      </c>
      <c r="Z556" s="106">
        <v>72100000</v>
      </c>
      <c r="AA556" s="107" t="s">
        <v>50</v>
      </c>
      <c r="AB556" s="20">
        <v>339</v>
      </c>
      <c r="AC556" s="31">
        <v>43110</v>
      </c>
      <c r="AD556" s="108">
        <v>72100000</v>
      </c>
      <c r="AE556" s="109">
        <f t="shared" si="53"/>
        <v>0</v>
      </c>
      <c r="AF556" s="20">
        <v>500</v>
      </c>
      <c r="AG556" s="31">
        <v>43126</v>
      </c>
      <c r="AH556" s="108">
        <v>72100000</v>
      </c>
      <c r="AI556" s="1" t="s">
        <v>2517</v>
      </c>
      <c r="AJ556" s="1">
        <v>410</v>
      </c>
      <c r="AK556" s="109">
        <f t="shared" si="54"/>
        <v>0</v>
      </c>
      <c r="AL556" s="108">
        <v>36530667</v>
      </c>
      <c r="AM556" s="108">
        <f t="shared" si="55"/>
        <v>35569333</v>
      </c>
      <c r="AN556" s="1" t="s">
        <v>2308</v>
      </c>
      <c r="AO556" s="108">
        <f t="shared" si="56"/>
        <v>0</v>
      </c>
      <c r="AP556" s="1"/>
      <c r="AQ556" s="1"/>
      <c r="AR556" s="1"/>
      <c r="AS556" s="1"/>
      <c r="AT556" s="1"/>
      <c r="AU556" s="211"/>
    </row>
    <row r="557" spans="1:47" ht="293.25" x14ac:dyDescent="0.2">
      <c r="A557" s="1">
        <v>67</v>
      </c>
      <c r="B557" s="1" t="str">
        <f t="shared" si="52"/>
        <v>3075-67</v>
      </c>
      <c r="C557" s="99" t="s">
        <v>2294</v>
      </c>
      <c r="D557" s="100" t="s">
        <v>2295</v>
      </c>
      <c r="E557" s="100" t="s">
        <v>2296</v>
      </c>
      <c r="F557" s="99" t="s">
        <v>2366</v>
      </c>
      <c r="G557" s="117" t="s">
        <v>2367</v>
      </c>
      <c r="H557" s="102" t="s">
        <v>2368</v>
      </c>
      <c r="I557" s="100" t="s">
        <v>2300</v>
      </c>
      <c r="J557" s="100" t="s">
        <v>2301</v>
      </c>
      <c r="K557" s="100">
        <v>801116</v>
      </c>
      <c r="L557" s="1" t="s">
        <v>2302</v>
      </c>
      <c r="M557" s="1" t="s">
        <v>493</v>
      </c>
      <c r="N557" s="1" t="s">
        <v>494</v>
      </c>
      <c r="O557" s="100" t="s">
        <v>2369</v>
      </c>
      <c r="P557" s="100" t="s">
        <v>2518</v>
      </c>
      <c r="Q557" s="106">
        <v>6180000</v>
      </c>
      <c r="R557" s="1">
        <v>1</v>
      </c>
      <c r="S557" s="104">
        <v>67980000</v>
      </c>
      <c r="T557" s="1" t="s">
        <v>1619</v>
      </c>
      <c r="U557" s="1" t="s">
        <v>2361</v>
      </c>
      <c r="V557" s="31" t="s">
        <v>516</v>
      </c>
      <c r="W557" s="105">
        <v>11</v>
      </c>
      <c r="X557" s="1" t="s">
        <v>2519</v>
      </c>
      <c r="Y557" s="31">
        <v>43103</v>
      </c>
      <c r="Z557" s="106">
        <v>67980000</v>
      </c>
      <c r="AA557" s="107" t="s">
        <v>50</v>
      </c>
      <c r="AB557" s="20">
        <v>341</v>
      </c>
      <c r="AC557" s="31">
        <v>43110</v>
      </c>
      <c r="AD557" s="108">
        <v>67980000</v>
      </c>
      <c r="AE557" s="109">
        <f t="shared" si="53"/>
        <v>0</v>
      </c>
      <c r="AF557" s="20">
        <v>91</v>
      </c>
      <c r="AG557" s="31">
        <v>43116</v>
      </c>
      <c r="AH557" s="108">
        <v>67980000</v>
      </c>
      <c r="AI557" s="1" t="s">
        <v>2520</v>
      </c>
      <c r="AJ557" s="1">
        <v>80</v>
      </c>
      <c r="AK557" s="109">
        <f t="shared" si="54"/>
        <v>0</v>
      </c>
      <c r="AL557" s="108">
        <v>33784000</v>
      </c>
      <c r="AM557" s="108">
        <f t="shared" si="55"/>
        <v>34196000</v>
      </c>
      <c r="AN557" s="1" t="s">
        <v>2308</v>
      </c>
      <c r="AO557" s="108">
        <f t="shared" si="56"/>
        <v>0</v>
      </c>
      <c r="AP557" s="1"/>
      <c r="AQ557" s="1"/>
      <c r="AR557" s="1"/>
      <c r="AS557" s="1"/>
      <c r="AT557" s="1"/>
      <c r="AU557" s="211"/>
    </row>
    <row r="558" spans="1:47" ht="369.75" x14ac:dyDescent="0.2">
      <c r="A558" s="1">
        <v>68</v>
      </c>
      <c r="B558" s="1" t="str">
        <f t="shared" si="52"/>
        <v>3075-68</v>
      </c>
      <c r="C558" s="99" t="s">
        <v>2294</v>
      </c>
      <c r="D558" s="100" t="s">
        <v>2295</v>
      </c>
      <c r="E558" s="100" t="s">
        <v>2296</v>
      </c>
      <c r="F558" s="99" t="s">
        <v>2366</v>
      </c>
      <c r="G558" s="117" t="s">
        <v>2367</v>
      </c>
      <c r="H558" s="102" t="s">
        <v>2368</v>
      </c>
      <c r="I558" s="100" t="s">
        <v>2300</v>
      </c>
      <c r="J558" s="100" t="s">
        <v>2301</v>
      </c>
      <c r="K558" s="100">
        <v>801116</v>
      </c>
      <c r="L558" s="1" t="s">
        <v>2302</v>
      </c>
      <c r="M558" s="1" t="s">
        <v>493</v>
      </c>
      <c r="N558" s="1" t="s">
        <v>494</v>
      </c>
      <c r="O558" s="100" t="s">
        <v>2369</v>
      </c>
      <c r="P558" s="100" t="s">
        <v>2521</v>
      </c>
      <c r="Q558" s="106">
        <v>5036700</v>
      </c>
      <c r="R558" s="1">
        <v>1</v>
      </c>
      <c r="S558" s="104">
        <v>50367000</v>
      </c>
      <c r="T558" s="1" t="s">
        <v>1619</v>
      </c>
      <c r="U558" s="1" t="s">
        <v>2361</v>
      </c>
      <c r="V558" s="31" t="s">
        <v>516</v>
      </c>
      <c r="W558" s="105">
        <v>10</v>
      </c>
      <c r="X558" s="1" t="s">
        <v>2522</v>
      </c>
      <c r="Y558" s="31">
        <v>43103</v>
      </c>
      <c r="Z558" s="106">
        <v>50367000</v>
      </c>
      <c r="AA558" s="107" t="s">
        <v>50</v>
      </c>
      <c r="AB558" s="20">
        <v>330</v>
      </c>
      <c r="AC558" s="31">
        <v>43110</v>
      </c>
      <c r="AD558" s="108">
        <v>50367000</v>
      </c>
      <c r="AE558" s="109">
        <f t="shared" si="53"/>
        <v>0</v>
      </c>
      <c r="AF558" s="20">
        <v>89</v>
      </c>
      <c r="AG558" s="31">
        <v>43116</v>
      </c>
      <c r="AH558" s="108">
        <v>50367000</v>
      </c>
      <c r="AI558" s="1" t="s">
        <v>2523</v>
      </c>
      <c r="AJ558" s="1">
        <v>77</v>
      </c>
      <c r="AK558" s="109">
        <f t="shared" si="54"/>
        <v>0</v>
      </c>
      <c r="AL558" s="108">
        <v>27533960</v>
      </c>
      <c r="AM558" s="108">
        <f t="shared" si="55"/>
        <v>22833040</v>
      </c>
      <c r="AN558" s="1" t="s">
        <v>2308</v>
      </c>
      <c r="AO558" s="108">
        <f t="shared" si="56"/>
        <v>0</v>
      </c>
      <c r="AP558" s="1"/>
      <c r="AQ558" s="1"/>
      <c r="AR558" s="1"/>
      <c r="AS558" s="1"/>
      <c r="AT558" s="1"/>
      <c r="AU558" s="211"/>
    </row>
    <row r="559" spans="1:47" ht="267.75" x14ac:dyDescent="0.2">
      <c r="A559" s="1">
        <v>69</v>
      </c>
      <c r="B559" s="1" t="str">
        <f t="shared" si="52"/>
        <v>3075-69</v>
      </c>
      <c r="C559" s="99" t="s">
        <v>2294</v>
      </c>
      <c r="D559" s="100" t="s">
        <v>2295</v>
      </c>
      <c r="E559" s="100" t="s">
        <v>2296</v>
      </c>
      <c r="F559" s="99" t="s">
        <v>2366</v>
      </c>
      <c r="G559" s="117" t="s">
        <v>2367</v>
      </c>
      <c r="H559" s="102" t="s">
        <v>2368</v>
      </c>
      <c r="I559" s="100" t="s">
        <v>2300</v>
      </c>
      <c r="J559" s="100" t="s">
        <v>2301</v>
      </c>
      <c r="K559" s="100">
        <v>801116</v>
      </c>
      <c r="L559" s="1" t="s">
        <v>2302</v>
      </c>
      <c r="M559" s="1" t="s">
        <v>493</v>
      </c>
      <c r="N559" s="1" t="s">
        <v>494</v>
      </c>
      <c r="O559" s="100" t="s">
        <v>2369</v>
      </c>
      <c r="P559" s="100" t="s">
        <v>2524</v>
      </c>
      <c r="Q559" s="106">
        <v>3553500</v>
      </c>
      <c r="R559" s="1">
        <v>1</v>
      </c>
      <c r="S559" s="104">
        <v>35535000</v>
      </c>
      <c r="T559" s="1" t="s">
        <v>1619</v>
      </c>
      <c r="U559" s="1" t="s">
        <v>2361</v>
      </c>
      <c r="V559" s="31" t="s">
        <v>516</v>
      </c>
      <c r="W559" s="105">
        <v>10</v>
      </c>
      <c r="X559" s="1" t="s">
        <v>2525</v>
      </c>
      <c r="Y559" s="31">
        <v>43102</v>
      </c>
      <c r="Z559" s="106">
        <v>35535000</v>
      </c>
      <c r="AA559" s="107" t="s">
        <v>50</v>
      </c>
      <c r="AB559" s="20">
        <v>409</v>
      </c>
      <c r="AC559" s="31">
        <v>43110</v>
      </c>
      <c r="AD559" s="108">
        <v>33990000</v>
      </c>
      <c r="AE559" s="109">
        <f t="shared" si="53"/>
        <v>0</v>
      </c>
      <c r="AF559" s="20">
        <v>474</v>
      </c>
      <c r="AG559" s="31">
        <v>43126</v>
      </c>
      <c r="AH559" s="108">
        <v>33990000</v>
      </c>
      <c r="AI559" s="1" t="s">
        <v>2526</v>
      </c>
      <c r="AJ559" s="1">
        <v>400</v>
      </c>
      <c r="AK559" s="109">
        <f t="shared" si="54"/>
        <v>0</v>
      </c>
      <c r="AL559" s="108">
        <v>17561500</v>
      </c>
      <c r="AM559" s="108">
        <f t="shared" si="55"/>
        <v>16428500</v>
      </c>
      <c r="AN559" s="1" t="s">
        <v>2308</v>
      </c>
      <c r="AO559" s="108">
        <f t="shared" si="56"/>
        <v>1545000</v>
      </c>
      <c r="AP559" s="1"/>
      <c r="AQ559" s="1"/>
      <c r="AR559" s="1"/>
      <c r="AS559" s="1"/>
      <c r="AT559" s="1"/>
      <c r="AU559" s="211"/>
    </row>
    <row r="560" spans="1:47" ht="267.75" x14ac:dyDescent="0.2">
      <c r="A560" s="1">
        <v>70</v>
      </c>
      <c r="B560" s="1" t="str">
        <f t="shared" si="52"/>
        <v>3075-70</v>
      </c>
      <c r="C560" s="99" t="s">
        <v>2294</v>
      </c>
      <c r="D560" s="100" t="s">
        <v>2295</v>
      </c>
      <c r="E560" s="100" t="s">
        <v>2296</v>
      </c>
      <c r="F560" s="99" t="s">
        <v>2366</v>
      </c>
      <c r="G560" s="117" t="s">
        <v>2367</v>
      </c>
      <c r="H560" s="102" t="s">
        <v>2368</v>
      </c>
      <c r="I560" s="100" t="s">
        <v>2300</v>
      </c>
      <c r="J560" s="100" t="s">
        <v>2301</v>
      </c>
      <c r="K560" s="100">
        <v>801116</v>
      </c>
      <c r="L560" s="1" t="s">
        <v>2302</v>
      </c>
      <c r="M560" s="1" t="s">
        <v>493</v>
      </c>
      <c r="N560" s="1" t="s">
        <v>494</v>
      </c>
      <c r="O560" s="100" t="s">
        <v>2369</v>
      </c>
      <c r="P560" s="100" t="s">
        <v>2524</v>
      </c>
      <c r="Q560" s="106">
        <v>3399000</v>
      </c>
      <c r="R560" s="1">
        <v>2</v>
      </c>
      <c r="S560" s="104">
        <v>37389000</v>
      </c>
      <c r="T560" s="1" t="s">
        <v>1619</v>
      </c>
      <c r="U560" s="1" t="s">
        <v>2361</v>
      </c>
      <c r="V560" s="31" t="s">
        <v>516</v>
      </c>
      <c r="W560" s="105">
        <v>9.5</v>
      </c>
      <c r="X560" s="1" t="s">
        <v>2527</v>
      </c>
      <c r="Y560" s="31">
        <v>43102</v>
      </c>
      <c r="Z560" s="106">
        <v>37389000</v>
      </c>
      <c r="AA560" s="107" t="s">
        <v>50</v>
      </c>
      <c r="AB560" s="20">
        <v>345</v>
      </c>
      <c r="AC560" s="31">
        <v>43110</v>
      </c>
      <c r="AD560" s="108">
        <v>37389000</v>
      </c>
      <c r="AE560" s="109">
        <f t="shared" si="53"/>
        <v>0</v>
      </c>
      <c r="AF560" s="20">
        <v>92</v>
      </c>
      <c r="AG560" s="31">
        <v>43116</v>
      </c>
      <c r="AH560" s="108">
        <v>37389000</v>
      </c>
      <c r="AI560" s="1" t="s">
        <v>2528</v>
      </c>
      <c r="AJ560" s="1">
        <v>79</v>
      </c>
      <c r="AK560" s="109">
        <f t="shared" si="54"/>
        <v>0</v>
      </c>
      <c r="AL560" s="108">
        <v>18581200</v>
      </c>
      <c r="AM560" s="108">
        <f t="shared" si="55"/>
        <v>18807800</v>
      </c>
      <c r="AN560" s="1" t="s">
        <v>2308</v>
      </c>
      <c r="AO560" s="108">
        <f t="shared" si="56"/>
        <v>0</v>
      </c>
      <c r="AP560" s="1"/>
      <c r="AQ560" s="1"/>
      <c r="AR560" s="1"/>
      <c r="AS560" s="1"/>
      <c r="AT560" s="1"/>
      <c r="AU560" s="211"/>
    </row>
    <row r="561" spans="1:47" ht="293.25" x14ac:dyDescent="0.2">
      <c r="A561" s="1">
        <v>71</v>
      </c>
      <c r="B561" s="1" t="str">
        <f t="shared" si="52"/>
        <v>3075-71</v>
      </c>
      <c r="C561" s="99" t="s">
        <v>2294</v>
      </c>
      <c r="D561" s="100" t="s">
        <v>2295</v>
      </c>
      <c r="E561" s="100" t="s">
        <v>2296</v>
      </c>
      <c r="F561" s="99" t="s">
        <v>2366</v>
      </c>
      <c r="G561" s="117" t="s">
        <v>2367</v>
      </c>
      <c r="H561" s="102" t="s">
        <v>2368</v>
      </c>
      <c r="I561" s="100" t="s">
        <v>2300</v>
      </c>
      <c r="J561" s="100" t="s">
        <v>2301</v>
      </c>
      <c r="K561" s="100">
        <v>801116</v>
      </c>
      <c r="L561" s="1" t="s">
        <v>2302</v>
      </c>
      <c r="M561" s="1" t="s">
        <v>493</v>
      </c>
      <c r="N561" s="1" t="s">
        <v>494</v>
      </c>
      <c r="O561" s="100" t="s">
        <v>2369</v>
      </c>
      <c r="P561" s="100" t="s">
        <v>2529</v>
      </c>
      <c r="Q561" s="106">
        <v>3038500</v>
      </c>
      <c r="R561" s="1">
        <v>2</v>
      </c>
      <c r="S561" s="104">
        <v>0</v>
      </c>
      <c r="T561" s="1"/>
      <c r="U561" s="1" t="s">
        <v>2361</v>
      </c>
      <c r="V561" s="31"/>
      <c r="W561" s="105">
        <v>9</v>
      </c>
      <c r="X561" s="1"/>
      <c r="Y561" s="31"/>
      <c r="Z561" s="106"/>
      <c r="AA561" s="107"/>
      <c r="AB561" s="20"/>
      <c r="AC561" s="31"/>
      <c r="AD561" s="108"/>
      <c r="AE561" s="109">
        <f t="shared" si="53"/>
        <v>0</v>
      </c>
      <c r="AF561" s="20"/>
      <c r="AG561" s="31"/>
      <c r="AH561" s="108"/>
      <c r="AI561" s="1"/>
      <c r="AJ561" s="1"/>
      <c r="AK561" s="109">
        <f t="shared" si="54"/>
        <v>0</v>
      </c>
      <c r="AL561" s="108"/>
      <c r="AM561" s="108">
        <f t="shared" si="55"/>
        <v>0</v>
      </c>
      <c r="AN561" s="1" t="s">
        <v>2308</v>
      </c>
      <c r="AO561" s="108">
        <f t="shared" si="56"/>
        <v>0</v>
      </c>
      <c r="AP561" s="1"/>
      <c r="AQ561" s="1"/>
      <c r="AR561" s="1"/>
      <c r="AS561" s="1"/>
      <c r="AT561" s="1"/>
      <c r="AU561" s="211"/>
    </row>
    <row r="562" spans="1:47" ht="318.75" x14ac:dyDescent="0.2">
      <c r="A562" s="1">
        <v>72</v>
      </c>
      <c r="B562" s="1" t="str">
        <f t="shared" si="52"/>
        <v>3075-72</v>
      </c>
      <c r="C562" s="99" t="s">
        <v>2294</v>
      </c>
      <c r="D562" s="100" t="s">
        <v>2295</v>
      </c>
      <c r="E562" s="100" t="s">
        <v>2296</v>
      </c>
      <c r="F562" s="99" t="s">
        <v>2366</v>
      </c>
      <c r="G562" s="117" t="s">
        <v>2367</v>
      </c>
      <c r="H562" s="102" t="s">
        <v>2368</v>
      </c>
      <c r="I562" s="100" t="s">
        <v>2300</v>
      </c>
      <c r="J562" s="100" t="s">
        <v>2301</v>
      </c>
      <c r="K562" s="100">
        <v>801116</v>
      </c>
      <c r="L562" s="1" t="s">
        <v>2302</v>
      </c>
      <c r="M562" s="1" t="s">
        <v>493</v>
      </c>
      <c r="N562" s="1" t="s">
        <v>494</v>
      </c>
      <c r="O562" s="100" t="s">
        <v>2369</v>
      </c>
      <c r="P562" s="100" t="s">
        <v>2530</v>
      </c>
      <c r="Q562" s="106">
        <v>7210000</v>
      </c>
      <c r="R562" s="1">
        <v>1</v>
      </c>
      <c r="S562" s="104">
        <v>72100000</v>
      </c>
      <c r="T562" s="1" t="s">
        <v>1619</v>
      </c>
      <c r="U562" s="1" t="s">
        <v>2361</v>
      </c>
      <c r="V562" s="31" t="s">
        <v>516</v>
      </c>
      <c r="W562" s="105">
        <v>10</v>
      </c>
      <c r="X562" s="1" t="s">
        <v>2531</v>
      </c>
      <c r="Y562" s="31">
        <v>43103</v>
      </c>
      <c r="Z562" s="106">
        <v>72100000</v>
      </c>
      <c r="AA562" s="107" t="s">
        <v>50</v>
      </c>
      <c r="AB562" s="20">
        <v>348</v>
      </c>
      <c r="AC562" s="31">
        <v>43110</v>
      </c>
      <c r="AD562" s="108">
        <v>72100000</v>
      </c>
      <c r="AE562" s="109">
        <f t="shared" si="53"/>
        <v>0</v>
      </c>
      <c r="AF562" s="20">
        <v>162</v>
      </c>
      <c r="AG562" s="31">
        <v>43118</v>
      </c>
      <c r="AH562" s="108">
        <v>72100000</v>
      </c>
      <c r="AI562" s="1" t="s">
        <v>2532</v>
      </c>
      <c r="AJ562" s="1">
        <v>123</v>
      </c>
      <c r="AK562" s="109">
        <f t="shared" si="54"/>
        <v>0</v>
      </c>
      <c r="AL562" s="108">
        <v>39174333</v>
      </c>
      <c r="AM562" s="108">
        <f t="shared" si="55"/>
        <v>32925667</v>
      </c>
      <c r="AN562" s="1" t="s">
        <v>2308</v>
      </c>
      <c r="AO562" s="108">
        <f t="shared" si="56"/>
        <v>0</v>
      </c>
      <c r="AP562" s="1"/>
      <c r="AQ562" s="1"/>
      <c r="AR562" s="1"/>
      <c r="AS562" s="1"/>
      <c r="AT562" s="1"/>
      <c r="AU562" s="211"/>
    </row>
    <row r="563" spans="1:47" ht="318.75" x14ac:dyDescent="0.2">
      <c r="A563" s="1">
        <v>73</v>
      </c>
      <c r="B563" s="1" t="str">
        <f t="shared" si="52"/>
        <v>3075-73</v>
      </c>
      <c r="C563" s="99" t="s">
        <v>2294</v>
      </c>
      <c r="D563" s="100" t="s">
        <v>2295</v>
      </c>
      <c r="E563" s="100" t="s">
        <v>2296</v>
      </c>
      <c r="F563" s="99" t="s">
        <v>2366</v>
      </c>
      <c r="G563" s="117" t="s">
        <v>2367</v>
      </c>
      <c r="H563" s="102" t="s">
        <v>2368</v>
      </c>
      <c r="I563" s="100" t="s">
        <v>2300</v>
      </c>
      <c r="J563" s="100" t="s">
        <v>2301</v>
      </c>
      <c r="K563" s="100">
        <v>801116</v>
      </c>
      <c r="L563" s="1" t="s">
        <v>2302</v>
      </c>
      <c r="M563" s="1" t="s">
        <v>493</v>
      </c>
      <c r="N563" s="1" t="s">
        <v>494</v>
      </c>
      <c r="O563" s="100" t="s">
        <v>2369</v>
      </c>
      <c r="P563" s="100" t="s">
        <v>2530</v>
      </c>
      <c r="Q563" s="106">
        <v>6695000</v>
      </c>
      <c r="R563" s="1">
        <v>1</v>
      </c>
      <c r="S563" s="104">
        <v>66950000</v>
      </c>
      <c r="T563" s="1" t="s">
        <v>1619</v>
      </c>
      <c r="U563" s="1" t="s">
        <v>2361</v>
      </c>
      <c r="V563" s="31" t="s">
        <v>516</v>
      </c>
      <c r="W563" s="105">
        <v>10</v>
      </c>
      <c r="X563" s="1" t="s">
        <v>2533</v>
      </c>
      <c r="Y563" s="31">
        <v>43103</v>
      </c>
      <c r="Z563" s="106">
        <v>66950000</v>
      </c>
      <c r="AA563" s="107" t="s">
        <v>50</v>
      </c>
      <c r="AB563" s="20">
        <v>332</v>
      </c>
      <c r="AC563" s="31">
        <v>43110</v>
      </c>
      <c r="AD563" s="108">
        <v>66950000</v>
      </c>
      <c r="AE563" s="109">
        <f t="shared" si="53"/>
        <v>0</v>
      </c>
      <c r="AF563" s="20">
        <v>289</v>
      </c>
      <c r="AG563" s="31">
        <v>43122</v>
      </c>
      <c r="AH563" s="108">
        <v>66950000</v>
      </c>
      <c r="AI563" s="1" t="s">
        <v>2534</v>
      </c>
      <c r="AJ563" s="1">
        <v>258</v>
      </c>
      <c r="AK563" s="109">
        <f t="shared" si="54"/>
        <v>0</v>
      </c>
      <c r="AL563" s="108">
        <v>35260333</v>
      </c>
      <c r="AM563" s="108">
        <f t="shared" si="55"/>
        <v>31689667</v>
      </c>
      <c r="AN563" s="1" t="s">
        <v>2308</v>
      </c>
      <c r="AO563" s="108">
        <f t="shared" si="56"/>
        <v>0</v>
      </c>
      <c r="AP563" s="1"/>
      <c r="AQ563" s="1"/>
      <c r="AR563" s="1"/>
      <c r="AS563" s="1"/>
      <c r="AT563" s="1"/>
      <c r="AU563" s="211"/>
    </row>
    <row r="564" spans="1:47" ht="280.5" x14ac:dyDescent="0.2">
      <c r="A564" s="1">
        <v>74</v>
      </c>
      <c r="B564" s="1" t="str">
        <f t="shared" si="52"/>
        <v>3075-74</v>
      </c>
      <c r="C564" s="99" t="s">
        <v>2294</v>
      </c>
      <c r="D564" s="100" t="s">
        <v>2295</v>
      </c>
      <c r="E564" s="100" t="s">
        <v>2296</v>
      </c>
      <c r="F564" s="99" t="s">
        <v>2366</v>
      </c>
      <c r="G564" s="117" t="s">
        <v>2367</v>
      </c>
      <c r="H564" s="102" t="s">
        <v>2368</v>
      </c>
      <c r="I564" s="100" t="s">
        <v>2300</v>
      </c>
      <c r="J564" s="100" t="s">
        <v>2301</v>
      </c>
      <c r="K564" s="100">
        <v>801116</v>
      </c>
      <c r="L564" s="1" t="s">
        <v>2302</v>
      </c>
      <c r="M564" s="1" t="s">
        <v>493</v>
      </c>
      <c r="N564" s="1" t="s">
        <v>494</v>
      </c>
      <c r="O564" s="100" t="s">
        <v>2369</v>
      </c>
      <c r="P564" s="100" t="s">
        <v>2535</v>
      </c>
      <c r="Q564" s="106">
        <v>3553500</v>
      </c>
      <c r="R564" s="1">
        <v>1</v>
      </c>
      <c r="S564" s="104">
        <v>28428000</v>
      </c>
      <c r="T564" s="1" t="s">
        <v>1619</v>
      </c>
      <c r="U564" s="1" t="s">
        <v>2361</v>
      </c>
      <c r="V564" s="31" t="s">
        <v>516</v>
      </c>
      <c r="W564" s="105">
        <v>8</v>
      </c>
      <c r="X564" s="1" t="s">
        <v>2536</v>
      </c>
      <c r="Y564" s="31">
        <v>43102</v>
      </c>
      <c r="Z564" s="106">
        <v>28428000</v>
      </c>
      <c r="AA564" s="107" t="s">
        <v>50</v>
      </c>
      <c r="AB564" s="20">
        <v>217</v>
      </c>
      <c r="AC564" s="31">
        <v>43105</v>
      </c>
      <c r="AD564" s="108">
        <v>28428000</v>
      </c>
      <c r="AE564" s="109">
        <f t="shared" si="53"/>
        <v>0</v>
      </c>
      <c r="AF564" s="20">
        <v>421</v>
      </c>
      <c r="AG564" s="31">
        <v>43124</v>
      </c>
      <c r="AH564" s="108">
        <v>28428000</v>
      </c>
      <c r="AI564" s="1" t="s">
        <v>2537</v>
      </c>
      <c r="AJ564" s="1">
        <v>370</v>
      </c>
      <c r="AK564" s="109">
        <f t="shared" si="54"/>
        <v>0</v>
      </c>
      <c r="AL564" s="108">
        <v>18478200</v>
      </c>
      <c r="AM564" s="108">
        <f t="shared" si="55"/>
        <v>9949800</v>
      </c>
      <c r="AN564" s="1" t="s">
        <v>2308</v>
      </c>
      <c r="AO564" s="108">
        <f t="shared" si="56"/>
        <v>0</v>
      </c>
      <c r="AP564" s="1"/>
      <c r="AQ564" s="1"/>
      <c r="AR564" s="1"/>
      <c r="AS564" s="1"/>
      <c r="AT564" s="1"/>
      <c r="AU564" s="211"/>
    </row>
    <row r="565" spans="1:47" ht="255" x14ac:dyDescent="0.2">
      <c r="A565" s="1">
        <v>75</v>
      </c>
      <c r="B565" s="1" t="str">
        <f t="shared" si="52"/>
        <v>3075-75</v>
      </c>
      <c r="C565" s="99" t="s">
        <v>2294</v>
      </c>
      <c r="D565" s="100" t="s">
        <v>2295</v>
      </c>
      <c r="E565" s="100" t="s">
        <v>2296</v>
      </c>
      <c r="F565" s="99" t="s">
        <v>2366</v>
      </c>
      <c r="G565" s="117" t="s">
        <v>2367</v>
      </c>
      <c r="H565" s="102" t="s">
        <v>2368</v>
      </c>
      <c r="I565" s="100" t="s">
        <v>2300</v>
      </c>
      <c r="J565" s="100" t="s">
        <v>2301</v>
      </c>
      <c r="K565" s="100">
        <v>801116</v>
      </c>
      <c r="L565" s="1" t="s">
        <v>2302</v>
      </c>
      <c r="M565" s="1" t="s">
        <v>493</v>
      </c>
      <c r="N565" s="1" t="s">
        <v>494</v>
      </c>
      <c r="O565" s="100" t="s">
        <v>2369</v>
      </c>
      <c r="P565" s="100" t="s">
        <v>2538</v>
      </c>
      <c r="Q565" s="106">
        <v>3553500</v>
      </c>
      <c r="R565" s="1">
        <v>4</v>
      </c>
      <c r="S565" s="104">
        <v>17767500</v>
      </c>
      <c r="T565" s="1" t="s">
        <v>1619</v>
      </c>
      <c r="U565" s="1" t="s">
        <v>2361</v>
      </c>
      <c r="V565" s="31" t="s">
        <v>516</v>
      </c>
      <c r="W565" s="105">
        <v>9.5</v>
      </c>
      <c r="X565" s="1" t="s">
        <v>2539</v>
      </c>
      <c r="Y565" s="31">
        <v>43111</v>
      </c>
      <c r="Z565" s="106">
        <v>17767500</v>
      </c>
      <c r="AA565" s="107" t="s">
        <v>2540</v>
      </c>
      <c r="AB565" s="20">
        <v>445</v>
      </c>
      <c r="AC565" s="31">
        <v>43111</v>
      </c>
      <c r="AD565" s="108">
        <v>17767500</v>
      </c>
      <c r="AE565" s="109">
        <f t="shared" si="53"/>
        <v>0</v>
      </c>
      <c r="AF565" s="20">
        <v>400</v>
      </c>
      <c r="AG565" s="31">
        <v>43124</v>
      </c>
      <c r="AH565" s="108">
        <v>17767500</v>
      </c>
      <c r="AI565" s="1" t="s">
        <v>2541</v>
      </c>
      <c r="AJ565" s="1">
        <v>321</v>
      </c>
      <c r="AK565" s="109">
        <f t="shared" si="54"/>
        <v>0</v>
      </c>
      <c r="AL565" s="108">
        <v>17767500</v>
      </c>
      <c r="AM565" s="108">
        <f t="shared" si="55"/>
        <v>0</v>
      </c>
      <c r="AN565" s="1" t="s">
        <v>2308</v>
      </c>
      <c r="AO565" s="108">
        <f t="shared" si="56"/>
        <v>0</v>
      </c>
      <c r="AP565" s="1"/>
      <c r="AQ565" s="1"/>
      <c r="AR565" s="1"/>
      <c r="AS565" s="1"/>
      <c r="AT565" s="1"/>
      <c r="AU565" s="211"/>
    </row>
    <row r="566" spans="1:47" ht="306" x14ac:dyDescent="0.2">
      <c r="A566" s="1">
        <v>76</v>
      </c>
      <c r="B566" s="1" t="str">
        <f t="shared" si="52"/>
        <v>3075-76</v>
      </c>
      <c r="C566" s="99" t="s">
        <v>2294</v>
      </c>
      <c r="D566" s="100" t="s">
        <v>2295</v>
      </c>
      <c r="E566" s="100" t="s">
        <v>2296</v>
      </c>
      <c r="F566" s="99" t="s">
        <v>2366</v>
      </c>
      <c r="G566" s="117" t="s">
        <v>2367</v>
      </c>
      <c r="H566" s="102" t="s">
        <v>2368</v>
      </c>
      <c r="I566" s="100" t="s">
        <v>2300</v>
      </c>
      <c r="J566" s="100" t="s">
        <v>2301</v>
      </c>
      <c r="K566" s="100">
        <v>801116</v>
      </c>
      <c r="L566" s="1" t="s">
        <v>2302</v>
      </c>
      <c r="M566" s="1" t="s">
        <v>493</v>
      </c>
      <c r="N566" s="1" t="s">
        <v>494</v>
      </c>
      <c r="O566" s="100" t="s">
        <v>2369</v>
      </c>
      <c r="P566" s="100" t="s">
        <v>2456</v>
      </c>
      <c r="Q566" s="106">
        <v>4532000</v>
      </c>
      <c r="R566" s="1">
        <v>1</v>
      </c>
      <c r="S566" s="104">
        <v>49852000</v>
      </c>
      <c r="T566" s="1" t="s">
        <v>1619</v>
      </c>
      <c r="U566" s="1" t="s">
        <v>2361</v>
      </c>
      <c r="V566" s="31" t="s">
        <v>516</v>
      </c>
      <c r="W566" s="105">
        <v>11</v>
      </c>
      <c r="X566" s="1" t="s">
        <v>2542</v>
      </c>
      <c r="Y566" s="31">
        <v>43103</v>
      </c>
      <c r="Z566" s="106">
        <v>49852000</v>
      </c>
      <c r="AA566" s="107" t="s">
        <v>50</v>
      </c>
      <c r="AB566" s="20">
        <v>337</v>
      </c>
      <c r="AC566" s="31">
        <v>43110</v>
      </c>
      <c r="AD566" s="108">
        <v>49852000</v>
      </c>
      <c r="AE566" s="109">
        <f t="shared" si="53"/>
        <v>0</v>
      </c>
      <c r="AF566" s="20">
        <v>35</v>
      </c>
      <c r="AG566" s="31">
        <v>43116</v>
      </c>
      <c r="AH566" s="108">
        <v>49852000</v>
      </c>
      <c r="AI566" s="1" t="s">
        <v>2543</v>
      </c>
      <c r="AJ566" s="1">
        <v>34</v>
      </c>
      <c r="AK566" s="109">
        <f t="shared" si="54"/>
        <v>0</v>
      </c>
      <c r="AL566" s="108">
        <v>24926000</v>
      </c>
      <c r="AM566" s="108">
        <f t="shared" si="55"/>
        <v>24926000</v>
      </c>
      <c r="AN566" s="1" t="s">
        <v>2308</v>
      </c>
      <c r="AO566" s="108">
        <f t="shared" si="56"/>
        <v>0</v>
      </c>
      <c r="AP566" s="1"/>
      <c r="AQ566" s="1"/>
      <c r="AR566" s="1"/>
      <c r="AS566" s="1"/>
      <c r="AT566" s="1"/>
      <c r="AU566" s="211"/>
    </row>
    <row r="567" spans="1:47" ht="369.75" x14ac:dyDescent="0.2">
      <c r="A567" s="1">
        <v>77</v>
      </c>
      <c r="B567" s="1" t="str">
        <f t="shared" si="52"/>
        <v>3075-77</v>
      </c>
      <c r="C567" s="99" t="s">
        <v>2294</v>
      </c>
      <c r="D567" s="100" t="s">
        <v>2295</v>
      </c>
      <c r="E567" s="100" t="s">
        <v>2296</v>
      </c>
      <c r="F567" s="99" t="s">
        <v>2366</v>
      </c>
      <c r="G567" s="117" t="s">
        <v>2367</v>
      </c>
      <c r="H567" s="102" t="s">
        <v>2368</v>
      </c>
      <c r="I567" s="100" t="s">
        <v>2300</v>
      </c>
      <c r="J567" s="100" t="s">
        <v>2301</v>
      </c>
      <c r="K567" s="100">
        <v>801116</v>
      </c>
      <c r="L567" s="1" t="s">
        <v>2302</v>
      </c>
      <c r="M567" s="1" t="s">
        <v>493</v>
      </c>
      <c r="N567" s="1" t="s">
        <v>494</v>
      </c>
      <c r="O567" s="100" t="s">
        <v>2369</v>
      </c>
      <c r="P567" s="100" t="s">
        <v>2521</v>
      </c>
      <c r="Q567" s="106">
        <v>4532000</v>
      </c>
      <c r="R567" s="1">
        <v>1</v>
      </c>
      <c r="S567" s="104">
        <v>45320000</v>
      </c>
      <c r="T567" s="1" t="s">
        <v>1619</v>
      </c>
      <c r="U567" s="1" t="s">
        <v>2361</v>
      </c>
      <c r="V567" s="31" t="s">
        <v>516</v>
      </c>
      <c r="W567" s="105">
        <v>10</v>
      </c>
      <c r="X567" s="1" t="s">
        <v>2544</v>
      </c>
      <c r="Y567" s="31">
        <v>43103</v>
      </c>
      <c r="Z567" s="106">
        <v>45320000</v>
      </c>
      <c r="AA567" s="107" t="s">
        <v>50</v>
      </c>
      <c r="AB567" s="20">
        <v>310</v>
      </c>
      <c r="AC567" s="31">
        <v>43110</v>
      </c>
      <c r="AD567" s="108">
        <v>45320000</v>
      </c>
      <c r="AE567" s="109">
        <f t="shared" si="53"/>
        <v>0</v>
      </c>
      <c r="AF567" s="20">
        <v>205</v>
      </c>
      <c r="AG567" s="31">
        <v>43118</v>
      </c>
      <c r="AH567" s="108">
        <v>45320000</v>
      </c>
      <c r="AI567" s="1" t="s">
        <v>2545</v>
      </c>
      <c r="AJ567" s="1">
        <v>163</v>
      </c>
      <c r="AK567" s="109">
        <f t="shared" si="54"/>
        <v>0</v>
      </c>
      <c r="AL567" s="108">
        <v>24472800</v>
      </c>
      <c r="AM567" s="108">
        <f t="shared" si="55"/>
        <v>20847200</v>
      </c>
      <c r="AN567" s="1" t="s">
        <v>2308</v>
      </c>
      <c r="AO567" s="108">
        <f t="shared" si="56"/>
        <v>0</v>
      </c>
      <c r="AP567" s="1"/>
      <c r="AQ567" s="1"/>
      <c r="AR567" s="1"/>
      <c r="AS567" s="1"/>
      <c r="AT567" s="1"/>
      <c r="AU567" s="211"/>
    </row>
    <row r="568" spans="1:47" ht="255" x14ac:dyDescent="0.2">
      <c r="A568" s="1">
        <v>78</v>
      </c>
      <c r="B568" s="1" t="str">
        <f t="shared" si="52"/>
        <v>3075-78</v>
      </c>
      <c r="C568" s="99" t="s">
        <v>2294</v>
      </c>
      <c r="D568" s="100" t="s">
        <v>2295</v>
      </c>
      <c r="E568" s="100" t="s">
        <v>2296</v>
      </c>
      <c r="F568" s="99" t="s">
        <v>2366</v>
      </c>
      <c r="G568" s="117" t="s">
        <v>2367</v>
      </c>
      <c r="H568" s="102" t="s">
        <v>2368</v>
      </c>
      <c r="I568" s="100" t="s">
        <v>2300</v>
      </c>
      <c r="J568" s="100" t="s">
        <v>2301</v>
      </c>
      <c r="K568" s="100">
        <v>801116</v>
      </c>
      <c r="L568" s="1" t="s">
        <v>2302</v>
      </c>
      <c r="M568" s="1" t="s">
        <v>493</v>
      </c>
      <c r="N568" s="1" t="s">
        <v>494</v>
      </c>
      <c r="O568" s="100" t="s">
        <v>2369</v>
      </c>
      <c r="P568" s="100" t="s">
        <v>2441</v>
      </c>
      <c r="Q568" s="106">
        <v>5036700</v>
      </c>
      <c r="R568" s="1">
        <v>1</v>
      </c>
      <c r="S568" s="104">
        <v>45330300</v>
      </c>
      <c r="T568" s="1" t="s">
        <v>1619</v>
      </c>
      <c r="U568" s="1" t="s">
        <v>2361</v>
      </c>
      <c r="V568" s="31" t="s">
        <v>516</v>
      </c>
      <c r="W568" s="105">
        <v>9</v>
      </c>
      <c r="X568" s="1" t="s">
        <v>2546</v>
      </c>
      <c r="Y568" s="31">
        <v>43103</v>
      </c>
      <c r="Z568" s="106">
        <v>45330300</v>
      </c>
      <c r="AA568" s="107" t="s">
        <v>50</v>
      </c>
      <c r="AB568" s="20">
        <v>328</v>
      </c>
      <c r="AC568" s="31">
        <v>43110</v>
      </c>
      <c r="AD568" s="108">
        <v>45330300</v>
      </c>
      <c r="AE568" s="109">
        <f t="shared" si="53"/>
        <v>0</v>
      </c>
      <c r="AF568" s="20">
        <v>227</v>
      </c>
      <c r="AG568" s="31">
        <v>43118</v>
      </c>
      <c r="AH568" s="108">
        <v>45330300</v>
      </c>
      <c r="AI568" s="1" t="s">
        <v>2547</v>
      </c>
      <c r="AJ568" s="1">
        <v>194</v>
      </c>
      <c r="AK568" s="109">
        <f t="shared" si="54"/>
        <v>0</v>
      </c>
      <c r="AL568" s="108">
        <v>27198180</v>
      </c>
      <c r="AM568" s="108">
        <f t="shared" si="55"/>
        <v>18132120</v>
      </c>
      <c r="AN568" s="1" t="s">
        <v>2308</v>
      </c>
      <c r="AO568" s="108">
        <f t="shared" si="56"/>
        <v>0</v>
      </c>
      <c r="AP568" s="1"/>
      <c r="AQ568" s="1"/>
      <c r="AR568" s="1"/>
      <c r="AS568" s="1"/>
      <c r="AT568" s="1"/>
      <c r="AU568" s="211"/>
    </row>
    <row r="569" spans="1:47" ht="306" x14ac:dyDescent="0.2">
      <c r="A569" s="1">
        <v>79</v>
      </c>
      <c r="B569" s="1" t="str">
        <f t="shared" si="52"/>
        <v>3075-79</v>
      </c>
      <c r="C569" s="99" t="s">
        <v>2294</v>
      </c>
      <c r="D569" s="100" t="s">
        <v>2295</v>
      </c>
      <c r="E569" s="100" t="s">
        <v>2296</v>
      </c>
      <c r="F569" s="99" t="s">
        <v>2366</v>
      </c>
      <c r="G569" s="117" t="s">
        <v>2367</v>
      </c>
      <c r="H569" s="102" t="s">
        <v>2368</v>
      </c>
      <c r="I569" s="100" t="s">
        <v>2300</v>
      </c>
      <c r="J569" s="100" t="s">
        <v>2301</v>
      </c>
      <c r="K569" s="100">
        <v>801116</v>
      </c>
      <c r="L569" s="1" t="s">
        <v>2302</v>
      </c>
      <c r="M569" s="1" t="s">
        <v>493</v>
      </c>
      <c r="N569" s="1" t="s">
        <v>494</v>
      </c>
      <c r="O569" s="100" t="s">
        <v>2369</v>
      </c>
      <c r="P569" s="100" t="s">
        <v>2548</v>
      </c>
      <c r="Q569" s="106">
        <v>5253000</v>
      </c>
      <c r="R569" s="1">
        <v>1</v>
      </c>
      <c r="S569" s="104">
        <v>36771000</v>
      </c>
      <c r="T569" s="1" t="s">
        <v>1619</v>
      </c>
      <c r="U569" s="1" t="s">
        <v>2361</v>
      </c>
      <c r="V569" s="31" t="s">
        <v>516</v>
      </c>
      <c r="W569" s="105">
        <v>7</v>
      </c>
      <c r="X569" s="1" t="s">
        <v>2549</v>
      </c>
      <c r="Y569" s="31">
        <v>43103</v>
      </c>
      <c r="Z569" s="106">
        <v>36771000</v>
      </c>
      <c r="AA569" s="107" t="s">
        <v>50</v>
      </c>
      <c r="AB569" s="20">
        <v>343</v>
      </c>
      <c r="AC569" s="31">
        <v>43110</v>
      </c>
      <c r="AD569" s="108">
        <v>36771000</v>
      </c>
      <c r="AE569" s="109">
        <f t="shared" si="53"/>
        <v>0</v>
      </c>
      <c r="AF569" s="20">
        <v>303</v>
      </c>
      <c r="AG569" s="31">
        <v>43122</v>
      </c>
      <c r="AH569" s="108">
        <v>36771000</v>
      </c>
      <c r="AI569" s="1" t="s">
        <v>2550</v>
      </c>
      <c r="AJ569" s="1">
        <v>269</v>
      </c>
      <c r="AK569" s="109">
        <f t="shared" si="54"/>
        <v>0</v>
      </c>
      <c r="AL569" s="108">
        <v>27665800</v>
      </c>
      <c r="AM569" s="108">
        <f t="shared" si="55"/>
        <v>9105200</v>
      </c>
      <c r="AN569" s="1" t="s">
        <v>2308</v>
      </c>
      <c r="AO569" s="108">
        <f t="shared" si="56"/>
        <v>0</v>
      </c>
      <c r="AP569" s="1"/>
      <c r="AQ569" s="1"/>
      <c r="AR569" s="1"/>
      <c r="AS569" s="1"/>
      <c r="AT569" s="1"/>
      <c r="AU569" s="211"/>
    </row>
    <row r="570" spans="1:47" ht="255" x14ac:dyDescent="0.2">
      <c r="A570" s="1">
        <v>80</v>
      </c>
      <c r="B570" s="1" t="str">
        <f t="shared" si="52"/>
        <v>3075-80</v>
      </c>
      <c r="C570" s="99" t="s">
        <v>2294</v>
      </c>
      <c r="D570" s="100" t="s">
        <v>2295</v>
      </c>
      <c r="E570" s="100" t="s">
        <v>2459</v>
      </c>
      <c r="F570" s="99" t="s">
        <v>2366</v>
      </c>
      <c r="G570" s="117" t="s">
        <v>2367</v>
      </c>
      <c r="H570" s="102" t="s">
        <v>2368</v>
      </c>
      <c r="I570" s="100" t="s">
        <v>2300</v>
      </c>
      <c r="J570" s="100" t="s">
        <v>2301</v>
      </c>
      <c r="K570" s="100">
        <v>801116</v>
      </c>
      <c r="L570" s="1" t="s">
        <v>2302</v>
      </c>
      <c r="M570" s="1" t="s">
        <v>493</v>
      </c>
      <c r="N570" s="1" t="s">
        <v>494</v>
      </c>
      <c r="O570" s="100" t="s">
        <v>2369</v>
      </c>
      <c r="P570" s="100" t="s">
        <v>2441</v>
      </c>
      <c r="Q570" s="106">
        <v>5253000</v>
      </c>
      <c r="R570" s="1">
        <v>1</v>
      </c>
      <c r="S570" s="104">
        <v>57783000</v>
      </c>
      <c r="T570" s="1" t="s">
        <v>1619</v>
      </c>
      <c r="U570" s="1" t="s">
        <v>2361</v>
      </c>
      <c r="V570" s="31" t="s">
        <v>516</v>
      </c>
      <c r="W570" s="105">
        <v>11</v>
      </c>
      <c r="X570" s="1" t="s">
        <v>2551</v>
      </c>
      <c r="Y570" s="31">
        <v>43103</v>
      </c>
      <c r="Z570" s="106">
        <v>57783000</v>
      </c>
      <c r="AA570" s="107" t="s">
        <v>50</v>
      </c>
      <c r="AB570" s="20">
        <v>335</v>
      </c>
      <c r="AC570" s="31">
        <v>43110</v>
      </c>
      <c r="AD570" s="108">
        <v>57783000</v>
      </c>
      <c r="AE570" s="109">
        <f t="shared" si="53"/>
        <v>0</v>
      </c>
      <c r="AF570" s="20">
        <v>187</v>
      </c>
      <c r="AG570" s="31">
        <v>43118</v>
      </c>
      <c r="AH570" s="108">
        <v>57783000</v>
      </c>
      <c r="AI570" s="1" t="s">
        <v>2552</v>
      </c>
      <c r="AJ570" s="1">
        <v>156</v>
      </c>
      <c r="AK570" s="109">
        <f t="shared" si="54"/>
        <v>0</v>
      </c>
      <c r="AL570" s="108">
        <v>28541300</v>
      </c>
      <c r="AM570" s="108">
        <f t="shared" si="55"/>
        <v>29241700</v>
      </c>
      <c r="AN570" s="1" t="s">
        <v>2308</v>
      </c>
      <c r="AO570" s="108">
        <f t="shared" si="56"/>
        <v>0</v>
      </c>
      <c r="AP570" s="1"/>
      <c r="AQ570" s="1"/>
      <c r="AR570" s="1"/>
      <c r="AS570" s="1"/>
      <c r="AT570" s="1"/>
      <c r="AU570" s="211"/>
    </row>
    <row r="571" spans="1:47" ht="409.5" x14ac:dyDescent="0.2">
      <c r="A571" s="1">
        <v>81</v>
      </c>
      <c r="B571" s="1" t="str">
        <f t="shared" si="52"/>
        <v>3075-81</v>
      </c>
      <c r="C571" s="99" t="s">
        <v>2294</v>
      </c>
      <c r="D571" s="100" t="s">
        <v>2295</v>
      </c>
      <c r="E571" s="100" t="s">
        <v>2296</v>
      </c>
      <c r="F571" s="99" t="s">
        <v>2366</v>
      </c>
      <c r="G571" s="117" t="s">
        <v>2367</v>
      </c>
      <c r="H571" s="102" t="s">
        <v>2368</v>
      </c>
      <c r="I571" s="100" t="s">
        <v>2300</v>
      </c>
      <c r="J571" s="100" t="s">
        <v>2301</v>
      </c>
      <c r="K571" s="100">
        <v>801116</v>
      </c>
      <c r="L571" s="1" t="s">
        <v>2302</v>
      </c>
      <c r="M571" s="1" t="s">
        <v>493</v>
      </c>
      <c r="N571" s="1" t="s">
        <v>494</v>
      </c>
      <c r="O571" s="100" t="s">
        <v>2369</v>
      </c>
      <c r="P571" s="100" t="s">
        <v>2553</v>
      </c>
      <c r="Q571" s="106">
        <v>6180000</v>
      </c>
      <c r="R571" s="1">
        <v>1</v>
      </c>
      <c r="S571" s="104">
        <v>61800000</v>
      </c>
      <c r="T571" s="1" t="s">
        <v>1619</v>
      </c>
      <c r="U571" s="1" t="s">
        <v>2361</v>
      </c>
      <c r="V571" s="31" t="s">
        <v>516</v>
      </c>
      <c r="W571" s="105">
        <v>10</v>
      </c>
      <c r="X571" s="1" t="s">
        <v>2554</v>
      </c>
      <c r="Y571" s="31">
        <v>43103</v>
      </c>
      <c r="Z571" s="106">
        <v>61800000</v>
      </c>
      <c r="AA571" s="107" t="s">
        <v>50</v>
      </c>
      <c r="AB571" s="20">
        <v>327</v>
      </c>
      <c r="AC571" s="31">
        <v>43110</v>
      </c>
      <c r="AD571" s="108">
        <v>61800000</v>
      </c>
      <c r="AE571" s="109">
        <f t="shared" si="53"/>
        <v>0</v>
      </c>
      <c r="AF571" s="20">
        <v>369</v>
      </c>
      <c r="AG571" s="31">
        <v>43124</v>
      </c>
      <c r="AH571" s="108">
        <v>61800000</v>
      </c>
      <c r="AI571" s="1" t="s">
        <v>2555</v>
      </c>
      <c r="AJ571" s="1">
        <v>324</v>
      </c>
      <c r="AK571" s="109">
        <f t="shared" si="54"/>
        <v>0</v>
      </c>
      <c r="AL571" s="108">
        <v>32342000</v>
      </c>
      <c r="AM571" s="108">
        <f t="shared" si="55"/>
        <v>29458000</v>
      </c>
      <c r="AN571" s="1" t="s">
        <v>2308</v>
      </c>
      <c r="AO571" s="108">
        <f t="shared" si="56"/>
        <v>0</v>
      </c>
      <c r="AP571" s="1"/>
      <c r="AQ571" s="1"/>
      <c r="AR571" s="1"/>
      <c r="AS571" s="1"/>
      <c r="AT571" s="1"/>
      <c r="AU571" s="211"/>
    </row>
    <row r="572" spans="1:47" ht="344.25" x14ac:dyDescent="0.2">
      <c r="A572" s="1">
        <v>82</v>
      </c>
      <c r="B572" s="1" t="str">
        <f t="shared" si="52"/>
        <v>3075-82</v>
      </c>
      <c r="C572" s="99" t="s">
        <v>2294</v>
      </c>
      <c r="D572" s="100" t="s">
        <v>2295</v>
      </c>
      <c r="E572" s="100" t="s">
        <v>2296</v>
      </c>
      <c r="F572" s="99" t="s">
        <v>2366</v>
      </c>
      <c r="G572" s="117" t="s">
        <v>2367</v>
      </c>
      <c r="H572" s="102" t="s">
        <v>2368</v>
      </c>
      <c r="I572" s="100" t="s">
        <v>2300</v>
      </c>
      <c r="J572" s="100" t="s">
        <v>2301</v>
      </c>
      <c r="K572" s="100">
        <v>801116</v>
      </c>
      <c r="L572" s="1" t="s">
        <v>2302</v>
      </c>
      <c r="M572" s="1" t="s">
        <v>493</v>
      </c>
      <c r="N572" s="1" t="s">
        <v>494</v>
      </c>
      <c r="O572" s="100" t="s">
        <v>2369</v>
      </c>
      <c r="P572" s="100" t="s">
        <v>2556</v>
      </c>
      <c r="Q572" s="106">
        <v>6180000</v>
      </c>
      <c r="R572" s="1">
        <v>1</v>
      </c>
      <c r="S572" s="104">
        <v>61800000</v>
      </c>
      <c r="T572" s="1" t="s">
        <v>1619</v>
      </c>
      <c r="U572" s="1" t="s">
        <v>2361</v>
      </c>
      <c r="V572" s="31" t="s">
        <v>516</v>
      </c>
      <c r="W572" s="105">
        <v>10</v>
      </c>
      <c r="X572" s="1" t="s">
        <v>2557</v>
      </c>
      <c r="Y572" s="31">
        <v>43103</v>
      </c>
      <c r="Z572" s="106">
        <v>61800000</v>
      </c>
      <c r="AA572" s="107" t="s">
        <v>50</v>
      </c>
      <c r="AB572" s="20">
        <v>312</v>
      </c>
      <c r="AC572" s="31">
        <v>43110</v>
      </c>
      <c r="AD572" s="108">
        <v>61800000</v>
      </c>
      <c r="AE572" s="109">
        <f t="shared" si="53"/>
        <v>0</v>
      </c>
      <c r="AF572" s="20">
        <v>295</v>
      </c>
      <c r="AG572" s="31">
        <v>43122</v>
      </c>
      <c r="AH572" s="108">
        <v>61800000</v>
      </c>
      <c r="AI572" s="1" t="s">
        <v>2558</v>
      </c>
      <c r="AJ572" s="1">
        <v>263</v>
      </c>
      <c r="AK572" s="109">
        <f t="shared" si="54"/>
        <v>0</v>
      </c>
      <c r="AL572" s="108">
        <v>32754000</v>
      </c>
      <c r="AM572" s="108">
        <f t="shared" si="55"/>
        <v>29046000</v>
      </c>
      <c r="AN572" s="1" t="s">
        <v>2308</v>
      </c>
      <c r="AO572" s="108">
        <f t="shared" si="56"/>
        <v>0</v>
      </c>
      <c r="AP572" s="1"/>
      <c r="AQ572" s="1"/>
      <c r="AR572" s="1"/>
      <c r="AS572" s="1"/>
      <c r="AT572" s="1"/>
      <c r="AU572" s="211"/>
    </row>
    <row r="573" spans="1:47" ht="409.5" x14ac:dyDescent="0.2">
      <c r="A573" s="1">
        <v>83</v>
      </c>
      <c r="B573" s="1" t="str">
        <f t="shared" si="52"/>
        <v>3075-83</v>
      </c>
      <c r="C573" s="99" t="s">
        <v>2294</v>
      </c>
      <c r="D573" s="100" t="s">
        <v>2295</v>
      </c>
      <c r="E573" s="100" t="s">
        <v>2296</v>
      </c>
      <c r="F573" s="99" t="s">
        <v>2366</v>
      </c>
      <c r="G573" s="117" t="s">
        <v>2367</v>
      </c>
      <c r="H573" s="102" t="s">
        <v>2368</v>
      </c>
      <c r="I573" s="100" t="s">
        <v>2300</v>
      </c>
      <c r="J573" s="100" t="s">
        <v>2301</v>
      </c>
      <c r="K573" s="100">
        <v>801116</v>
      </c>
      <c r="L573" s="1" t="s">
        <v>2302</v>
      </c>
      <c r="M573" s="1" t="s">
        <v>493</v>
      </c>
      <c r="N573" s="1" t="s">
        <v>494</v>
      </c>
      <c r="O573" s="100" t="s">
        <v>2369</v>
      </c>
      <c r="P573" s="100" t="s">
        <v>2559</v>
      </c>
      <c r="Q573" s="106">
        <v>6180000</v>
      </c>
      <c r="R573" s="1">
        <v>1</v>
      </c>
      <c r="S573" s="104">
        <v>67980000</v>
      </c>
      <c r="T573" s="1" t="s">
        <v>1619</v>
      </c>
      <c r="U573" s="1" t="s">
        <v>2361</v>
      </c>
      <c r="V573" s="31" t="s">
        <v>516</v>
      </c>
      <c r="W573" s="105">
        <v>11</v>
      </c>
      <c r="X573" s="1" t="s">
        <v>2560</v>
      </c>
      <c r="Y573" s="31">
        <v>43103</v>
      </c>
      <c r="Z573" s="106">
        <v>67980000</v>
      </c>
      <c r="AA573" s="107" t="s">
        <v>50</v>
      </c>
      <c r="AB573" s="20">
        <v>357</v>
      </c>
      <c r="AC573" s="31">
        <v>43110</v>
      </c>
      <c r="AD573" s="108">
        <v>67980000</v>
      </c>
      <c r="AE573" s="109">
        <f t="shared" si="53"/>
        <v>0</v>
      </c>
      <c r="AF573" s="20">
        <v>87</v>
      </c>
      <c r="AG573" s="31">
        <v>43116</v>
      </c>
      <c r="AH573" s="108">
        <v>67980000</v>
      </c>
      <c r="AI573" s="1" t="s">
        <v>2561</v>
      </c>
      <c r="AJ573" s="1">
        <v>75</v>
      </c>
      <c r="AK573" s="109">
        <f t="shared" si="54"/>
        <v>0</v>
      </c>
      <c r="AL573" s="108">
        <v>33784000</v>
      </c>
      <c r="AM573" s="108">
        <f t="shared" si="55"/>
        <v>34196000</v>
      </c>
      <c r="AN573" s="1" t="s">
        <v>2308</v>
      </c>
      <c r="AO573" s="108">
        <f t="shared" si="56"/>
        <v>0</v>
      </c>
      <c r="AP573" s="1"/>
      <c r="AQ573" s="1"/>
      <c r="AR573" s="1"/>
      <c r="AS573" s="1"/>
      <c r="AT573" s="1"/>
      <c r="AU573" s="211"/>
    </row>
    <row r="574" spans="1:47" ht="280.5" x14ac:dyDescent="0.2">
      <c r="A574" s="1">
        <v>84</v>
      </c>
      <c r="B574" s="1" t="str">
        <f t="shared" si="52"/>
        <v>3075-84</v>
      </c>
      <c r="C574" s="99" t="s">
        <v>2294</v>
      </c>
      <c r="D574" s="100" t="s">
        <v>2295</v>
      </c>
      <c r="E574" s="100" t="s">
        <v>2296</v>
      </c>
      <c r="F574" s="99" t="s">
        <v>2366</v>
      </c>
      <c r="G574" s="117" t="s">
        <v>2367</v>
      </c>
      <c r="H574" s="102" t="s">
        <v>2368</v>
      </c>
      <c r="I574" s="100" t="s">
        <v>2300</v>
      </c>
      <c r="J574" s="100" t="s">
        <v>2301</v>
      </c>
      <c r="K574" s="100">
        <v>801116</v>
      </c>
      <c r="L574" s="1" t="s">
        <v>2302</v>
      </c>
      <c r="M574" s="1" t="s">
        <v>493</v>
      </c>
      <c r="N574" s="1" t="s">
        <v>494</v>
      </c>
      <c r="O574" s="100" t="s">
        <v>2369</v>
      </c>
      <c r="P574" s="100" t="s">
        <v>2463</v>
      </c>
      <c r="Q574" s="106">
        <v>8240000</v>
      </c>
      <c r="R574" s="1">
        <v>1</v>
      </c>
      <c r="S574" s="104">
        <v>90640000</v>
      </c>
      <c r="T574" s="1" t="s">
        <v>1619</v>
      </c>
      <c r="U574" s="1" t="s">
        <v>2361</v>
      </c>
      <c r="V574" s="31" t="s">
        <v>516</v>
      </c>
      <c r="W574" s="105">
        <v>11</v>
      </c>
      <c r="X574" s="1" t="s">
        <v>2562</v>
      </c>
      <c r="Y574" s="31">
        <v>43103</v>
      </c>
      <c r="Z574" s="106">
        <v>90640000</v>
      </c>
      <c r="AA574" s="107" t="s">
        <v>50</v>
      </c>
      <c r="AB574" s="20">
        <v>236</v>
      </c>
      <c r="AC574" s="31">
        <v>43105</v>
      </c>
      <c r="AD574" s="108">
        <v>90640000</v>
      </c>
      <c r="AE574" s="109">
        <f t="shared" si="53"/>
        <v>0</v>
      </c>
      <c r="AF574" s="20">
        <v>130</v>
      </c>
      <c r="AG574" s="31">
        <v>43117</v>
      </c>
      <c r="AH574" s="108">
        <v>90640000</v>
      </c>
      <c r="AI574" s="1" t="s">
        <v>2563</v>
      </c>
      <c r="AJ574" s="1">
        <v>121</v>
      </c>
      <c r="AK574" s="109">
        <f t="shared" si="54"/>
        <v>0</v>
      </c>
      <c r="AL574" s="108">
        <v>44770667</v>
      </c>
      <c r="AM574" s="108">
        <f t="shared" si="55"/>
        <v>45869333</v>
      </c>
      <c r="AN574" s="1" t="s">
        <v>2308</v>
      </c>
      <c r="AO574" s="108">
        <f t="shared" si="56"/>
        <v>0</v>
      </c>
      <c r="AP574" s="1"/>
      <c r="AQ574" s="1"/>
      <c r="AR574" s="1"/>
      <c r="AS574" s="1"/>
      <c r="AT574" s="1"/>
      <c r="AU574" s="211"/>
    </row>
    <row r="575" spans="1:47" ht="280.5" x14ac:dyDescent="0.2">
      <c r="A575" s="1">
        <v>85</v>
      </c>
      <c r="B575" s="1" t="str">
        <f t="shared" si="52"/>
        <v>3075-85</v>
      </c>
      <c r="C575" s="99" t="s">
        <v>2294</v>
      </c>
      <c r="D575" s="100" t="s">
        <v>2295</v>
      </c>
      <c r="E575" s="100" t="s">
        <v>2296</v>
      </c>
      <c r="F575" s="99" t="s">
        <v>2366</v>
      </c>
      <c r="G575" s="117" t="s">
        <v>2367</v>
      </c>
      <c r="H575" s="102" t="s">
        <v>2368</v>
      </c>
      <c r="I575" s="100" t="s">
        <v>2300</v>
      </c>
      <c r="J575" s="100" t="s">
        <v>2301</v>
      </c>
      <c r="K575" s="100">
        <v>801116</v>
      </c>
      <c r="L575" s="1" t="s">
        <v>2302</v>
      </c>
      <c r="M575" s="1" t="s">
        <v>493</v>
      </c>
      <c r="N575" s="1" t="s">
        <v>494</v>
      </c>
      <c r="O575" s="100" t="s">
        <v>2369</v>
      </c>
      <c r="P575" s="100" t="s">
        <v>2395</v>
      </c>
      <c r="Q575" s="106">
        <v>5665000</v>
      </c>
      <c r="R575" s="1">
        <v>1</v>
      </c>
      <c r="S575" s="104">
        <v>50985000</v>
      </c>
      <c r="T575" s="1" t="s">
        <v>1619</v>
      </c>
      <c r="U575" s="1" t="s">
        <v>2361</v>
      </c>
      <c r="V575" s="31" t="s">
        <v>516</v>
      </c>
      <c r="W575" s="105">
        <v>9</v>
      </c>
      <c r="X575" s="1" t="s">
        <v>2564</v>
      </c>
      <c r="Y575" s="31">
        <v>43103</v>
      </c>
      <c r="Z575" s="106">
        <v>50985000</v>
      </c>
      <c r="AA575" s="107" t="s">
        <v>50</v>
      </c>
      <c r="AB575" s="20">
        <v>331</v>
      </c>
      <c r="AC575" s="31">
        <v>43110</v>
      </c>
      <c r="AD575" s="108">
        <v>50985000</v>
      </c>
      <c r="AE575" s="109">
        <f t="shared" si="53"/>
        <v>0</v>
      </c>
      <c r="AF575" s="20">
        <v>210</v>
      </c>
      <c r="AG575" s="31">
        <v>43118</v>
      </c>
      <c r="AH575" s="108">
        <v>50985000</v>
      </c>
      <c r="AI575" s="1" t="s">
        <v>2565</v>
      </c>
      <c r="AJ575" s="1">
        <v>170</v>
      </c>
      <c r="AK575" s="109">
        <f t="shared" si="54"/>
        <v>0</v>
      </c>
      <c r="AL575" s="108">
        <v>30591000</v>
      </c>
      <c r="AM575" s="108">
        <f t="shared" si="55"/>
        <v>20394000</v>
      </c>
      <c r="AN575" s="1" t="s">
        <v>2308</v>
      </c>
      <c r="AO575" s="108">
        <f t="shared" si="56"/>
        <v>0</v>
      </c>
      <c r="AP575" s="1"/>
      <c r="AQ575" s="1"/>
      <c r="AR575" s="1"/>
      <c r="AS575" s="1"/>
      <c r="AT575" s="1"/>
      <c r="AU575" s="211"/>
    </row>
    <row r="576" spans="1:47" ht="369.75" x14ac:dyDescent="0.2">
      <c r="A576" s="1">
        <v>86</v>
      </c>
      <c r="B576" s="1" t="str">
        <f t="shared" si="52"/>
        <v>3075-86</v>
      </c>
      <c r="C576" s="99" t="s">
        <v>2294</v>
      </c>
      <c r="D576" s="100" t="s">
        <v>2295</v>
      </c>
      <c r="E576" s="100" t="s">
        <v>2296</v>
      </c>
      <c r="F576" s="99" t="s">
        <v>2366</v>
      </c>
      <c r="G576" s="117" t="s">
        <v>2367</v>
      </c>
      <c r="H576" s="102" t="s">
        <v>2368</v>
      </c>
      <c r="I576" s="100" t="s">
        <v>2300</v>
      </c>
      <c r="J576" s="100" t="s">
        <v>2301</v>
      </c>
      <c r="K576" s="100">
        <v>801116</v>
      </c>
      <c r="L576" s="1" t="s">
        <v>2302</v>
      </c>
      <c r="M576" s="1" t="s">
        <v>493</v>
      </c>
      <c r="N576" s="1" t="s">
        <v>494</v>
      </c>
      <c r="O576" s="100" t="s">
        <v>2369</v>
      </c>
      <c r="P576" s="100" t="s">
        <v>2566</v>
      </c>
      <c r="Q576" s="106">
        <v>5665000</v>
      </c>
      <c r="R576" s="1">
        <v>1</v>
      </c>
      <c r="S576" s="104">
        <v>56650000</v>
      </c>
      <c r="T576" s="1" t="s">
        <v>1619</v>
      </c>
      <c r="U576" s="1" t="s">
        <v>2361</v>
      </c>
      <c r="V576" s="31" t="s">
        <v>516</v>
      </c>
      <c r="W576" s="105">
        <v>10</v>
      </c>
      <c r="X576" s="1" t="s">
        <v>2567</v>
      </c>
      <c r="Y576" s="31">
        <v>43103</v>
      </c>
      <c r="Z576" s="106">
        <v>56650000</v>
      </c>
      <c r="AA576" s="107" t="s">
        <v>50</v>
      </c>
      <c r="AB576" s="20">
        <v>353</v>
      </c>
      <c r="AC576" s="31">
        <v>43110</v>
      </c>
      <c r="AD576" s="108">
        <v>56650000</v>
      </c>
      <c r="AE576" s="109">
        <f t="shared" si="53"/>
        <v>0</v>
      </c>
      <c r="AF576" s="20">
        <v>396</v>
      </c>
      <c r="AG576" s="31">
        <v>43124</v>
      </c>
      <c r="AH576" s="108">
        <v>56650000</v>
      </c>
      <c r="AI576" s="1" t="s">
        <v>2568</v>
      </c>
      <c r="AJ576" s="1">
        <v>317</v>
      </c>
      <c r="AK576" s="109">
        <f t="shared" si="54"/>
        <v>0</v>
      </c>
      <c r="AL576" s="108">
        <v>29646833</v>
      </c>
      <c r="AM576" s="108">
        <f t="shared" si="55"/>
        <v>27003167</v>
      </c>
      <c r="AN576" s="1" t="s">
        <v>2308</v>
      </c>
      <c r="AO576" s="108">
        <f t="shared" si="56"/>
        <v>0</v>
      </c>
      <c r="AP576" s="1"/>
      <c r="AQ576" s="1"/>
      <c r="AR576" s="1"/>
      <c r="AS576" s="1"/>
      <c r="AT576" s="1"/>
      <c r="AU576" s="211"/>
    </row>
    <row r="577" spans="1:47" ht="409.5" x14ac:dyDescent="0.2">
      <c r="A577" s="1">
        <v>87</v>
      </c>
      <c r="B577" s="1" t="str">
        <f t="shared" si="52"/>
        <v>3075-87</v>
      </c>
      <c r="C577" s="99" t="s">
        <v>2294</v>
      </c>
      <c r="D577" s="100" t="s">
        <v>2295</v>
      </c>
      <c r="E577" s="100" t="s">
        <v>2296</v>
      </c>
      <c r="F577" s="99" t="s">
        <v>2366</v>
      </c>
      <c r="G577" s="117" t="s">
        <v>2367</v>
      </c>
      <c r="H577" s="102" t="s">
        <v>2368</v>
      </c>
      <c r="I577" s="100" t="s">
        <v>2300</v>
      </c>
      <c r="J577" s="100" t="s">
        <v>2301</v>
      </c>
      <c r="K577" s="100">
        <v>801116</v>
      </c>
      <c r="L577" s="1" t="s">
        <v>2302</v>
      </c>
      <c r="M577" s="1" t="s">
        <v>493</v>
      </c>
      <c r="N577" s="1" t="s">
        <v>494</v>
      </c>
      <c r="O577" s="100" t="s">
        <v>2369</v>
      </c>
      <c r="P577" s="100" t="s">
        <v>2569</v>
      </c>
      <c r="Q577" s="106">
        <v>888375</v>
      </c>
      <c r="R577" s="1">
        <v>1</v>
      </c>
      <c r="S577" s="104">
        <v>10216313</v>
      </c>
      <c r="T577" s="1" t="s">
        <v>1619</v>
      </c>
      <c r="U577" s="1" t="s">
        <v>2361</v>
      </c>
      <c r="V577" s="31" t="s">
        <v>516</v>
      </c>
      <c r="W577" s="105">
        <v>11.5</v>
      </c>
      <c r="X577" s="1" t="s">
        <v>2570</v>
      </c>
      <c r="Y577" s="31">
        <v>43109</v>
      </c>
      <c r="Z577" s="106">
        <v>10216313</v>
      </c>
      <c r="AA577" s="107" t="s">
        <v>50</v>
      </c>
      <c r="AB577" s="20">
        <v>472</v>
      </c>
      <c r="AC577" s="31">
        <v>43112</v>
      </c>
      <c r="AD577" s="108">
        <v>9772125</v>
      </c>
      <c r="AE577" s="109">
        <f t="shared" si="53"/>
        <v>0</v>
      </c>
      <c r="AF577" s="20">
        <v>294</v>
      </c>
      <c r="AG577" s="31">
        <v>43122</v>
      </c>
      <c r="AH577" s="108">
        <v>9772125</v>
      </c>
      <c r="AI577" s="1" t="s">
        <v>612</v>
      </c>
      <c r="AJ577" s="1">
        <v>261</v>
      </c>
      <c r="AK577" s="109">
        <f t="shared" si="54"/>
        <v>0</v>
      </c>
      <c r="AL577" s="108">
        <v>4708387</v>
      </c>
      <c r="AM577" s="108">
        <f t="shared" si="55"/>
        <v>5063738</v>
      </c>
      <c r="AN577" s="1" t="s">
        <v>2308</v>
      </c>
      <c r="AO577" s="108">
        <f t="shared" si="56"/>
        <v>444188</v>
      </c>
      <c r="AP577" s="1"/>
      <c r="AQ577" s="1"/>
      <c r="AR577" s="1"/>
      <c r="AS577" s="1"/>
      <c r="AT577" s="1"/>
      <c r="AU577" s="211"/>
    </row>
    <row r="578" spans="1:47" ht="318.75" x14ac:dyDescent="0.2">
      <c r="A578" s="1">
        <v>88</v>
      </c>
      <c r="B578" s="1" t="str">
        <f t="shared" si="52"/>
        <v>3075-88</v>
      </c>
      <c r="C578" s="99" t="s">
        <v>2294</v>
      </c>
      <c r="D578" s="100" t="s">
        <v>2295</v>
      </c>
      <c r="E578" s="100" t="s">
        <v>2296</v>
      </c>
      <c r="F578" s="99" t="s">
        <v>2366</v>
      </c>
      <c r="G578" s="117" t="s">
        <v>2367</v>
      </c>
      <c r="H578" s="102" t="s">
        <v>2368</v>
      </c>
      <c r="I578" s="100" t="s">
        <v>2300</v>
      </c>
      <c r="J578" s="100" t="s">
        <v>2301</v>
      </c>
      <c r="K578" s="100">
        <v>801116</v>
      </c>
      <c r="L578" s="1" t="s">
        <v>2302</v>
      </c>
      <c r="M578" s="1" t="s">
        <v>493</v>
      </c>
      <c r="N578" s="1" t="s">
        <v>494</v>
      </c>
      <c r="O578" s="100" t="s">
        <v>2369</v>
      </c>
      <c r="P578" s="100" t="s">
        <v>2571</v>
      </c>
      <c r="Q578" s="106">
        <v>1030000</v>
      </c>
      <c r="R578" s="1">
        <v>1</v>
      </c>
      <c r="S578" s="104">
        <v>11845000</v>
      </c>
      <c r="T578" s="1" t="s">
        <v>1619</v>
      </c>
      <c r="U578" s="1" t="s">
        <v>2361</v>
      </c>
      <c r="V578" s="31" t="s">
        <v>516</v>
      </c>
      <c r="W578" s="105">
        <v>11.5</v>
      </c>
      <c r="X578" s="1" t="s">
        <v>2572</v>
      </c>
      <c r="Y578" s="31">
        <v>43110</v>
      </c>
      <c r="Z578" s="106">
        <v>11845000</v>
      </c>
      <c r="AA578" s="107" t="s">
        <v>50</v>
      </c>
      <c r="AB578" s="20">
        <v>471</v>
      </c>
      <c r="AC578" s="31">
        <v>43112</v>
      </c>
      <c r="AD578" s="108">
        <v>11330000</v>
      </c>
      <c r="AE578" s="109">
        <f t="shared" si="53"/>
        <v>0</v>
      </c>
      <c r="AF578" s="20">
        <v>373</v>
      </c>
      <c r="AG578" s="31">
        <v>43124</v>
      </c>
      <c r="AH578" s="108">
        <v>11330000</v>
      </c>
      <c r="AI578" s="1" t="s">
        <v>608</v>
      </c>
      <c r="AJ578" s="1">
        <v>304</v>
      </c>
      <c r="AK578" s="109">
        <f t="shared" si="54"/>
        <v>0</v>
      </c>
      <c r="AL578" s="108">
        <v>5390333</v>
      </c>
      <c r="AM578" s="108">
        <f t="shared" si="55"/>
        <v>5939667</v>
      </c>
      <c r="AN578" s="1" t="s">
        <v>2308</v>
      </c>
      <c r="AO578" s="108">
        <f t="shared" si="56"/>
        <v>515000</v>
      </c>
      <c r="AP578" s="1"/>
      <c r="AQ578" s="1"/>
      <c r="AR578" s="1"/>
      <c r="AS578" s="1"/>
      <c r="AT578" s="1"/>
      <c r="AU578" s="211"/>
    </row>
    <row r="579" spans="1:47" ht="369.75" x14ac:dyDescent="0.2">
      <c r="A579" s="1">
        <v>89</v>
      </c>
      <c r="B579" s="1" t="str">
        <f t="shared" si="52"/>
        <v>3075-89</v>
      </c>
      <c r="C579" s="99" t="s">
        <v>2294</v>
      </c>
      <c r="D579" s="100" t="s">
        <v>2295</v>
      </c>
      <c r="E579" s="100" t="s">
        <v>2296</v>
      </c>
      <c r="F579" s="99" t="s">
        <v>2366</v>
      </c>
      <c r="G579" s="117" t="s">
        <v>2367</v>
      </c>
      <c r="H579" s="102" t="s">
        <v>2368</v>
      </c>
      <c r="I579" s="100" t="s">
        <v>2300</v>
      </c>
      <c r="J579" s="100" t="s">
        <v>2301</v>
      </c>
      <c r="K579" s="100">
        <v>801116</v>
      </c>
      <c r="L579" s="1" t="s">
        <v>2302</v>
      </c>
      <c r="M579" s="1" t="s">
        <v>493</v>
      </c>
      <c r="N579" s="1" t="s">
        <v>494</v>
      </c>
      <c r="O579" s="100" t="s">
        <v>2369</v>
      </c>
      <c r="P579" s="100" t="s">
        <v>2573</v>
      </c>
      <c r="Q579" s="121">
        <v>1259175</v>
      </c>
      <c r="R579" s="1">
        <v>1</v>
      </c>
      <c r="S579" s="104">
        <v>14480513</v>
      </c>
      <c r="T579" s="1" t="s">
        <v>1619</v>
      </c>
      <c r="U579" s="1" t="s">
        <v>2361</v>
      </c>
      <c r="V579" s="31" t="s">
        <v>516</v>
      </c>
      <c r="W579" s="105">
        <v>11.5</v>
      </c>
      <c r="X579" s="1" t="s">
        <v>2574</v>
      </c>
      <c r="Y579" s="31">
        <v>43110</v>
      </c>
      <c r="Z579" s="106">
        <v>14480513</v>
      </c>
      <c r="AA579" s="107" t="s">
        <v>50</v>
      </c>
      <c r="AB579" s="20">
        <v>447</v>
      </c>
      <c r="AC579" s="31">
        <v>43111</v>
      </c>
      <c r="AD579" s="108">
        <v>13850925</v>
      </c>
      <c r="AE579" s="109">
        <f t="shared" si="53"/>
        <v>0</v>
      </c>
      <c r="AF579" s="20">
        <v>176</v>
      </c>
      <c r="AG579" s="31">
        <v>43118</v>
      </c>
      <c r="AH579" s="108">
        <v>13850925</v>
      </c>
      <c r="AI579" s="1" t="s">
        <v>605</v>
      </c>
      <c r="AJ579" s="1">
        <v>160</v>
      </c>
      <c r="AK579" s="109">
        <f t="shared" si="54"/>
        <v>0</v>
      </c>
      <c r="AL579" s="108">
        <v>6841517</v>
      </c>
      <c r="AM579" s="108">
        <f t="shared" si="55"/>
        <v>7009408</v>
      </c>
      <c r="AN579" s="1" t="s">
        <v>2308</v>
      </c>
      <c r="AO579" s="108">
        <f t="shared" si="56"/>
        <v>629588</v>
      </c>
      <c r="AP579" s="1"/>
      <c r="AQ579" s="1"/>
      <c r="AR579" s="1"/>
      <c r="AS579" s="1"/>
      <c r="AT579" s="1"/>
      <c r="AU579" s="211"/>
    </row>
    <row r="580" spans="1:47" ht="255" x14ac:dyDescent="0.2">
      <c r="A580" s="1">
        <v>90</v>
      </c>
      <c r="B580" s="1" t="str">
        <f t="shared" si="52"/>
        <v>3075-90</v>
      </c>
      <c r="C580" s="99" t="s">
        <v>2294</v>
      </c>
      <c r="D580" s="100" t="s">
        <v>2295</v>
      </c>
      <c r="E580" s="100" t="s">
        <v>2296</v>
      </c>
      <c r="F580" s="99" t="s">
        <v>2366</v>
      </c>
      <c r="G580" s="117" t="s">
        <v>2367</v>
      </c>
      <c r="H580" s="102" t="s">
        <v>2368</v>
      </c>
      <c r="I580" s="100" t="s">
        <v>2300</v>
      </c>
      <c r="J580" s="100" t="s">
        <v>2301</v>
      </c>
      <c r="K580" s="100">
        <v>801116</v>
      </c>
      <c r="L580" s="1" t="s">
        <v>2302</v>
      </c>
      <c r="M580" s="1" t="s">
        <v>493</v>
      </c>
      <c r="N580" s="1" t="s">
        <v>494</v>
      </c>
      <c r="O580" s="100" t="s">
        <v>2369</v>
      </c>
      <c r="P580" s="100" t="s">
        <v>2575</v>
      </c>
      <c r="Q580" s="106">
        <v>1751000</v>
      </c>
      <c r="R580" s="1">
        <v>1</v>
      </c>
      <c r="S580" s="104">
        <v>19261000</v>
      </c>
      <c r="T580" s="1" t="s">
        <v>1634</v>
      </c>
      <c r="U580" s="1" t="s">
        <v>2361</v>
      </c>
      <c r="V580" s="31" t="s">
        <v>516</v>
      </c>
      <c r="W580" s="105">
        <v>11.257999999999999</v>
      </c>
      <c r="X580" s="1" t="s">
        <v>2576</v>
      </c>
      <c r="Y580" s="31">
        <v>43109</v>
      </c>
      <c r="Z580" s="106">
        <v>19261000</v>
      </c>
      <c r="AA580" s="107" t="s">
        <v>50</v>
      </c>
      <c r="AB580" s="20">
        <v>457</v>
      </c>
      <c r="AC580" s="31">
        <v>43111</v>
      </c>
      <c r="AD580" s="108">
        <v>19261000</v>
      </c>
      <c r="AE580" s="109">
        <f t="shared" si="53"/>
        <v>0</v>
      </c>
      <c r="AF580" s="20">
        <v>209</v>
      </c>
      <c r="AG580" s="31">
        <v>43118</v>
      </c>
      <c r="AH580" s="108">
        <v>19261000</v>
      </c>
      <c r="AI580" s="1" t="s">
        <v>2577</v>
      </c>
      <c r="AJ580" s="1">
        <v>169</v>
      </c>
      <c r="AK580" s="109">
        <f t="shared" si="54"/>
        <v>0</v>
      </c>
      <c r="AL580" s="108">
        <v>9455400</v>
      </c>
      <c r="AM580" s="108">
        <f t="shared" si="55"/>
        <v>9805600</v>
      </c>
      <c r="AN580" s="1" t="s">
        <v>2308</v>
      </c>
      <c r="AO580" s="108">
        <f t="shared" si="56"/>
        <v>0</v>
      </c>
      <c r="AP580" s="1"/>
      <c r="AQ580" s="1"/>
      <c r="AR580" s="1"/>
      <c r="AS580" s="1"/>
      <c r="AT580" s="1"/>
      <c r="AU580" s="211"/>
    </row>
    <row r="581" spans="1:47" ht="357" x14ac:dyDescent="0.2">
      <c r="A581" s="1">
        <v>91</v>
      </c>
      <c r="B581" s="1" t="str">
        <f t="shared" si="52"/>
        <v>3075-91</v>
      </c>
      <c r="C581" s="99" t="s">
        <v>2294</v>
      </c>
      <c r="D581" s="100" t="s">
        <v>2295</v>
      </c>
      <c r="E581" s="100" t="s">
        <v>2578</v>
      </c>
      <c r="F581" s="99" t="s">
        <v>2328</v>
      </c>
      <c r="G581" s="117" t="s">
        <v>2329</v>
      </c>
      <c r="H581" s="102" t="s">
        <v>2579</v>
      </c>
      <c r="I581" s="100" t="s">
        <v>2300</v>
      </c>
      <c r="J581" s="100" t="s">
        <v>2301</v>
      </c>
      <c r="K581" s="100" t="s">
        <v>50</v>
      </c>
      <c r="L581" s="1" t="s">
        <v>2302</v>
      </c>
      <c r="M581" s="1" t="s">
        <v>493</v>
      </c>
      <c r="N581" s="1" t="s">
        <v>494</v>
      </c>
      <c r="O581" s="100" t="s">
        <v>2369</v>
      </c>
      <c r="P581" s="1" t="s">
        <v>2580</v>
      </c>
      <c r="Q581" s="106">
        <v>57510750</v>
      </c>
      <c r="R581" s="122">
        <v>1.2463756775907113E-3</v>
      </c>
      <c r="S581" s="104">
        <v>71680</v>
      </c>
      <c r="T581" s="1"/>
      <c r="U581" s="1" t="s">
        <v>2323</v>
      </c>
      <c r="V581" s="31" t="s">
        <v>616</v>
      </c>
      <c r="W581" s="105" t="s">
        <v>50</v>
      </c>
      <c r="X581" s="123"/>
      <c r="Y581" s="31"/>
      <c r="Z581" s="106"/>
      <c r="AA581" s="107"/>
      <c r="AB581" s="20"/>
      <c r="AC581" s="31"/>
      <c r="AD581" s="108"/>
      <c r="AE581" s="109">
        <f t="shared" si="53"/>
        <v>71680</v>
      </c>
      <c r="AF581" s="20"/>
      <c r="AG581" s="31"/>
      <c r="AH581" s="108"/>
      <c r="AI581" s="1"/>
      <c r="AJ581" s="1"/>
      <c r="AK581" s="109">
        <f t="shared" si="54"/>
        <v>0</v>
      </c>
      <c r="AL581" s="108"/>
      <c r="AM581" s="108">
        <f t="shared" si="55"/>
        <v>0</v>
      </c>
      <c r="AN581" s="1" t="s">
        <v>2308</v>
      </c>
      <c r="AO581" s="108">
        <f t="shared" si="56"/>
        <v>71680</v>
      </c>
      <c r="AP581" s="1"/>
      <c r="AQ581" s="1"/>
      <c r="AR581" s="1"/>
      <c r="AS581" s="1"/>
      <c r="AT581" s="1"/>
      <c r="AU581" s="211"/>
    </row>
    <row r="582" spans="1:47" ht="293.25" x14ac:dyDescent="0.2">
      <c r="A582" s="1">
        <v>92</v>
      </c>
      <c r="B582" s="1" t="str">
        <f t="shared" si="52"/>
        <v>3075-92</v>
      </c>
      <c r="C582" s="99" t="s">
        <v>2294</v>
      </c>
      <c r="D582" s="100" t="s">
        <v>2295</v>
      </c>
      <c r="E582" s="100" t="s">
        <v>2578</v>
      </c>
      <c r="F582" s="99" t="s">
        <v>2328</v>
      </c>
      <c r="G582" s="117" t="s">
        <v>2329</v>
      </c>
      <c r="H582" s="102" t="s">
        <v>2579</v>
      </c>
      <c r="I582" s="100" t="s">
        <v>2300</v>
      </c>
      <c r="J582" s="100" t="s">
        <v>2301</v>
      </c>
      <c r="K582" s="100"/>
      <c r="L582" s="1" t="s">
        <v>2302</v>
      </c>
      <c r="M582" s="1" t="s">
        <v>493</v>
      </c>
      <c r="N582" s="1" t="s">
        <v>494</v>
      </c>
      <c r="O582" s="100" t="s">
        <v>2369</v>
      </c>
      <c r="P582" s="1" t="s">
        <v>2581</v>
      </c>
      <c r="Q582" s="106">
        <v>54686940</v>
      </c>
      <c r="R582" s="122">
        <v>1</v>
      </c>
      <c r="S582" s="104">
        <f>74378010-54686940+34995870</f>
        <v>54686940</v>
      </c>
      <c r="T582" s="1" t="s">
        <v>2323</v>
      </c>
      <c r="U582" s="1" t="s">
        <v>2323</v>
      </c>
      <c r="V582" s="31" t="s">
        <v>1352</v>
      </c>
      <c r="W582" s="105" t="s">
        <v>50</v>
      </c>
      <c r="X582" s="123" t="s">
        <v>2582</v>
      </c>
      <c r="Y582" s="31">
        <v>43237</v>
      </c>
      <c r="Z582" s="106">
        <v>54686940</v>
      </c>
      <c r="AA582" s="107" t="s">
        <v>2583</v>
      </c>
      <c r="AB582" s="20">
        <v>839</v>
      </c>
      <c r="AC582" s="31">
        <v>43238</v>
      </c>
      <c r="AD582" s="108">
        <v>54686940</v>
      </c>
      <c r="AE582" s="109">
        <f t="shared" si="53"/>
        <v>0</v>
      </c>
      <c r="AF582" s="20">
        <v>2171</v>
      </c>
      <c r="AG582" s="31">
        <v>43277</v>
      </c>
      <c r="AH582" s="108">
        <v>54686940</v>
      </c>
      <c r="AI582" s="1" t="s">
        <v>2584</v>
      </c>
      <c r="AJ582" s="1">
        <v>2492</v>
      </c>
      <c r="AK582" s="109">
        <f t="shared" si="54"/>
        <v>0</v>
      </c>
      <c r="AL582" s="108">
        <v>54686940</v>
      </c>
      <c r="AM582" s="108">
        <f t="shared" si="55"/>
        <v>0</v>
      </c>
      <c r="AN582" s="1" t="s">
        <v>2308</v>
      </c>
      <c r="AO582" s="108">
        <f t="shared" si="56"/>
        <v>0</v>
      </c>
      <c r="AP582" s="1"/>
      <c r="AQ582" s="31">
        <v>43236</v>
      </c>
      <c r="AR582" s="1" t="s">
        <v>2326</v>
      </c>
      <c r="AS582" s="31">
        <v>43237</v>
      </c>
      <c r="AT582" s="1" t="s">
        <v>2581</v>
      </c>
      <c r="AU582" s="211"/>
    </row>
    <row r="583" spans="1:47" ht="293.25" x14ac:dyDescent="0.2">
      <c r="A583" s="1">
        <v>93</v>
      </c>
      <c r="B583" s="1" t="str">
        <f t="shared" si="52"/>
        <v>3075-93</v>
      </c>
      <c r="C583" s="99" t="s">
        <v>2294</v>
      </c>
      <c r="D583" s="100" t="s">
        <v>2295</v>
      </c>
      <c r="E583" s="100" t="s">
        <v>2578</v>
      </c>
      <c r="F583" s="99" t="s">
        <v>2328</v>
      </c>
      <c r="G583" s="117" t="s">
        <v>2329</v>
      </c>
      <c r="H583" s="102" t="s">
        <v>2579</v>
      </c>
      <c r="I583" s="100" t="s">
        <v>2300</v>
      </c>
      <c r="J583" s="100" t="s">
        <v>2301</v>
      </c>
      <c r="K583" s="100"/>
      <c r="L583" s="1" t="s">
        <v>2302</v>
      </c>
      <c r="M583" s="1" t="s">
        <v>493</v>
      </c>
      <c r="N583" s="1" t="s">
        <v>494</v>
      </c>
      <c r="O583" s="100" t="s">
        <v>2369</v>
      </c>
      <c r="P583" s="1" t="s">
        <v>2585</v>
      </c>
      <c r="Q583" s="106">
        <v>54686940</v>
      </c>
      <c r="R583" s="122">
        <v>1</v>
      </c>
      <c r="S583" s="104">
        <f>155939786-54686940-11570036-34995870</f>
        <v>54686940</v>
      </c>
      <c r="T583" s="1" t="s">
        <v>2323</v>
      </c>
      <c r="U583" s="1" t="s">
        <v>2323</v>
      </c>
      <c r="V583" s="31" t="s">
        <v>1352</v>
      </c>
      <c r="W583" s="105" t="s">
        <v>50</v>
      </c>
      <c r="X583" s="103" t="s">
        <v>2586</v>
      </c>
      <c r="Y583" s="31">
        <v>43237</v>
      </c>
      <c r="Z583" s="106">
        <v>54686940</v>
      </c>
      <c r="AA583" s="107" t="s">
        <v>50</v>
      </c>
      <c r="AB583" s="20">
        <v>832</v>
      </c>
      <c r="AC583" s="31">
        <v>43238</v>
      </c>
      <c r="AD583" s="108">
        <v>54686940</v>
      </c>
      <c r="AE583" s="109">
        <f t="shared" si="53"/>
        <v>0</v>
      </c>
      <c r="AF583" s="20">
        <v>2041</v>
      </c>
      <c r="AG583" s="31">
        <v>43271</v>
      </c>
      <c r="AH583" s="108">
        <v>54686940</v>
      </c>
      <c r="AI583" s="1" t="s">
        <v>2587</v>
      </c>
      <c r="AJ583" s="1">
        <v>2297</v>
      </c>
      <c r="AK583" s="109">
        <f t="shared" si="54"/>
        <v>0</v>
      </c>
      <c r="AL583" s="108">
        <v>54686940</v>
      </c>
      <c r="AM583" s="108">
        <f t="shared" si="55"/>
        <v>0</v>
      </c>
      <c r="AN583" s="1" t="s">
        <v>2308</v>
      </c>
      <c r="AO583" s="108">
        <f t="shared" si="56"/>
        <v>0</v>
      </c>
      <c r="AP583" s="1"/>
      <c r="AQ583" s="31">
        <v>43236</v>
      </c>
      <c r="AR583" s="1" t="s">
        <v>2326</v>
      </c>
      <c r="AS583" s="31">
        <v>43237</v>
      </c>
      <c r="AT583" s="1" t="s">
        <v>2585</v>
      </c>
      <c r="AU583" s="211"/>
    </row>
    <row r="584" spans="1:47" ht="293.25" x14ac:dyDescent="0.2">
      <c r="A584" s="1">
        <v>94</v>
      </c>
      <c r="B584" s="1" t="str">
        <f t="shared" si="52"/>
        <v>3075-94</v>
      </c>
      <c r="C584" s="99" t="s">
        <v>2294</v>
      </c>
      <c r="D584" s="100" t="s">
        <v>2295</v>
      </c>
      <c r="E584" s="100" t="s">
        <v>2578</v>
      </c>
      <c r="F584" s="99" t="s">
        <v>2328</v>
      </c>
      <c r="G584" s="117" t="s">
        <v>2329</v>
      </c>
      <c r="H584" s="102" t="s">
        <v>2579</v>
      </c>
      <c r="I584" s="100" t="s">
        <v>2300</v>
      </c>
      <c r="J584" s="100" t="s">
        <v>2301</v>
      </c>
      <c r="K584" s="100"/>
      <c r="L584" s="1" t="s">
        <v>2302</v>
      </c>
      <c r="M584" s="1" t="s">
        <v>493</v>
      </c>
      <c r="N584" s="1" t="s">
        <v>494</v>
      </c>
      <c r="O584" s="100" t="s">
        <v>2369</v>
      </c>
      <c r="P584" s="1" t="s">
        <v>2588</v>
      </c>
      <c r="Q584" s="106">
        <v>54686940</v>
      </c>
      <c r="R584" s="122">
        <v>1</v>
      </c>
      <c r="S584" s="104">
        <f>75068369-31951465+11570036</f>
        <v>54686940</v>
      </c>
      <c r="T584" s="1" t="s">
        <v>2323</v>
      </c>
      <c r="U584" s="1" t="s">
        <v>2323</v>
      </c>
      <c r="V584" s="31" t="s">
        <v>1352</v>
      </c>
      <c r="W584" s="105" t="s">
        <v>50</v>
      </c>
      <c r="X584" s="32" t="s">
        <v>2589</v>
      </c>
      <c r="Y584" s="31">
        <v>43237</v>
      </c>
      <c r="Z584" s="106">
        <v>54686940</v>
      </c>
      <c r="AA584" s="107" t="s">
        <v>2590</v>
      </c>
      <c r="AB584" s="20">
        <v>833</v>
      </c>
      <c r="AC584" s="31">
        <v>43238</v>
      </c>
      <c r="AD584" s="108">
        <v>54686940</v>
      </c>
      <c r="AE584" s="109">
        <f t="shared" si="53"/>
        <v>0</v>
      </c>
      <c r="AF584" s="20">
        <v>2035</v>
      </c>
      <c r="AG584" s="31">
        <v>43270</v>
      </c>
      <c r="AH584" s="108">
        <v>54686940</v>
      </c>
      <c r="AI584" s="1" t="s">
        <v>2591</v>
      </c>
      <c r="AJ584" s="1">
        <v>2298</v>
      </c>
      <c r="AK584" s="109">
        <f t="shared" si="54"/>
        <v>0</v>
      </c>
      <c r="AL584" s="108">
        <v>54686940</v>
      </c>
      <c r="AM584" s="108">
        <f t="shared" si="55"/>
        <v>0</v>
      </c>
      <c r="AN584" s="1" t="s">
        <v>2308</v>
      </c>
      <c r="AO584" s="108">
        <f t="shared" si="56"/>
        <v>0</v>
      </c>
      <c r="AP584" s="1"/>
      <c r="AQ584" s="31">
        <v>43236</v>
      </c>
      <c r="AR584" s="1" t="s">
        <v>2326</v>
      </c>
      <c r="AS584" s="31">
        <v>43237</v>
      </c>
      <c r="AT584" s="1" t="s">
        <v>2588</v>
      </c>
      <c r="AU584" s="211"/>
    </row>
    <row r="585" spans="1:47" ht="293.25" x14ac:dyDescent="0.2">
      <c r="A585" s="1">
        <v>95</v>
      </c>
      <c r="B585" s="1" t="str">
        <f t="shared" si="52"/>
        <v>3075-95</v>
      </c>
      <c r="C585" s="99" t="s">
        <v>2294</v>
      </c>
      <c r="D585" s="100" t="s">
        <v>2295</v>
      </c>
      <c r="E585" s="100" t="s">
        <v>2578</v>
      </c>
      <c r="F585" s="99" t="s">
        <v>2328</v>
      </c>
      <c r="G585" s="117" t="s">
        <v>2329</v>
      </c>
      <c r="H585" s="102" t="s">
        <v>2579</v>
      </c>
      <c r="I585" s="100" t="s">
        <v>2300</v>
      </c>
      <c r="J585" s="100" t="s">
        <v>2301</v>
      </c>
      <c r="K585" s="100"/>
      <c r="L585" s="1" t="s">
        <v>2302</v>
      </c>
      <c r="M585" s="1" t="s">
        <v>493</v>
      </c>
      <c r="N585" s="1" t="s">
        <v>494</v>
      </c>
      <c r="O585" s="100" t="s">
        <v>2369</v>
      </c>
      <c r="P585" s="1" t="s">
        <v>2592</v>
      </c>
      <c r="Q585" s="106">
        <v>54686940</v>
      </c>
      <c r="R585" s="122">
        <v>1</v>
      </c>
      <c r="S585" s="104">
        <f>12689435+31951465+10046040</f>
        <v>54686940</v>
      </c>
      <c r="T585" s="1" t="s">
        <v>2323</v>
      </c>
      <c r="U585" s="1" t="s">
        <v>2323</v>
      </c>
      <c r="V585" s="31" t="s">
        <v>1352</v>
      </c>
      <c r="W585" s="105" t="s">
        <v>50</v>
      </c>
      <c r="X585" s="103" t="s">
        <v>2593</v>
      </c>
      <c r="Y585" s="31">
        <v>43245</v>
      </c>
      <c r="Z585" s="106">
        <v>54686940</v>
      </c>
      <c r="AA585" s="107" t="s">
        <v>2594</v>
      </c>
      <c r="AB585" s="20">
        <v>856</v>
      </c>
      <c r="AC585" s="31">
        <v>43250</v>
      </c>
      <c r="AD585" s="108">
        <v>54686940</v>
      </c>
      <c r="AE585" s="109">
        <f t="shared" si="53"/>
        <v>0</v>
      </c>
      <c r="AF585" s="20">
        <v>2401</v>
      </c>
      <c r="AG585" s="31">
        <v>43280</v>
      </c>
      <c r="AH585" s="108">
        <v>54686940</v>
      </c>
      <c r="AI585" s="1" t="s">
        <v>2595</v>
      </c>
      <c r="AJ585" s="1">
        <v>2774</v>
      </c>
      <c r="AK585" s="109">
        <f t="shared" si="54"/>
        <v>0</v>
      </c>
      <c r="AL585" s="108">
        <v>0</v>
      </c>
      <c r="AM585" s="108">
        <f t="shared" si="55"/>
        <v>54686940</v>
      </c>
      <c r="AN585" s="1" t="s">
        <v>2308</v>
      </c>
      <c r="AO585" s="108">
        <f t="shared" si="56"/>
        <v>0</v>
      </c>
      <c r="AP585" s="1" t="s">
        <v>2596</v>
      </c>
      <c r="AQ585" s="31">
        <v>43245</v>
      </c>
      <c r="AR585" s="1" t="s">
        <v>2326</v>
      </c>
      <c r="AS585" s="31">
        <v>43245</v>
      </c>
      <c r="AT585" s="1" t="s">
        <v>2592</v>
      </c>
      <c r="AU585" s="211"/>
    </row>
    <row r="586" spans="1:47" ht="409.5" x14ac:dyDescent="0.2">
      <c r="A586" s="1">
        <v>96</v>
      </c>
      <c r="B586" s="1" t="str">
        <f t="shared" si="52"/>
        <v>3075-96</v>
      </c>
      <c r="C586" s="99" t="s">
        <v>2294</v>
      </c>
      <c r="D586" s="100" t="s">
        <v>2295</v>
      </c>
      <c r="E586" s="100" t="s">
        <v>2578</v>
      </c>
      <c r="F586" s="99" t="s">
        <v>2366</v>
      </c>
      <c r="G586" s="117" t="s">
        <v>2367</v>
      </c>
      <c r="H586" s="124" t="s">
        <v>2368</v>
      </c>
      <c r="I586" s="100" t="s">
        <v>2300</v>
      </c>
      <c r="J586" s="100" t="s">
        <v>2301</v>
      </c>
      <c r="K586" s="100">
        <v>801116</v>
      </c>
      <c r="L586" s="1" t="s">
        <v>2302</v>
      </c>
      <c r="M586" s="1" t="s">
        <v>493</v>
      </c>
      <c r="N586" s="1" t="s">
        <v>494</v>
      </c>
      <c r="O586" s="100" t="s">
        <v>2369</v>
      </c>
      <c r="P586" s="100" t="s">
        <v>2597</v>
      </c>
      <c r="Q586" s="106">
        <v>4120000</v>
      </c>
      <c r="R586" s="122">
        <v>1</v>
      </c>
      <c r="S586" s="104">
        <v>24720000</v>
      </c>
      <c r="T586" s="1" t="s">
        <v>1619</v>
      </c>
      <c r="U586" s="1" t="s">
        <v>2361</v>
      </c>
      <c r="V586" s="31" t="s">
        <v>516</v>
      </c>
      <c r="W586" s="105">
        <v>6</v>
      </c>
      <c r="X586" s="1" t="s">
        <v>2598</v>
      </c>
      <c r="Y586" s="31">
        <v>43104</v>
      </c>
      <c r="Z586" s="106">
        <v>24720000</v>
      </c>
      <c r="AA586" s="107" t="s">
        <v>50</v>
      </c>
      <c r="AB586" s="20">
        <v>460</v>
      </c>
      <c r="AC586" s="31">
        <v>43111</v>
      </c>
      <c r="AD586" s="108">
        <v>24720000</v>
      </c>
      <c r="AE586" s="108">
        <f t="shared" si="53"/>
        <v>0</v>
      </c>
      <c r="AF586" s="20">
        <v>401</v>
      </c>
      <c r="AG586" s="31">
        <v>43124</v>
      </c>
      <c r="AH586" s="108">
        <v>24720000</v>
      </c>
      <c r="AI586" s="1" t="s">
        <v>2599</v>
      </c>
      <c r="AJ586" s="1">
        <v>322</v>
      </c>
      <c r="AK586" s="109">
        <f t="shared" si="54"/>
        <v>0</v>
      </c>
      <c r="AL586" s="108">
        <v>21561333</v>
      </c>
      <c r="AM586" s="108">
        <f t="shared" si="55"/>
        <v>3158667</v>
      </c>
      <c r="AN586" s="1" t="s">
        <v>2308</v>
      </c>
      <c r="AO586" s="108">
        <f t="shared" si="56"/>
        <v>0</v>
      </c>
      <c r="AP586" s="1"/>
      <c r="AQ586" s="1"/>
      <c r="AR586" s="1"/>
      <c r="AS586" s="1"/>
      <c r="AT586" s="1"/>
      <c r="AU586" s="211"/>
    </row>
    <row r="587" spans="1:47" ht="409.5" x14ac:dyDescent="0.2">
      <c r="A587" s="1">
        <v>97</v>
      </c>
      <c r="B587" s="1" t="str">
        <f t="shared" si="52"/>
        <v>3075-97</v>
      </c>
      <c r="C587" s="99" t="s">
        <v>2294</v>
      </c>
      <c r="D587" s="100" t="s">
        <v>2295</v>
      </c>
      <c r="E587" s="100" t="s">
        <v>2578</v>
      </c>
      <c r="F587" s="99" t="s">
        <v>2366</v>
      </c>
      <c r="G587" s="117" t="s">
        <v>2367</v>
      </c>
      <c r="H587" s="124" t="s">
        <v>2368</v>
      </c>
      <c r="I587" s="100" t="s">
        <v>2300</v>
      </c>
      <c r="J587" s="100" t="s">
        <v>2301</v>
      </c>
      <c r="K587" s="100">
        <v>801116</v>
      </c>
      <c r="L587" s="1" t="s">
        <v>2302</v>
      </c>
      <c r="M587" s="1" t="s">
        <v>493</v>
      </c>
      <c r="N587" s="1" t="s">
        <v>494</v>
      </c>
      <c r="O587" s="100" t="s">
        <v>2369</v>
      </c>
      <c r="P587" s="65" t="s">
        <v>2600</v>
      </c>
      <c r="Q587" s="106">
        <v>3553500</v>
      </c>
      <c r="R587" s="122">
        <v>1</v>
      </c>
      <c r="S587" s="104">
        <v>21321000</v>
      </c>
      <c r="T587" s="1" t="s">
        <v>1619</v>
      </c>
      <c r="U587" s="1" t="s">
        <v>2361</v>
      </c>
      <c r="V587" s="31" t="s">
        <v>516</v>
      </c>
      <c r="W587" s="105">
        <v>6</v>
      </c>
      <c r="X587" s="65" t="s">
        <v>2601</v>
      </c>
      <c r="Y587" s="31">
        <v>43104</v>
      </c>
      <c r="Z587" s="106">
        <v>21321000</v>
      </c>
      <c r="AA587" s="107" t="s">
        <v>50</v>
      </c>
      <c r="AB587" s="20">
        <v>413</v>
      </c>
      <c r="AC587" s="31">
        <v>43111</v>
      </c>
      <c r="AD587" s="108">
        <v>21321000</v>
      </c>
      <c r="AE587" s="108">
        <f t="shared" si="53"/>
        <v>0</v>
      </c>
      <c r="AF587" s="20">
        <v>426</v>
      </c>
      <c r="AG587" s="31">
        <v>43124</v>
      </c>
      <c r="AH587" s="108">
        <v>21321000</v>
      </c>
      <c r="AI587" s="1" t="s">
        <v>2602</v>
      </c>
      <c r="AJ587" s="1">
        <v>361</v>
      </c>
      <c r="AK587" s="109">
        <f t="shared" si="54"/>
        <v>0</v>
      </c>
      <c r="AL587" s="108">
        <v>18478200</v>
      </c>
      <c r="AM587" s="108">
        <f t="shared" si="55"/>
        <v>2842800</v>
      </c>
      <c r="AN587" s="1" t="s">
        <v>2308</v>
      </c>
      <c r="AO587" s="108">
        <f t="shared" si="56"/>
        <v>0</v>
      </c>
      <c r="AP587" s="1"/>
      <c r="AQ587" s="1"/>
      <c r="AR587" s="1"/>
      <c r="AS587" s="1"/>
      <c r="AT587" s="1"/>
      <c r="AU587" s="211"/>
    </row>
    <row r="588" spans="1:47" ht="409.5" x14ac:dyDescent="0.2">
      <c r="A588" s="1">
        <v>98</v>
      </c>
      <c r="B588" s="1" t="str">
        <f t="shared" si="52"/>
        <v>3075-98</v>
      </c>
      <c r="C588" s="99" t="s">
        <v>2294</v>
      </c>
      <c r="D588" s="100" t="s">
        <v>2295</v>
      </c>
      <c r="E588" s="100" t="s">
        <v>2578</v>
      </c>
      <c r="F588" s="99" t="s">
        <v>2366</v>
      </c>
      <c r="G588" s="117" t="s">
        <v>2367</v>
      </c>
      <c r="H588" s="124" t="s">
        <v>2368</v>
      </c>
      <c r="I588" s="100" t="s">
        <v>2300</v>
      </c>
      <c r="J588" s="100" t="s">
        <v>2301</v>
      </c>
      <c r="K588" s="100">
        <v>801116</v>
      </c>
      <c r="L588" s="1" t="s">
        <v>2302</v>
      </c>
      <c r="M588" s="1" t="s">
        <v>493</v>
      </c>
      <c r="N588" s="1" t="s">
        <v>494</v>
      </c>
      <c r="O588" s="100" t="s">
        <v>2369</v>
      </c>
      <c r="P588" s="65" t="s">
        <v>2603</v>
      </c>
      <c r="Q588" s="106">
        <v>3399000</v>
      </c>
      <c r="R588" s="1">
        <v>3</v>
      </c>
      <c r="S588" s="104">
        <f>23640000-6180000-2160000</f>
        <v>15300000</v>
      </c>
      <c r="T588" s="1" t="s">
        <v>2361</v>
      </c>
      <c r="U588" s="1" t="s">
        <v>2361</v>
      </c>
      <c r="V588" s="31" t="s">
        <v>507</v>
      </c>
      <c r="W588" s="105">
        <v>7</v>
      </c>
      <c r="X588" s="65" t="s">
        <v>2604</v>
      </c>
      <c r="Y588" s="31">
        <v>43161</v>
      </c>
      <c r="Z588" s="106">
        <v>15300000</v>
      </c>
      <c r="AA588" s="107" t="s">
        <v>50</v>
      </c>
      <c r="AB588" s="20">
        <v>677</v>
      </c>
      <c r="AC588" s="31">
        <v>43164</v>
      </c>
      <c r="AD588" s="108">
        <v>15300000</v>
      </c>
      <c r="AE588" s="108">
        <f t="shared" si="53"/>
        <v>0</v>
      </c>
      <c r="AF588" s="20">
        <v>1754</v>
      </c>
      <c r="AG588" s="31">
        <v>43200</v>
      </c>
      <c r="AH588" s="108">
        <v>15300000</v>
      </c>
      <c r="AI588" s="1" t="s">
        <v>2605</v>
      </c>
      <c r="AJ588" s="1">
        <v>548</v>
      </c>
      <c r="AK588" s="109">
        <f t="shared" si="54"/>
        <v>0</v>
      </c>
      <c r="AL588" s="108">
        <v>13600000</v>
      </c>
      <c r="AM588" s="108">
        <f t="shared" si="55"/>
        <v>1700000</v>
      </c>
      <c r="AN588" s="1" t="s">
        <v>2308</v>
      </c>
      <c r="AO588" s="108">
        <f t="shared" si="56"/>
        <v>0</v>
      </c>
      <c r="AP588" s="1" t="s">
        <v>2606</v>
      </c>
      <c r="AQ588" s="31">
        <v>43160</v>
      </c>
      <c r="AR588" s="1" t="s">
        <v>2326</v>
      </c>
      <c r="AS588" s="31">
        <v>43161</v>
      </c>
      <c r="AT588" s="1" t="s">
        <v>2607</v>
      </c>
      <c r="AU588" s="211"/>
    </row>
    <row r="589" spans="1:47" ht="255" x14ac:dyDescent="0.2">
      <c r="A589" s="1">
        <v>99</v>
      </c>
      <c r="B589" s="1" t="str">
        <f t="shared" si="52"/>
        <v>3075-99</v>
      </c>
      <c r="C589" s="99" t="s">
        <v>2294</v>
      </c>
      <c r="D589" s="100" t="s">
        <v>2295</v>
      </c>
      <c r="E589" s="100" t="s">
        <v>2578</v>
      </c>
      <c r="F589" s="99" t="s">
        <v>2366</v>
      </c>
      <c r="G589" s="117" t="s">
        <v>2367</v>
      </c>
      <c r="H589" s="124" t="s">
        <v>2368</v>
      </c>
      <c r="I589" s="100" t="s">
        <v>2300</v>
      </c>
      <c r="J589" s="100" t="s">
        <v>2301</v>
      </c>
      <c r="K589" s="100">
        <v>93141506</v>
      </c>
      <c r="L589" s="1" t="s">
        <v>2302</v>
      </c>
      <c r="M589" s="1" t="s">
        <v>493</v>
      </c>
      <c r="N589" s="1" t="s">
        <v>494</v>
      </c>
      <c r="O589" s="100" t="s">
        <v>2369</v>
      </c>
      <c r="P589" s="65" t="s">
        <v>2441</v>
      </c>
      <c r="Q589" s="106">
        <v>5253000</v>
      </c>
      <c r="R589" s="122">
        <v>1</v>
      </c>
      <c r="S589" s="104">
        <f>21321000-309000</f>
        <v>21012000</v>
      </c>
      <c r="T589" s="1"/>
      <c r="U589" s="1" t="s">
        <v>2361</v>
      </c>
      <c r="V589" s="31" t="s">
        <v>510</v>
      </c>
      <c r="W589" s="105">
        <v>4</v>
      </c>
      <c r="X589" s="65" t="s">
        <v>2608</v>
      </c>
      <c r="Y589" s="31">
        <v>43321</v>
      </c>
      <c r="Z589" s="106">
        <v>21012000</v>
      </c>
      <c r="AA589" s="107" t="s">
        <v>50</v>
      </c>
      <c r="AB589" s="20"/>
      <c r="AC589" s="31"/>
      <c r="AD589" s="108"/>
      <c r="AE589" s="108">
        <f t="shared" si="53"/>
        <v>0</v>
      </c>
      <c r="AF589" s="20"/>
      <c r="AG589" s="31"/>
      <c r="AH589" s="108"/>
      <c r="AI589" s="1"/>
      <c r="AJ589" s="1"/>
      <c r="AK589" s="109">
        <f t="shared" si="54"/>
        <v>0</v>
      </c>
      <c r="AL589" s="108"/>
      <c r="AM589" s="108">
        <f t="shared" si="55"/>
        <v>0</v>
      </c>
      <c r="AN589" s="1" t="s">
        <v>2308</v>
      </c>
      <c r="AO589" s="108">
        <f t="shared" si="56"/>
        <v>21012000</v>
      </c>
      <c r="AP589" s="1"/>
      <c r="AQ589" s="31">
        <v>43320</v>
      </c>
      <c r="AR589" s="1" t="s">
        <v>2326</v>
      </c>
      <c r="AS589" s="31">
        <v>43321</v>
      </c>
      <c r="AT589" s="1" t="s">
        <v>2607</v>
      </c>
      <c r="AU589" s="211"/>
    </row>
    <row r="590" spans="1:47" ht="255" x14ac:dyDescent="0.2">
      <c r="A590" s="1">
        <v>100</v>
      </c>
      <c r="B590" s="1" t="str">
        <f t="shared" si="52"/>
        <v>3075-100</v>
      </c>
      <c r="C590" s="99" t="s">
        <v>2294</v>
      </c>
      <c r="D590" s="100" t="s">
        <v>2295</v>
      </c>
      <c r="E590" s="100" t="s">
        <v>2578</v>
      </c>
      <c r="F590" s="99" t="s">
        <v>2366</v>
      </c>
      <c r="G590" s="117" t="s">
        <v>2367</v>
      </c>
      <c r="H590" s="124" t="s">
        <v>2368</v>
      </c>
      <c r="I590" s="100" t="s">
        <v>2300</v>
      </c>
      <c r="J590" s="100" t="s">
        <v>2301</v>
      </c>
      <c r="K590" s="100">
        <v>801116</v>
      </c>
      <c r="L590" s="1" t="s">
        <v>2302</v>
      </c>
      <c r="M590" s="1" t="s">
        <v>493</v>
      </c>
      <c r="N590" s="1" t="s">
        <v>494</v>
      </c>
      <c r="O590" s="100" t="s">
        <v>2369</v>
      </c>
      <c r="P590" s="65" t="s">
        <v>2430</v>
      </c>
      <c r="Q590" s="106">
        <v>4120000</v>
      </c>
      <c r="R590" s="122">
        <v>1</v>
      </c>
      <c r="S590" s="104">
        <f>24720000-4758600</f>
        <v>19961400</v>
      </c>
      <c r="T590" s="1" t="s">
        <v>1634</v>
      </c>
      <c r="U590" s="1" t="s">
        <v>2361</v>
      </c>
      <c r="V590" s="31" t="s">
        <v>516</v>
      </c>
      <c r="W590" s="105">
        <v>6</v>
      </c>
      <c r="X590" s="65" t="s">
        <v>2609</v>
      </c>
      <c r="Y590" s="31">
        <v>43119</v>
      </c>
      <c r="Z590" s="106">
        <v>19961400</v>
      </c>
      <c r="AA590" s="107" t="s">
        <v>50</v>
      </c>
      <c r="AB590" s="20">
        <v>554</v>
      </c>
      <c r="AC590" s="31">
        <v>43122</v>
      </c>
      <c r="AD590" s="108">
        <v>19961400</v>
      </c>
      <c r="AE590" s="108">
        <f t="shared" si="53"/>
        <v>0</v>
      </c>
      <c r="AF590" s="20">
        <v>473</v>
      </c>
      <c r="AG590" s="31">
        <v>43126</v>
      </c>
      <c r="AH590" s="108">
        <v>19961400</v>
      </c>
      <c r="AI590" s="1" t="s">
        <v>2610</v>
      </c>
      <c r="AJ590" s="1">
        <v>399</v>
      </c>
      <c r="AK590" s="109">
        <f t="shared" si="54"/>
        <v>0</v>
      </c>
      <c r="AL590" s="108">
        <v>17188983</v>
      </c>
      <c r="AM590" s="108">
        <f t="shared" si="55"/>
        <v>2772417</v>
      </c>
      <c r="AN590" s="1" t="s">
        <v>2308</v>
      </c>
      <c r="AO590" s="108">
        <f t="shared" si="56"/>
        <v>0</v>
      </c>
      <c r="AP590" s="1"/>
      <c r="AQ590" s="1"/>
      <c r="AR590" s="1"/>
      <c r="AS590" s="1"/>
      <c r="AT590" s="1"/>
      <c r="AU590" s="211"/>
    </row>
    <row r="591" spans="1:47" ht="409.5" x14ac:dyDescent="0.2">
      <c r="A591" s="1">
        <v>101</v>
      </c>
      <c r="B591" s="1" t="str">
        <f t="shared" si="52"/>
        <v>3075-101</v>
      </c>
      <c r="C591" s="99" t="s">
        <v>2294</v>
      </c>
      <c r="D591" s="100" t="s">
        <v>2295</v>
      </c>
      <c r="E591" s="100" t="s">
        <v>2578</v>
      </c>
      <c r="F591" s="99" t="s">
        <v>2366</v>
      </c>
      <c r="G591" s="117" t="s">
        <v>2367</v>
      </c>
      <c r="H591" s="124" t="s">
        <v>2368</v>
      </c>
      <c r="I591" s="100" t="s">
        <v>2300</v>
      </c>
      <c r="J591" s="100" t="s">
        <v>2301</v>
      </c>
      <c r="K591" s="100">
        <v>801116</v>
      </c>
      <c r="L591" s="1" t="s">
        <v>2302</v>
      </c>
      <c r="M591" s="1" t="s">
        <v>493</v>
      </c>
      <c r="N591" s="1" t="s">
        <v>494</v>
      </c>
      <c r="O591" s="100" t="s">
        <v>2369</v>
      </c>
      <c r="P591" s="65" t="s">
        <v>2611</v>
      </c>
      <c r="Q591" s="106">
        <v>4532000</v>
      </c>
      <c r="R591" s="122">
        <v>1</v>
      </c>
      <c r="S591" s="104">
        <v>27192000</v>
      </c>
      <c r="T591" s="1" t="s">
        <v>1619</v>
      </c>
      <c r="U591" s="1" t="s">
        <v>2361</v>
      </c>
      <c r="V591" s="31" t="s">
        <v>516</v>
      </c>
      <c r="W591" s="105">
        <v>6</v>
      </c>
      <c r="X591" s="65" t="s">
        <v>2612</v>
      </c>
      <c r="Y591" s="31">
        <v>43104</v>
      </c>
      <c r="Z591" s="106">
        <v>27192000</v>
      </c>
      <c r="AA591" s="107" t="s">
        <v>50</v>
      </c>
      <c r="AB591" s="20">
        <v>417</v>
      </c>
      <c r="AC591" s="31">
        <v>43111</v>
      </c>
      <c r="AD591" s="108">
        <v>27192000</v>
      </c>
      <c r="AE591" s="108">
        <f t="shared" si="53"/>
        <v>0</v>
      </c>
      <c r="AF591" s="20">
        <v>353</v>
      </c>
      <c r="AG591" s="31">
        <v>43123</v>
      </c>
      <c r="AH591" s="108">
        <v>27192000</v>
      </c>
      <c r="AI591" s="1" t="s">
        <v>2613</v>
      </c>
      <c r="AJ591" s="1">
        <v>351</v>
      </c>
      <c r="AK591" s="109">
        <f t="shared" si="54"/>
        <v>0</v>
      </c>
      <c r="AL591" s="108">
        <v>23566400</v>
      </c>
      <c r="AM591" s="108">
        <f t="shared" si="55"/>
        <v>3625600</v>
      </c>
      <c r="AN591" s="1" t="s">
        <v>2308</v>
      </c>
      <c r="AO591" s="108">
        <f t="shared" si="56"/>
        <v>0</v>
      </c>
      <c r="AP591" s="1"/>
      <c r="AQ591" s="1"/>
      <c r="AR591" s="1"/>
      <c r="AS591" s="1"/>
      <c r="AT591" s="1"/>
      <c r="AU591" s="211"/>
    </row>
    <row r="592" spans="1:47" ht="409.5" x14ac:dyDescent="0.2">
      <c r="A592" s="1">
        <v>102</v>
      </c>
      <c r="B592" s="1" t="str">
        <f t="shared" si="52"/>
        <v>3075-102</v>
      </c>
      <c r="C592" s="99" t="s">
        <v>2294</v>
      </c>
      <c r="D592" s="100" t="s">
        <v>2295</v>
      </c>
      <c r="E592" s="100" t="s">
        <v>2578</v>
      </c>
      <c r="F592" s="99" t="s">
        <v>2366</v>
      </c>
      <c r="G592" s="117" t="s">
        <v>2367</v>
      </c>
      <c r="H592" s="124" t="s">
        <v>2368</v>
      </c>
      <c r="I592" s="100" t="s">
        <v>2300</v>
      </c>
      <c r="J592" s="100" t="s">
        <v>2301</v>
      </c>
      <c r="K592" s="100">
        <v>801116</v>
      </c>
      <c r="L592" s="1" t="s">
        <v>2302</v>
      </c>
      <c r="M592" s="1" t="s">
        <v>493</v>
      </c>
      <c r="N592" s="1" t="s">
        <v>494</v>
      </c>
      <c r="O592" s="100" t="s">
        <v>2369</v>
      </c>
      <c r="P592" s="65" t="s">
        <v>2611</v>
      </c>
      <c r="Q592" s="106">
        <v>5036700</v>
      </c>
      <c r="R592" s="122">
        <v>1</v>
      </c>
      <c r="S592" s="104">
        <v>30220200</v>
      </c>
      <c r="T592" s="1" t="s">
        <v>1619</v>
      </c>
      <c r="U592" s="1" t="s">
        <v>2361</v>
      </c>
      <c r="V592" s="31" t="s">
        <v>516</v>
      </c>
      <c r="W592" s="105">
        <v>6</v>
      </c>
      <c r="X592" s="65" t="s">
        <v>2614</v>
      </c>
      <c r="Y592" s="31">
        <v>43104</v>
      </c>
      <c r="Z592" s="106">
        <v>30220200</v>
      </c>
      <c r="AA592" s="107" t="s">
        <v>50</v>
      </c>
      <c r="AB592" s="20">
        <v>376</v>
      </c>
      <c r="AC592" s="31">
        <v>43110</v>
      </c>
      <c r="AD592" s="108">
        <v>30220200</v>
      </c>
      <c r="AE592" s="108">
        <f t="shared" si="53"/>
        <v>0</v>
      </c>
      <c r="AF592" s="20">
        <v>339</v>
      </c>
      <c r="AG592" s="31">
        <v>43123</v>
      </c>
      <c r="AH592" s="108">
        <v>30220200</v>
      </c>
      <c r="AI592" s="1" t="s">
        <v>2615</v>
      </c>
      <c r="AJ592" s="1">
        <v>344</v>
      </c>
      <c r="AK592" s="109">
        <f t="shared" si="54"/>
        <v>0</v>
      </c>
      <c r="AL592" s="108">
        <v>26022950</v>
      </c>
      <c r="AM592" s="108">
        <f t="shared" si="55"/>
        <v>4197250</v>
      </c>
      <c r="AN592" s="1" t="s">
        <v>2308</v>
      </c>
      <c r="AO592" s="108">
        <f t="shared" si="56"/>
        <v>0</v>
      </c>
      <c r="AP592" s="1"/>
      <c r="AQ592" s="1"/>
      <c r="AR592" s="1"/>
      <c r="AS592" s="1"/>
      <c r="AT592" s="1"/>
      <c r="AU592" s="211"/>
    </row>
    <row r="593" spans="1:47" ht="409.5" x14ac:dyDescent="0.2">
      <c r="A593" s="1">
        <v>103</v>
      </c>
      <c r="B593" s="1" t="str">
        <f t="shared" si="52"/>
        <v>3075-103</v>
      </c>
      <c r="C593" s="99" t="s">
        <v>2294</v>
      </c>
      <c r="D593" s="100" t="s">
        <v>2295</v>
      </c>
      <c r="E593" s="100" t="s">
        <v>2578</v>
      </c>
      <c r="F593" s="99" t="s">
        <v>2366</v>
      </c>
      <c r="G593" s="117" t="s">
        <v>2367</v>
      </c>
      <c r="H593" s="124" t="s">
        <v>2368</v>
      </c>
      <c r="I593" s="100" t="s">
        <v>2300</v>
      </c>
      <c r="J593" s="100" t="s">
        <v>2301</v>
      </c>
      <c r="K593" s="100">
        <v>801116</v>
      </c>
      <c r="L593" s="1" t="s">
        <v>2302</v>
      </c>
      <c r="M593" s="1" t="s">
        <v>493</v>
      </c>
      <c r="N593" s="1" t="s">
        <v>494</v>
      </c>
      <c r="O593" s="100" t="s">
        <v>2369</v>
      </c>
      <c r="P593" s="65" t="s">
        <v>2611</v>
      </c>
      <c r="Q593" s="106">
        <v>5253000</v>
      </c>
      <c r="R593" s="122">
        <v>1</v>
      </c>
      <c r="S593" s="104">
        <v>31518000</v>
      </c>
      <c r="T593" s="1" t="s">
        <v>1619</v>
      </c>
      <c r="U593" s="1" t="s">
        <v>2361</v>
      </c>
      <c r="V593" s="31" t="s">
        <v>516</v>
      </c>
      <c r="W593" s="105">
        <v>6</v>
      </c>
      <c r="X593" s="65" t="s">
        <v>2616</v>
      </c>
      <c r="Y593" s="31">
        <v>43104</v>
      </c>
      <c r="Z593" s="106">
        <v>31518000</v>
      </c>
      <c r="AA593" s="107" t="s">
        <v>50</v>
      </c>
      <c r="AB593" s="20">
        <v>375</v>
      </c>
      <c r="AC593" s="31">
        <v>43110</v>
      </c>
      <c r="AD593" s="108">
        <v>31518000</v>
      </c>
      <c r="AE593" s="108">
        <f t="shared" si="53"/>
        <v>0</v>
      </c>
      <c r="AF593" s="20">
        <v>414</v>
      </c>
      <c r="AG593" s="31">
        <v>43124</v>
      </c>
      <c r="AH593" s="108">
        <v>31518000</v>
      </c>
      <c r="AI593" s="1" t="s">
        <v>2617</v>
      </c>
      <c r="AJ593" s="1">
        <v>335</v>
      </c>
      <c r="AK593" s="109">
        <f t="shared" si="54"/>
        <v>0</v>
      </c>
      <c r="AL593" s="108">
        <v>26265000</v>
      </c>
      <c r="AM593" s="108">
        <f t="shared" si="55"/>
        <v>5253000</v>
      </c>
      <c r="AN593" s="1" t="s">
        <v>2308</v>
      </c>
      <c r="AO593" s="108">
        <f t="shared" si="56"/>
        <v>0</v>
      </c>
      <c r="AP593" s="1"/>
      <c r="AQ593" s="1"/>
      <c r="AR593" s="1"/>
      <c r="AS593" s="1"/>
      <c r="AT593" s="1"/>
      <c r="AU593" s="211"/>
    </row>
    <row r="594" spans="1:47" ht="409.5" x14ac:dyDescent="0.2">
      <c r="A594" s="1">
        <v>104</v>
      </c>
      <c r="B594" s="1" t="str">
        <f t="shared" si="52"/>
        <v>3075-104</v>
      </c>
      <c r="C594" s="99" t="s">
        <v>2294</v>
      </c>
      <c r="D594" s="100" t="s">
        <v>2295</v>
      </c>
      <c r="E594" s="100" t="s">
        <v>2578</v>
      </c>
      <c r="F594" s="99" t="s">
        <v>2366</v>
      </c>
      <c r="G594" s="117" t="s">
        <v>2367</v>
      </c>
      <c r="H594" s="124" t="s">
        <v>2368</v>
      </c>
      <c r="I594" s="100" t="s">
        <v>2300</v>
      </c>
      <c r="J594" s="100" t="s">
        <v>2301</v>
      </c>
      <c r="K594" s="100">
        <v>801116</v>
      </c>
      <c r="L594" s="1" t="s">
        <v>2302</v>
      </c>
      <c r="M594" s="1" t="s">
        <v>493</v>
      </c>
      <c r="N594" s="1" t="s">
        <v>494</v>
      </c>
      <c r="O594" s="100" t="s">
        <v>2369</v>
      </c>
      <c r="P594" s="65" t="s">
        <v>2618</v>
      </c>
      <c r="Q594" s="106">
        <v>3326900</v>
      </c>
      <c r="R594" s="122">
        <v>1</v>
      </c>
      <c r="S594" s="104">
        <v>19961400</v>
      </c>
      <c r="T594" s="1" t="s">
        <v>1634</v>
      </c>
      <c r="U594" s="1" t="s">
        <v>2361</v>
      </c>
      <c r="V594" s="31" t="s">
        <v>516</v>
      </c>
      <c r="W594" s="105">
        <v>6</v>
      </c>
      <c r="X594" s="65" t="s">
        <v>2619</v>
      </c>
      <c r="Y594" s="31">
        <v>43104</v>
      </c>
      <c r="Z594" s="106">
        <v>19961400</v>
      </c>
      <c r="AA594" s="107" t="s">
        <v>50</v>
      </c>
      <c r="AB594" s="20">
        <v>437</v>
      </c>
      <c r="AC594" s="31">
        <v>43111</v>
      </c>
      <c r="AD594" s="108">
        <v>19961400</v>
      </c>
      <c r="AE594" s="108">
        <f t="shared" si="53"/>
        <v>0</v>
      </c>
      <c r="AF594" s="20">
        <v>449</v>
      </c>
      <c r="AG594" s="31">
        <v>43125</v>
      </c>
      <c r="AH594" s="108">
        <v>19961400</v>
      </c>
      <c r="AI594" s="1" t="s">
        <v>2620</v>
      </c>
      <c r="AJ594" s="1">
        <v>385</v>
      </c>
      <c r="AK594" s="109">
        <f t="shared" si="54"/>
        <v>0</v>
      </c>
      <c r="AL594" s="108">
        <v>17188983</v>
      </c>
      <c r="AM594" s="108">
        <f t="shared" si="55"/>
        <v>2772417</v>
      </c>
      <c r="AN594" s="1" t="s">
        <v>2308</v>
      </c>
      <c r="AO594" s="108">
        <f t="shared" si="56"/>
        <v>0</v>
      </c>
      <c r="AP594" s="1"/>
      <c r="AQ594" s="1"/>
      <c r="AR594" s="1"/>
      <c r="AS594" s="1"/>
      <c r="AT594" s="1"/>
      <c r="AU594" s="211"/>
    </row>
    <row r="595" spans="1:47" ht="409.5" x14ac:dyDescent="0.2">
      <c r="A595" s="1">
        <v>105</v>
      </c>
      <c r="B595" s="1" t="str">
        <f t="shared" si="52"/>
        <v>3075-105</v>
      </c>
      <c r="C595" s="99" t="s">
        <v>2294</v>
      </c>
      <c r="D595" s="100" t="s">
        <v>2295</v>
      </c>
      <c r="E595" s="100" t="s">
        <v>2578</v>
      </c>
      <c r="F595" s="99" t="s">
        <v>2366</v>
      </c>
      <c r="G595" s="117" t="s">
        <v>2367</v>
      </c>
      <c r="H595" s="124" t="s">
        <v>2368</v>
      </c>
      <c r="I595" s="100" t="s">
        <v>2300</v>
      </c>
      <c r="J595" s="100" t="s">
        <v>2301</v>
      </c>
      <c r="K595" s="100">
        <v>801116</v>
      </c>
      <c r="L595" s="1" t="s">
        <v>2302</v>
      </c>
      <c r="M595" s="1" t="s">
        <v>493</v>
      </c>
      <c r="N595" s="1" t="s">
        <v>494</v>
      </c>
      <c r="O595" s="100" t="s">
        <v>2369</v>
      </c>
      <c r="P595" s="65" t="s">
        <v>2611</v>
      </c>
      <c r="Q595" s="106">
        <v>7210000</v>
      </c>
      <c r="R595" s="122">
        <v>1</v>
      </c>
      <c r="S595" s="104">
        <v>43260000</v>
      </c>
      <c r="T595" s="1" t="s">
        <v>1619</v>
      </c>
      <c r="U595" s="1" t="s">
        <v>2361</v>
      </c>
      <c r="V595" s="31" t="s">
        <v>516</v>
      </c>
      <c r="W595" s="105">
        <v>6</v>
      </c>
      <c r="X595" s="65" t="s">
        <v>2621</v>
      </c>
      <c r="Y595" s="31">
        <v>43104</v>
      </c>
      <c r="Z595" s="106">
        <v>43260000</v>
      </c>
      <c r="AA595" s="107" t="s">
        <v>50</v>
      </c>
      <c r="AB595" s="20">
        <v>467</v>
      </c>
      <c r="AC595" s="31">
        <v>43112</v>
      </c>
      <c r="AD595" s="108">
        <v>43260000</v>
      </c>
      <c r="AE595" s="108">
        <f t="shared" si="53"/>
        <v>0</v>
      </c>
      <c r="AF595" s="20">
        <v>425</v>
      </c>
      <c r="AG595" s="31">
        <v>43124</v>
      </c>
      <c r="AH595" s="108">
        <v>43260000</v>
      </c>
      <c r="AI595" s="1" t="s">
        <v>2622</v>
      </c>
      <c r="AJ595" s="1">
        <v>367</v>
      </c>
      <c r="AK595" s="109">
        <f t="shared" si="54"/>
        <v>0</v>
      </c>
      <c r="AL595" s="108">
        <v>37492000</v>
      </c>
      <c r="AM595" s="108">
        <f t="shared" si="55"/>
        <v>5768000</v>
      </c>
      <c r="AN595" s="1" t="s">
        <v>2308</v>
      </c>
      <c r="AO595" s="108">
        <f t="shared" si="56"/>
        <v>0</v>
      </c>
      <c r="AP595" s="1"/>
      <c r="AQ595" s="1"/>
      <c r="AR595" s="1"/>
      <c r="AS595" s="1"/>
      <c r="AT595" s="1"/>
      <c r="AU595" s="211"/>
    </row>
    <row r="596" spans="1:47" ht="409.5" x14ac:dyDescent="0.2">
      <c r="A596" s="1">
        <v>106</v>
      </c>
      <c r="B596" s="1" t="str">
        <f t="shared" si="52"/>
        <v>3075-106</v>
      </c>
      <c r="C596" s="99" t="s">
        <v>2294</v>
      </c>
      <c r="D596" s="100" t="s">
        <v>2295</v>
      </c>
      <c r="E596" s="100" t="s">
        <v>2578</v>
      </c>
      <c r="F596" s="99" t="s">
        <v>2366</v>
      </c>
      <c r="G596" s="117" t="s">
        <v>2367</v>
      </c>
      <c r="H596" s="124" t="s">
        <v>2368</v>
      </c>
      <c r="I596" s="100" t="s">
        <v>2300</v>
      </c>
      <c r="J596" s="100" t="s">
        <v>2301</v>
      </c>
      <c r="K596" s="100">
        <v>801116</v>
      </c>
      <c r="L596" s="1" t="s">
        <v>2302</v>
      </c>
      <c r="M596" s="1" t="s">
        <v>493</v>
      </c>
      <c r="N596" s="1" t="s">
        <v>494</v>
      </c>
      <c r="O596" s="100" t="s">
        <v>2369</v>
      </c>
      <c r="P596" s="65" t="s">
        <v>2611</v>
      </c>
      <c r="Q596" s="106">
        <v>6180000</v>
      </c>
      <c r="R596" s="122">
        <v>1</v>
      </c>
      <c r="S596" s="104">
        <v>37080000</v>
      </c>
      <c r="T596" s="1" t="s">
        <v>1619</v>
      </c>
      <c r="U596" s="1" t="s">
        <v>2361</v>
      </c>
      <c r="V596" s="31" t="s">
        <v>516</v>
      </c>
      <c r="W596" s="105">
        <v>6</v>
      </c>
      <c r="X596" s="65" t="s">
        <v>2623</v>
      </c>
      <c r="Y596" s="31">
        <v>43105</v>
      </c>
      <c r="Z596" s="106">
        <v>37080000</v>
      </c>
      <c r="AA596" s="107" t="s">
        <v>50</v>
      </c>
      <c r="AB596" s="20">
        <v>456</v>
      </c>
      <c r="AC596" s="31">
        <v>43111</v>
      </c>
      <c r="AD596" s="108">
        <v>37080000</v>
      </c>
      <c r="AE596" s="108">
        <f t="shared" si="53"/>
        <v>0</v>
      </c>
      <c r="AF596" s="20">
        <v>335</v>
      </c>
      <c r="AG596" s="31">
        <v>43123</v>
      </c>
      <c r="AH596" s="108">
        <v>37080000</v>
      </c>
      <c r="AI596" s="1" t="s">
        <v>2624</v>
      </c>
      <c r="AJ596" s="1">
        <v>340</v>
      </c>
      <c r="AK596" s="109">
        <f t="shared" si="54"/>
        <v>0</v>
      </c>
      <c r="AL596" s="108">
        <v>32136000</v>
      </c>
      <c r="AM596" s="108">
        <f t="shared" si="55"/>
        <v>4944000</v>
      </c>
      <c r="AN596" s="1" t="s">
        <v>2308</v>
      </c>
      <c r="AO596" s="108">
        <f t="shared" si="56"/>
        <v>0</v>
      </c>
      <c r="AP596" s="1"/>
      <c r="AQ596" s="1"/>
      <c r="AR596" s="1"/>
      <c r="AS596" s="1"/>
      <c r="AT596" s="1"/>
      <c r="AU596" s="211"/>
    </row>
    <row r="597" spans="1:47" ht="409.5" x14ac:dyDescent="0.2">
      <c r="A597" s="1">
        <v>107</v>
      </c>
      <c r="B597" s="1" t="str">
        <f t="shared" si="52"/>
        <v>3075-107</v>
      </c>
      <c r="C597" s="99" t="s">
        <v>2294</v>
      </c>
      <c r="D597" s="100" t="s">
        <v>2295</v>
      </c>
      <c r="E597" s="100" t="s">
        <v>2578</v>
      </c>
      <c r="F597" s="99" t="s">
        <v>2366</v>
      </c>
      <c r="G597" s="117" t="s">
        <v>2367</v>
      </c>
      <c r="H597" s="124" t="s">
        <v>2368</v>
      </c>
      <c r="I597" s="100" t="s">
        <v>2300</v>
      </c>
      <c r="J597" s="100" t="s">
        <v>2301</v>
      </c>
      <c r="K597" s="100">
        <v>801116</v>
      </c>
      <c r="L597" s="1" t="s">
        <v>2302</v>
      </c>
      <c r="M597" s="1" t="s">
        <v>493</v>
      </c>
      <c r="N597" s="1" t="s">
        <v>494</v>
      </c>
      <c r="O597" s="100" t="s">
        <v>2369</v>
      </c>
      <c r="P597" s="65" t="s">
        <v>2625</v>
      </c>
      <c r="Q597" s="106">
        <v>1545000</v>
      </c>
      <c r="R597" s="122">
        <v>1</v>
      </c>
      <c r="S597" s="104">
        <v>9270000</v>
      </c>
      <c r="T597" s="1" t="s">
        <v>1634</v>
      </c>
      <c r="U597" s="1" t="s">
        <v>2361</v>
      </c>
      <c r="V597" s="31" t="s">
        <v>516</v>
      </c>
      <c r="W597" s="105">
        <v>6</v>
      </c>
      <c r="X597" s="65" t="s">
        <v>2626</v>
      </c>
      <c r="Y597" s="31">
        <v>43104</v>
      </c>
      <c r="Z597" s="106">
        <v>9270000</v>
      </c>
      <c r="AA597" s="107" t="s">
        <v>50</v>
      </c>
      <c r="AB597" s="20">
        <v>439</v>
      </c>
      <c r="AC597" s="31">
        <v>43111</v>
      </c>
      <c r="AD597" s="108">
        <v>9270000</v>
      </c>
      <c r="AE597" s="108">
        <f t="shared" si="53"/>
        <v>0</v>
      </c>
      <c r="AF597" s="20">
        <v>290</v>
      </c>
      <c r="AG597" s="31">
        <v>43122</v>
      </c>
      <c r="AH597" s="108">
        <v>9270000</v>
      </c>
      <c r="AI597" s="1" t="s">
        <v>2627</v>
      </c>
      <c r="AJ597" s="1">
        <v>259</v>
      </c>
      <c r="AK597" s="109">
        <f t="shared" si="54"/>
        <v>0</v>
      </c>
      <c r="AL597" s="108">
        <v>8188500</v>
      </c>
      <c r="AM597" s="108">
        <f t="shared" si="55"/>
        <v>1081500</v>
      </c>
      <c r="AN597" s="1" t="s">
        <v>2308</v>
      </c>
      <c r="AO597" s="108">
        <f t="shared" si="56"/>
        <v>0</v>
      </c>
      <c r="AP597" s="1"/>
      <c r="AQ597" s="1"/>
      <c r="AR597" s="1"/>
      <c r="AS597" s="1"/>
      <c r="AT597" s="1"/>
      <c r="AU597" s="211"/>
    </row>
    <row r="598" spans="1:47" ht="242.25" x14ac:dyDescent="0.2">
      <c r="A598" s="1">
        <v>108</v>
      </c>
      <c r="B598" s="1" t="str">
        <f t="shared" si="52"/>
        <v>3075-108</v>
      </c>
      <c r="C598" s="99" t="s">
        <v>2294</v>
      </c>
      <c r="D598" s="100" t="s">
        <v>2295</v>
      </c>
      <c r="E598" s="100" t="s">
        <v>2578</v>
      </c>
      <c r="F598" s="99" t="s">
        <v>2366</v>
      </c>
      <c r="G598" s="117" t="s">
        <v>2367</v>
      </c>
      <c r="H598" s="124" t="s">
        <v>2368</v>
      </c>
      <c r="I598" s="100" t="s">
        <v>2300</v>
      </c>
      <c r="J598" s="100" t="s">
        <v>2301</v>
      </c>
      <c r="K598" s="100">
        <v>80111600</v>
      </c>
      <c r="L598" s="1" t="s">
        <v>2302</v>
      </c>
      <c r="M598" s="1" t="s">
        <v>493</v>
      </c>
      <c r="N598" s="1" t="s">
        <v>494</v>
      </c>
      <c r="O598" s="100" t="s">
        <v>2369</v>
      </c>
      <c r="P598" s="65" t="s">
        <v>2628</v>
      </c>
      <c r="Q598" s="106">
        <v>7210000</v>
      </c>
      <c r="R598" s="122">
        <v>1</v>
      </c>
      <c r="S598" s="104">
        <f>10506000-10046040-26400-18600+4573200+17385000+6466840</f>
        <v>28840000</v>
      </c>
      <c r="T598" s="1"/>
      <c r="U598" s="1" t="s">
        <v>2361</v>
      </c>
      <c r="V598" s="31" t="s">
        <v>510</v>
      </c>
      <c r="W598" s="105">
        <v>4</v>
      </c>
      <c r="X598" s="65" t="s">
        <v>2629</v>
      </c>
      <c r="Y598" s="31">
        <v>43327</v>
      </c>
      <c r="Z598" s="106">
        <v>28840000</v>
      </c>
      <c r="AA598" s="107" t="s">
        <v>2630</v>
      </c>
      <c r="AB598" s="20"/>
      <c r="AC598" s="31"/>
      <c r="AD598" s="108"/>
      <c r="AE598" s="108">
        <f t="shared" si="53"/>
        <v>0</v>
      </c>
      <c r="AF598" s="20"/>
      <c r="AG598" s="31"/>
      <c r="AH598" s="108"/>
      <c r="AI598" s="1"/>
      <c r="AJ598" s="1"/>
      <c r="AK598" s="109">
        <f t="shared" si="54"/>
        <v>0</v>
      </c>
      <c r="AL598" s="108"/>
      <c r="AM598" s="108">
        <f t="shared" si="55"/>
        <v>0</v>
      </c>
      <c r="AN598" s="1" t="s">
        <v>2308</v>
      </c>
      <c r="AO598" s="108">
        <f t="shared" si="56"/>
        <v>28840000</v>
      </c>
      <c r="AP598" s="1"/>
      <c r="AQ598" s="1"/>
      <c r="AR598" s="1"/>
      <c r="AS598" s="1"/>
      <c r="AT598" s="1"/>
      <c r="AU598" s="211"/>
    </row>
    <row r="599" spans="1:47" ht="255" x14ac:dyDescent="0.2">
      <c r="A599" s="1">
        <v>109</v>
      </c>
      <c r="B599" s="1" t="str">
        <f t="shared" si="52"/>
        <v>3075-109</v>
      </c>
      <c r="C599" s="99" t="s">
        <v>2294</v>
      </c>
      <c r="D599" s="100" t="s">
        <v>2295</v>
      </c>
      <c r="E599" s="100" t="s">
        <v>2578</v>
      </c>
      <c r="F599" s="99" t="s">
        <v>2366</v>
      </c>
      <c r="G599" s="117" t="s">
        <v>2367</v>
      </c>
      <c r="H599" s="124" t="s">
        <v>2368</v>
      </c>
      <c r="I599" s="100" t="s">
        <v>2300</v>
      </c>
      <c r="J599" s="100" t="s">
        <v>2301</v>
      </c>
      <c r="K599" s="100">
        <v>93141506</v>
      </c>
      <c r="L599" s="1" t="s">
        <v>2302</v>
      </c>
      <c r="M599" s="1" t="s">
        <v>493</v>
      </c>
      <c r="N599" s="1" t="s">
        <v>494</v>
      </c>
      <c r="O599" s="100" t="s">
        <v>2369</v>
      </c>
      <c r="P599" s="65" t="s">
        <v>2441</v>
      </c>
      <c r="Q599" s="106">
        <v>5253000</v>
      </c>
      <c r="R599" s="122">
        <v>1</v>
      </c>
      <c r="S599" s="104">
        <f>19961400+18600+1032000</f>
        <v>21012000</v>
      </c>
      <c r="T599" s="1"/>
      <c r="U599" s="1" t="s">
        <v>2361</v>
      </c>
      <c r="V599" s="31" t="s">
        <v>510</v>
      </c>
      <c r="W599" s="105">
        <v>4</v>
      </c>
      <c r="X599" s="65" t="s">
        <v>2631</v>
      </c>
      <c r="Y599" s="31">
        <v>43321</v>
      </c>
      <c r="Z599" s="106">
        <v>21012000</v>
      </c>
      <c r="AA599" s="107" t="s">
        <v>50</v>
      </c>
      <c r="AB599" s="20"/>
      <c r="AC599" s="31"/>
      <c r="AD599" s="108"/>
      <c r="AE599" s="108">
        <f t="shared" si="53"/>
        <v>0</v>
      </c>
      <c r="AF599" s="20"/>
      <c r="AG599" s="31"/>
      <c r="AH599" s="108"/>
      <c r="AI599" s="1"/>
      <c r="AJ599" s="1"/>
      <c r="AK599" s="109">
        <f t="shared" si="54"/>
        <v>0</v>
      </c>
      <c r="AL599" s="108"/>
      <c r="AM599" s="108">
        <f t="shared" si="55"/>
        <v>0</v>
      </c>
      <c r="AN599" s="1" t="s">
        <v>2308</v>
      </c>
      <c r="AO599" s="108">
        <f t="shared" si="56"/>
        <v>21012000</v>
      </c>
      <c r="AP599" s="1" t="s">
        <v>2632</v>
      </c>
      <c r="AQ599" s="31">
        <v>43320</v>
      </c>
      <c r="AR599" s="1" t="s">
        <v>2326</v>
      </c>
      <c r="AS599" s="31">
        <v>43321</v>
      </c>
      <c r="AT599" s="1" t="s">
        <v>2607</v>
      </c>
      <c r="AU599" s="211"/>
    </row>
    <row r="600" spans="1:47" ht="409.5" x14ac:dyDescent="0.2">
      <c r="A600" s="1">
        <v>110</v>
      </c>
      <c r="B600" s="1" t="str">
        <f t="shared" si="52"/>
        <v>3075-110</v>
      </c>
      <c r="C600" s="99" t="s">
        <v>2294</v>
      </c>
      <c r="D600" s="100" t="s">
        <v>2295</v>
      </c>
      <c r="E600" s="100" t="s">
        <v>2578</v>
      </c>
      <c r="F600" s="99" t="s">
        <v>2366</v>
      </c>
      <c r="G600" s="117" t="s">
        <v>2367</v>
      </c>
      <c r="H600" s="124" t="s">
        <v>2368</v>
      </c>
      <c r="I600" s="100" t="s">
        <v>2300</v>
      </c>
      <c r="J600" s="100" t="s">
        <v>2301</v>
      </c>
      <c r="K600" s="100">
        <v>801116</v>
      </c>
      <c r="L600" s="1" t="s">
        <v>2302</v>
      </c>
      <c r="M600" s="1" t="s">
        <v>493</v>
      </c>
      <c r="N600" s="1" t="s">
        <v>494</v>
      </c>
      <c r="O600" s="100" t="s">
        <v>2369</v>
      </c>
      <c r="P600" s="65" t="s">
        <v>2633</v>
      </c>
      <c r="Q600" s="106">
        <v>3399000</v>
      </c>
      <c r="R600" s="122">
        <v>5</v>
      </c>
      <c r="S600" s="104">
        <f>8232000-1032000</f>
        <v>7200000</v>
      </c>
      <c r="T600" s="1" t="s">
        <v>1634</v>
      </c>
      <c r="U600" s="1" t="s">
        <v>2361</v>
      </c>
      <c r="V600" s="31" t="s">
        <v>498</v>
      </c>
      <c r="W600" s="105">
        <v>6</v>
      </c>
      <c r="X600" s="65" t="s">
        <v>2634</v>
      </c>
      <c r="Y600" s="31">
        <v>43167</v>
      </c>
      <c r="Z600" s="106">
        <v>7200000</v>
      </c>
      <c r="AA600" s="107" t="s">
        <v>50</v>
      </c>
      <c r="AB600" s="20">
        <v>711</v>
      </c>
      <c r="AC600" s="31">
        <v>43168</v>
      </c>
      <c r="AD600" s="108">
        <v>7200000</v>
      </c>
      <c r="AE600" s="108">
        <f t="shared" si="53"/>
        <v>0</v>
      </c>
      <c r="AF600" s="20">
        <v>1639</v>
      </c>
      <c r="AG600" s="31">
        <v>43182</v>
      </c>
      <c r="AH600" s="108">
        <v>7200000</v>
      </c>
      <c r="AI600" s="1" t="s">
        <v>2635</v>
      </c>
      <c r="AJ600" s="1">
        <v>569</v>
      </c>
      <c r="AK600" s="109">
        <f t="shared" si="54"/>
        <v>0</v>
      </c>
      <c r="AL600" s="108">
        <v>5200000</v>
      </c>
      <c r="AM600" s="108">
        <f t="shared" si="55"/>
        <v>2000000</v>
      </c>
      <c r="AN600" s="1" t="s">
        <v>2308</v>
      </c>
      <c r="AO600" s="108">
        <f t="shared" si="56"/>
        <v>0</v>
      </c>
      <c r="AP600" s="1" t="s">
        <v>2636</v>
      </c>
      <c r="AQ600" s="31">
        <v>43167</v>
      </c>
      <c r="AR600" s="1" t="s">
        <v>2326</v>
      </c>
      <c r="AS600" s="31">
        <v>43167</v>
      </c>
      <c r="AT600" s="1" t="s">
        <v>2607</v>
      </c>
      <c r="AU600" s="211"/>
    </row>
    <row r="601" spans="1:47" ht="255" x14ac:dyDescent="0.2">
      <c r="A601" s="1">
        <v>111</v>
      </c>
      <c r="B601" s="1" t="str">
        <f t="shared" si="52"/>
        <v>3075-111</v>
      </c>
      <c r="C601" s="99" t="s">
        <v>2294</v>
      </c>
      <c r="D601" s="100" t="s">
        <v>2295</v>
      </c>
      <c r="E601" s="100" t="s">
        <v>2578</v>
      </c>
      <c r="F601" s="99" t="s">
        <v>2366</v>
      </c>
      <c r="G601" s="117" t="s">
        <v>2367</v>
      </c>
      <c r="H601" s="124" t="s">
        <v>2368</v>
      </c>
      <c r="I601" s="100" t="s">
        <v>2300</v>
      </c>
      <c r="J601" s="100" t="s">
        <v>2301</v>
      </c>
      <c r="K601" s="100">
        <v>93141506</v>
      </c>
      <c r="L601" s="1" t="s">
        <v>2302</v>
      </c>
      <c r="M601" s="1" t="s">
        <v>493</v>
      </c>
      <c r="N601" s="1" t="s">
        <v>494</v>
      </c>
      <c r="O601" s="100" t="s">
        <v>2369</v>
      </c>
      <c r="P601" s="65" t="s">
        <v>2441</v>
      </c>
      <c r="Q601" s="106">
        <v>7210000</v>
      </c>
      <c r="R601" s="122">
        <v>1</v>
      </c>
      <c r="S601" s="104">
        <f>28428000+309000+26400+76600</f>
        <v>28840000</v>
      </c>
      <c r="T601" s="1"/>
      <c r="U601" s="1" t="s">
        <v>2361</v>
      </c>
      <c r="V601" s="31" t="s">
        <v>510</v>
      </c>
      <c r="W601" s="105">
        <v>4</v>
      </c>
      <c r="X601" s="65" t="s">
        <v>2637</v>
      </c>
      <c r="Y601" s="31">
        <v>43321</v>
      </c>
      <c r="Z601" s="106">
        <v>28840000</v>
      </c>
      <c r="AA601" s="107" t="s">
        <v>2638</v>
      </c>
      <c r="AB601" s="20"/>
      <c r="AC601" s="31"/>
      <c r="AD601" s="108"/>
      <c r="AE601" s="108">
        <f t="shared" si="53"/>
        <v>0</v>
      </c>
      <c r="AF601" s="20"/>
      <c r="AG601" s="31"/>
      <c r="AH601" s="108"/>
      <c r="AI601" s="1"/>
      <c r="AJ601" s="1"/>
      <c r="AK601" s="109">
        <f t="shared" si="54"/>
        <v>0</v>
      </c>
      <c r="AL601" s="108"/>
      <c r="AM601" s="108">
        <f t="shared" si="55"/>
        <v>0</v>
      </c>
      <c r="AN601" s="1" t="s">
        <v>2308</v>
      </c>
      <c r="AO601" s="108">
        <f t="shared" si="56"/>
        <v>28840000</v>
      </c>
      <c r="AP601" s="1"/>
      <c r="AQ601" s="31">
        <v>43320</v>
      </c>
      <c r="AR601" s="1" t="s">
        <v>2309</v>
      </c>
      <c r="AS601" s="31">
        <v>43321</v>
      </c>
      <c r="AT601" s="1" t="s">
        <v>2607</v>
      </c>
      <c r="AU601" s="211"/>
    </row>
    <row r="602" spans="1:47" ht="280.5" x14ac:dyDescent="0.2">
      <c r="A602" s="1">
        <v>112</v>
      </c>
      <c r="B602" s="1" t="str">
        <f t="shared" si="52"/>
        <v>3075-112</v>
      </c>
      <c r="C602" s="99" t="s">
        <v>2294</v>
      </c>
      <c r="D602" s="100" t="s">
        <v>2295</v>
      </c>
      <c r="E602" s="100" t="s">
        <v>2578</v>
      </c>
      <c r="F602" s="99" t="s">
        <v>2366</v>
      </c>
      <c r="G602" s="117" t="s">
        <v>2367</v>
      </c>
      <c r="H602" s="124" t="s">
        <v>2368</v>
      </c>
      <c r="I602" s="100" t="s">
        <v>2300</v>
      </c>
      <c r="J602" s="100" t="s">
        <v>2301</v>
      </c>
      <c r="K602" s="100">
        <v>81101500</v>
      </c>
      <c r="L602" s="1" t="s">
        <v>2302</v>
      </c>
      <c r="M602" s="1" t="s">
        <v>493</v>
      </c>
      <c r="N602" s="1" t="s">
        <v>494</v>
      </c>
      <c r="O602" s="100" t="s">
        <v>2369</v>
      </c>
      <c r="P602" s="65" t="s">
        <v>2395</v>
      </c>
      <c r="Q602" s="106">
        <v>5036700</v>
      </c>
      <c r="R602" s="122">
        <v>1</v>
      </c>
      <c r="S602" s="104">
        <f>24720000-4573200</f>
        <v>20146800</v>
      </c>
      <c r="T602" s="1"/>
      <c r="U602" s="1" t="s">
        <v>2361</v>
      </c>
      <c r="V602" s="31" t="s">
        <v>510</v>
      </c>
      <c r="W602" s="105">
        <v>4</v>
      </c>
      <c r="X602" s="65" t="s">
        <v>2639</v>
      </c>
      <c r="Y602" s="31">
        <v>43321</v>
      </c>
      <c r="Z602" s="106">
        <v>20146800</v>
      </c>
      <c r="AA602" s="107"/>
      <c r="AB602" s="20"/>
      <c r="AC602" s="31"/>
      <c r="AD602" s="108"/>
      <c r="AE602" s="108">
        <f t="shared" si="53"/>
        <v>0</v>
      </c>
      <c r="AF602" s="20"/>
      <c r="AG602" s="31"/>
      <c r="AH602" s="108"/>
      <c r="AI602" s="1"/>
      <c r="AJ602" s="1"/>
      <c r="AK602" s="109">
        <f t="shared" si="54"/>
        <v>0</v>
      </c>
      <c r="AL602" s="108"/>
      <c r="AM602" s="108">
        <f t="shared" si="55"/>
        <v>0</v>
      </c>
      <c r="AN602" s="1" t="s">
        <v>2308</v>
      </c>
      <c r="AO602" s="108">
        <f t="shared" si="56"/>
        <v>20146800</v>
      </c>
      <c r="AP602" s="1"/>
      <c r="AQ602" s="31">
        <v>43320</v>
      </c>
      <c r="AR602" s="1" t="s">
        <v>2309</v>
      </c>
      <c r="AS602" s="31">
        <v>43321</v>
      </c>
      <c r="AT602" s="1" t="s">
        <v>2607</v>
      </c>
      <c r="AU602" s="211"/>
    </row>
    <row r="603" spans="1:47" ht="409.5" x14ac:dyDescent="0.2">
      <c r="A603" s="1">
        <v>113</v>
      </c>
      <c r="B603" s="1" t="str">
        <f t="shared" si="52"/>
        <v>3075-113</v>
      </c>
      <c r="C603" s="99" t="s">
        <v>2294</v>
      </c>
      <c r="D603" s="100" t="s">
        <v>2295</v>
      </c>
      <c r="E603" s="100" t="s">
        <v>2578</v>
      </c>
      <c r="F603" s="99" t="s">
        <v>2366</v>
      </c>
      <c r="G603" s="117" t="s">
        <v>2367</v>
      </c>
      <c r="H603" s="124" t="s">
        <v>2368</v>
      </c>
      <c r="I603" s="100" t="s">
        <v>2300</v>
      </c>
      <c r="J603" s="100" t="s">
        <v>2301</v>
      </c>
      <c r="K603" s="100">
        <v>801116</v>
      </c>
      <c r="L603" s="1" t="s">
        <v>2302</v>
      </c>
      <c r="M603" s="1" t="s">
        <v>493</v>
      </c>
      <c r="N603" s="1" t="s">
        <v>494</v>
      </c>
      <c r="O603" s="100" t="s">
        <v>2369</v>
      </c>
      <c r="P603" s="65" t="s">
        <v>2640</v>
      </c>
      <c r="Q603" s="106">
        <v>4532000</v>
      </c>
      <c r="R603" s="122">
        <v>1</v>
      </c>
      <c r="S603" s="104">
        <v>49852000</v>
      </c>
      <c r="T603" s="1" t="s">
        <v>1619</v>
      </c>
      <c r="U603" s="1" t="s">
        <v>2361</v>
      </c>
      <c r="V603" s="31" t="s">
        <v>516</v>
      </c>
      <c r="W603" s="105">
        <v>11</v>
      </c>
      <c r="X603" s="65" t="s">
        <v>2641</v>
      </c>
      <c r="Y603" s="31">
        <v>43104</v>
      </c>
      <c r="Z603" s="106">
        <v>49852000</v>
      </c>
      <c r="AA603" s="107" t="s">
        <v>50</v>
      </c>
      <c r="AB603" s="20">
        <v>459</v>
      </c>
      <c r="AC603" s="31">
        <v>43111</v>
      </c>
      <c r="AD603" s="108">
        <v>49852000</v>
      </c>
      <c r="AE603" s="108">
        <f t="shared" si="53"/>
        <v>0</v>
      </c>
      <c r="AF603" s="20">
        <v>208</v>
      </c>
      <c r="AG603" s="31">
        <v>43118</v>
      </c>
      <c r="AH603" s="108">
        <v>49852000</v>
      </c>
      <c r="AI603" s="1" t="s">
        <v>2642</v>
      </c>
      <c r="AJ603" s="1">
        <v>171</v>
      </c>
      <c r="AK603" s="109">
        <f t="shared" si="54"/>
        <v>0</v>
      </c>
      <c r="AL603" s="108">
        <v>24472800</v>
      </c>
      <c r="AM603" s="108">
        <f t="shared" si="55"/>
        <v>25379200</v>
      </c>
      <c r="AN603" s="1" t="s">
        <v>2308</v>
      </c>
      <c r="AO603" s="108">
        <f t="shared" si="56"/>
        <v>0</v>
      </c>
      <c r="AP603" s="1"/>
      <c r="AQ603" s="1"/>
      <c r="AR603" s="1"/>
      <c r="AS603" s="1"/>
      <c r="AT603" s="1"/>
      <c r="AU603" s="211"/>
    </row>
    <row r="604" spans="1:47" ht="280.5" x14ac:dyDescent="0.2">
      <c r="A604" s="1">
        <v>114</v>
      </c>
      <c r="B604" s="1" t="str">
        <f t="shared" si="52"/>
        <v>3075-114</v>
      </c>
      <c r="C604" s="99" t="s">
        <v>2294</v>
      </c>
      <c r="D604" s="100" t="s">
        <v>2295</v>
      </c>
      <c r="E604" s="100" t="s">
        <v>2578</v>
      </c>
      <c r="F604" s="99" t="s">
        <v>2366</v>
      </c>
      <c r="G604" s="117" t="s">
        <v>2367</v>
      </c>
      <c r="H604" s="124" t="s">
        <v>2368</v>
      </c>
      <c r="I604" s="100" t="s">
        <v>2300</v>
      </c>
      <c r="J604" s="100" t="s">
        <v>2301</v>
      </c>
      <c r="K604" s="100">
        <v>81101500</v>
      </c>
      <c r="L604" s="1" t="s">
        <v>2302</v>
      </c>
      <c r="M604" s="1" t="s">
        <v>493</v>
      </c>
      <c r="N604" s="1" t="s">
        <v>494</v>
      </c>
      <c r="O604" s="100" t="s">
        <v>2369</v>
      </c>
      <c r="P604" s="65" t="s">
        <v>2395</v>
      </c>
      <c r="Q604" s="106">
        <v>3553500</v>
      </c>
      <c r="R604" s="122">
        <v>1</v>
      </c>
      <c r="S604" s="104">
        <f>52611000-21012000-17385000</f>
        <v>14214000</v>
      </c>
      <c r="T604" s="1"/>
      <c r="U604" s="1" t="s">
        <v>2361</v>
      </c>
      <c r="V604" s="31" t="s">
        <v>510</v>
      </c>
      <c r="W604" s="105">
        <v>4</v>
      </c>
      <c r="X604" s="65" t="s">
        <v>2643</v>
      </c>
      <c r="Y604" s="31">
        <v>43321</v>
      </c>
      <c r="Z604" s="106">
        <v>14214000</v>
      </c>
      <c r="AA604" s="107"/>
      <c r="AB604" s="20"/>
      <c r="AC604" s="31"/>
      <c r="AD604" s="108"/>
      <c r="AE604" s="108">
        <f t="shared" si="53"/>
        <v>0</v>
      </c>
      <c r="AF604" s="20"/>
      <c r="AG604" s="31"/>
      <c r="AH604" s="108"/>
      <c r="AI604" s="1"/>
      <c r="AJ604" s="1"/>
      <c r="AK604" s="109">
        <f t="shared" si="54"/>
        <v>0</v>
      </c>
      <c r="AL604" s="108"/>
      <c r="AM604" s="108">
        <f t="shared" si="55"/>
        <v>0</v>
      </c>
      <c r="AN604" s="1" t="s">
        <v>2308</v>
      </c>
      <c r="AO604" s="108">
        <f t="shared" si="56"/>
        <v>14214000</v>
      </c>
      <c r="AP604" s="1"/>
      <c r="AQ604" s="31">
        <v>43320</v>
      </c>
      <c r="AR604" s="1" t="s">
        <v>2309</v>
      </c>
      <c r="AS604" s="31">
        <v>43321</v>
      </c>
      <c r="AT604" s="1" t="s">
        <v>2607</v>
      </c>
      <c r="AU604" s="211"/>
    </row>
    <row r="605" spans="1:47" ht="242.25" x14ac:dyDescent="0.2">
      <c r="A605" s="1">
        <v>115</v>
      </c>
      <c r="B605" s="1" t="str">
        <f t="shared" si="52"/>
        <v>3075-115</v>
      </c>
      <c r="C605" s="99" t="s">
        <v>2294</v>
      </c>
      <c r="D605" s="100" t="s">
        <v>2295</v>
      </c>
      <c r="E605" s="100" t="s">
        <v>2578</v>
      </c>
      <c r="F605" s="99" t="s">
        <v>2366</v>
      </c>
      <c r="G605" s="117" t="s">
        <v>2367</v>
      </c>
      <c r="H605" s="124" t="s">
        <v>2368</v>
      </c>
      <c r="I605" s="100" t="s">
        <v>2300</v>
      </c>
      <c r="J605" s="100" t="s">
        <v>2301</v>
      </c>
      <c r="K605" s="100">
        <v>80111600</v>
      </c>
      <c r="L605" s="1" t="s">
        <v>2302</v>
      </c>
      <c r="M605" s="1" t="s">
        <v>493</v>
      </c>
      <c r="N605" s="1" t="s">
        <v>494</v>
      </c>
      <c r="O605" s="100" t="s">
        <v>2369</v>
      </c>
      <c r="P605" s="65" t="s">
        <v>2644</v>
      </c>
      <c r="Q605" s="106">
        <v>4120000</v>
      </c>
      <c r="R605" s="122">
        <v>1</v>
      </c>
      <c r="S605" s="104">
        <f>33990000-6755240</f>
        <v>27234760</v>
      </c>
      <c r="T605" s="1"/>
      <c r="U605" s="1" t="s">
        <v>2361</v>
      </c>
      <c r="V605" s="31" t="s">
        <v>510</v>
      </c>
      <c r="W605" s="105">
        <v>4</v>
      </c>
      <c r="X605" s="65" t="s">
        <v>2645</v>
      </c>
      <c r="Y605" s="31">
        <v>43321</v>
      </c>
      <c r="Z605" s="106">
        <v>16480000</v>
      </c>
      <c r="AA605" s="107"/>
      <c r="AB605" s="20"/>
      <c r="AC605" s="31"/>
      <c r="AD605" s="108"/>
      <c r="AE605" s="108">
        <f t="shared" si="53"/>
        <v>10754760</v>
      </c>
      <c r="AF605" s="20"/>
      <c r="AG605" s="31"/>
      <c r="AH605" s="108"/>
      <c r="AI605" s="1"/>
      <c r="AJ605" s="1"/>
      <c r="AK605" s="109">
        <f t="shared" si="54"/>
        <v>0</v>
      </c>
      <c r="AL605" s="108"/>
      <c r="AM605" s="108">
        <f t="shared" si="55"/>
        <v>0</v>
      </c>
      <c r="AN605" s="1" t="s">
        <v>2308</v>
      </c>
      <c r="AO605" s="108">
        <f t="shared" si="56"/>
        <v>27234760</v>
      </c>
      <c r="AP605" s="1"/>
      <c r="AQ605" s="31">
        <v>43320</v>
      </c>
      <c r="AR605" s="1" t="s">
        <v>2309</v>
      </c>
      <c r="AS605" s="31">
        <v>43321</v>
      </c>
      <c r="AT605" s="1" t="s">
        <v>2607</v>
      </c>
      <c r="AU605" s="211"/>
    </row>
    <row r="606" spans="1:47" ht="409.5" x14ac:dyDescent="0.2">
      <c r="A606" s="1">
        <v>116</v>
      </c>
      <c r="B606" s="1" t="str">
        <f t="shared" si="52"/>
        <v>3075-116</v>
      </c>
      <c r="C606" s="99" t="s">
        <v>2294</v>
      </c>
      <c r="D606" s="100" t="s">
        <v>2295</v>
      </c>
      <c r="E606" s="100" t="s">
        <v>2578</v>
      </c>
      <c r="F606" s="99" t="s">
        <v>2366</v>
      </c>
      <c r="G606" s="117" t="s">
        <v>2367</v>
      </c>
      <c r="H606" s="124" t="s">
        <v>2368</v>
      </c>
      <c r="I606" s="100" t="s">
        <v>2300</v>
      </c>
      <c r="J606" s="100" t="s">
        <v>2301</v>
      </c>
      <c r="K606" s="100">
        <v>801116</v>
      </c>
      <c r="L606" s="1" t="s">
        <v>2302</v>
      </c>
      <c r="M606" s="1" t="s">
        <v>493</v>
      </c>
      <c r="N606" s="1" t="s">
        <v>494</v>
      </c>
      <c r="O606" s="100" t="s">
        <v>2369</v>
      </c>
      <c r="P606" s="65" t="s">
        <v>2646</v>
      </c>
      <c r="Q606" s="106">
        <v>2472000</v>
      </c>
      <c r="R606" s="122">
        <v>1</v>
      </c>
      <c r="S606" s="104">
        <f>14832000-76600-85400</f>
        <v>14670000</v>
      </c>
      <c r="T606" s="1" t="s">
        <v>1619</v>
      </c>
      <c r="U606" s="1" t="s">
        <v>2361</v>
      </c>
      <c r="V606" s="31" t="s">
        <v>498</v>
      </c>
      <c r="W606" s="105">
        <v>6</v>
      </c>
      <c r="X606" s="65" t="s">
        <v>2647</v>
      </c>
      <c r="Y606" s="31">
        <v>43167</v>
      </c>
      <c r="Z606" s="106">
        <v>14670000</v>
      </c>
      <c r="AA606" s="107" t="s">
        <v>50</v>
      </c>
      <c r="AB606" s="20">
        <v>707</v>
      </c>
      <c r="AC606" s="31">
        <v>43168</v>
      </c>
      <c r="AD606" s="108">
        <v>14670000</v>
      </c>
      <c r="AE606" s="108">
        <f t="shared" si="53"/>
        <v>0</v>
      </c>
      <c r="AF606" s="20">
        <v>1574</v>
      </c>
      <c r="AG606" s="31">
        <v>43173</v>
      </c>
      <c r="AH606" s="108">
        <v>14670000</v>
      </c>
      <c r="AI606" s="1" t="s">
        <v>2648</v>
      </c>
      <c r="AJ606" s="1">
        <v>539</v>
      </c>
      <c r="AK606" s="109">
        <f t="shared" si="54"/>
        <v>0</v>
      </c>
      <c r="AL606" s="108">
        <v>14670000</v>
      </c>
      <c r="AM606" s="108">
        <f t="shared" si="55"/>
        <v>0</v>
      </c>
      <c r="AN606" s="1" t="s">
        <v>2308</v>
      </c>
      <c r="AO606" s="108">
        <f t="shared" si="56"/>
        <v>0</v>
      </c>
      <c r="AP606" s="1" t="s">
        <v>2649</v>
      </c>
      <c r="AQ606" s="1"/>
      <c r="AR606" s="1"/>
      <c r="AS606" s="1"/>
      <c r="AT606" s="1"/>
      <c r="AU606" s="211"/>
    </row>
    <row r="607" spans="1:47" ht="255" x14ac:dyDescent="0.2">
      <c r="A607" s="1">
        <v>117</v>
      </c>
      <c r="B607" s="1" t="str">
        <f t="shared" si="52"/>
        <v>3075-117</v>
      </c>
      <c r="C607" s="99" t="s">
        <v>2294</v>
      </c>
      <c r="D607" s="100" t="s">
        <v>2295</v>
      </c>
      <c r="E607" s="100" t="s">
        <v>2578</v>
      </c>
      <c r="F607" s="99" t="s">
        <v>2366</v>
      </c>
      <c r="G607" s="117" t="s">
        <v>2367</v>
      </c>
      <c r="H607" s="124" t="s">
        <v>2368</v>
      </c>
      <c r="I607" s="100" t="s">
        <v>2300</v>
      </c>
      <c r="J607" s="100" t="s">
        <v>2301</v>
      </c>
      <c r="K607" s="100">
        <v>93141506</v>
      </c>
      <c r="L607" s="1" t="s">
        <v>2302</v>
      </c>
      <c r="M607" s="1" t="s">
        <v>493</v>
      </c>
      <c r="N607" s="1" t="s">
        <v>494</v>
      </c>
      <c r="O607" s="100" t="s">
        <v>2369</v>
      </c>
      <c r="P607" s="65" t="s">
        <v>2441</v>
      </c>
      <c r="Q607" s="106">
        <v>3553500</v>
      </c>
      <c r="R607" s="122">
        <v>1</v>
      </c>
      <c r="S607" s="104">
        <f>42642000-(14214000*2)</f>
        <v>14214000</v>
      </c>
      <c r="T607" s="1"/>
      <c r="U607" s="1" t="s">
        <v>2361</v>
      </c>
      <c r="V607" s="31" t="s">
        <v>510</v>
      </c>
      <c r="W607" s="105">
        <v>4</v>
      </c>
      <c r="X607" s="65" t="s">
        <v>2650</v>
      </c>
      <c r="Y607" s="31">
        <v>43321</v>
      </c>
      <c r="Z607" s="106">
        <v>14214000</v>
      </c>
      <c r="AA607" s="107" t="s">
        <v>50</v>
      </c>
      <c r="AB607" s="20"/>
      <c r="AC607" s="31"/>
      <c r="AD607" s="108"/>
      <c r="AE607" s="108">
        <f t="shared" si="53"/>
        <v>0</v>
      </c>
      <c r="AF607" s="20"/>
      <c r="AG607" s="31"/>
      <c r="AH607" s="108"/>
      <c r="AI607" s="1"/>
      <c r="AJ607" s="1"/>
      <c r="AK607" s="109">
        <f t="shared" si="54"/>
        <v>0</v>
      </c>
      <c r="AL607" s="108"/>
      <c r="AM607" s="108">
        <f t="shared" si="55"/>
        <v>0</v>
      </c>
      <c r="AN607" s="1" t="s">
        <v>2308</v>
      </c>
      <c r="AO607" s="108">
        <f t="shared" si="56"/>
        <v>14214000</v>
      </c>
      <c r="AP607" s="1"/>
      <c r="AQ607" s="31">
        <v>43320</v>
      </c>
      <c r="AR607" s="1" t="s">
        <v>2309</v>
      </c>
      <c r="AS607" s="31">
        <v>43321</v>
      </c>
      <c r="AT607" s="1" t="s">
        <v>2607</v>
      </c>
      <c r="AU607" s="211"/>
    </row>
    <row r="608" spans="1:47" ht="395.25" x14ac:dyDescent="0.2">
      <c r="A608" s="1">
        <v>118</v>
      </c>
      <c r="B608" s="1" t="str">
        <f t="shared" si="52"/>
        <v>3075-118</v>
      </c>
      <c r="C608" s="99" t="s">
        <v>2294</v>
      </c>
      <c r="D608" s="100" t="s">
        <v>2295</v>
      </c>
      <c r="E608" s="100" t="s">
        <v>2578</v>
      </c>
      <c r="F608" s="99" t="s">
        <v>2366</v>
      </c>
      <c r="G608" s="117" t="s">
        <v>2367</v>
      </c>
      <c r="H608" s="124" t="s">
        <v>2368</v>
      </c>
      <c r="I608" s="100" t="s">
        <v>2300</v>
      </c>
      <c r="J608" s="100" t="s">
        <v>2301</v>
      </c>
      <c r="K608" s="100">
        <v>93151501</v>
      </c>
      <c r="L608" s="1" t="s">
        <v>2302</v>
      </c>
      <c r="M608" s="1" t="s">
        <v>493</v>
      </c>
      <c r="N608" s="1" t="s">
        <v>494</v>
      </c>
      <c r="O608" s="100" t="s">
        <v>2369</v>
      </c>
      <c r="P608" s="65" t="s">
        <v>2651</v>
      </c>
      <c r="Q608" s="106">
        <v>3553500</v>
      </c>
      <c r="R608" s="122">
        <v>1</v>
      </c>
      <c r="S608" s="104">
        <f>24720000-10506000</f>
        <v>14214000</v>
      </c>
      <c r="T608" s="1"/>
      <c r="U608" s="1" t="s">
        <v>2361</v>
      </c>
      <c r="V608" s="31" t="s">
        <v>510</v>
      </c>
      <c r="W608" s="105">
        <v>4</v>
      </c>
      <c r="X608" s="65" t="s">
        <v>2652</v>
      </c>
      <c r="Y608" s="31">
        <v>43321</v>
      </c>
      <c r="Z608" s="106">
        <v>14214000</v>
      </c>
      <c r="AA608" s="107" t="s">
        <v>50</v>
      </c>
      <c r="AB608" s="20"/>
      <c r="AC608" s="31"/>
      <c r="AD608" s="108"/>
      <c r="AE608" s="108">
        <f t="shared" si="53"/>
        <v>0</v>
      </c>
      <c r="AF608" s="20"/>
      <c r="AG608" s="31"/>
      <c r="AH608" s="108"/>
      <c r="AI608" s="1"/>
      <c r="AJ608" s="1"/>
      <c r="AK608" s="109">
        <f t="shared" si="54"/>
        <v>0</v>
      </c>
      <c r="AL608" s="108"/>
      <c r="AM608" s="108">
        <f t="shared" si="55"/>
        <v>0</v>
      </c>
      <c r="AN608" s="1" t="s">
        <v>2308</v>
      </c>
      <c r="AO608" s="108">
        <f t="shared" si="56"/>
        <v>14214000</v>
      </c>
      <c r="AP608" s="1"/>
      <c r="AQ608" s="31">
        <v>43320</v>
      </c>
      <c r="AR608" s="1" t="s">
        <v>2309</v>
      </c>
      <c r="AS608" s="31">
        <v>43321</v>
      </c>
      <c r="AT608" s="1" t="s">
        <v>2607</v>
      </c>
      <c r="AU608" s="211"/>
    </row>
    <row r="609" spans="1:47" ht="409.5" x14ac:dyDescent="0.2">
      <c r="A609" s="1">
        <v>119</v>
      </c>
      <c r="B609" s="1" t="str">
        <f t="shared" si="52"/>
        <v>3075-119</v>
      </c>
      <c r="C609" s="99" t="s">
        <v>2294</v>
      </c>
      <c r="D609" s="100" t="s">
        <v>2295</v>
      </c>
      <c r="E609" s="100" t="s">
        <v>2578</v>
      </c>
      <c r="F609" s="99" t="s">
        <v>2366</v>
      </c>
      <c r="G609" s="117" t="s">
        <v>2367</v>
      </c>
      <c r="H609" s="124" t="s">
        <v>2368</v>
      </c>
      <c r="I609" s="100" t="s">
        <v>2300</v>
      </c>
      <c r="J609" s="100" t="s">
        <v>2301</v>
      </c>
      <c r="K609" s="100">
        <v>801116</v>
      </c>
      <c r="L609" s="1" t="s">
        <v>2302</v>
      </c>
      <c r="M609" s="1" t="s">
        <v>493</v>
      </c>
      <c r="N609" s="1" t="s">
        <v>494</v>
      </c>
      <c r="O609" s="100" t="s">
        <v>2369</v>
      </c>
      <c r="P609" s="65" t="s">
        <v>2653</v>
      </c>
      <c r="Q609" s="106">
        <v>5036700</v>
      </c>
      <c r="R609" s="122">
        <v>2</v>
      </c>
      <c r="S609" s="104">
        <v>30220200</v>
      </c>
      <c r="T609" s="1"/>
      <c r="U609" s="1" t="s">
        <v>2361</v>
      </c>
      <c r="V609" s="31" t="s">
        <v>2208</v>
      </c>
      <c r="W609" s="105">
        <v>6</v>
      </c>
      <c r="X609" s="65"/>
      <c r="Y609" s="31"/>
      <c r="Z609" s="106"/>
      <c r="AA609" s="107"/>
      <c r="AB609" s="20"/>
      <c r="AC609" s="31"/>
      <c r="AD609" s="108"/>
      <c r="AE609" s="108">
        <f t="shared" si="53"/>
        <v>30220200</v>
      </c>
      <c r="AF609" s="20"/>
      <c r="AG609" s="31"/>
      <c r="AH609" s="108"/>
      <c r="AI609" s="1"/>
      <c r="AJ609" s="1"/>
      <c r="AK609" s="109">
        <f t="shared" si="54"/>
        <v>0</v>
      </c>
      <c r="AL609" s="108"/>
      <c r="AM609" s="108">
        <f t="shared" si="55"/>
        <v>0</v>
      </c>
      <c r="AN609" s="1" t="s">
        <v>2308</v>
      </c>
      <c r="AO609" s="108">
        <f t="shared" si="56"/>
        <v>30220200</v>
      </c>
      <c r="AP609" s="1"/>
      <c r="AQ609" s="1"/>
      <c r="AR609" s="1"/>
      <c r="AS609" s="1"/>
      <c r="AT609" s="1"/>
      <c r="AU609" s="211"/>
    </row>
    <row r="610" spans="1:47" ht="409.5" x14ac:dyDescent="0.2">
      <c r="A610" s="1">
        <v>120</v>
      </c>
      <c r="B610" s="1" t="str">
        <f t="shared" si="52"/>
        <v>3075-120</v>
      </c>
      <c r="C610" s="99" t="s">
        <v>2294</v>
      </c>
      <c r="D610" s="100" t="s">
        <v>2295</v>
      </c>
      <c r="E610" s="100" t="s">
        <v>2578</v>
      </c>
      <c r="F610" s="99" t="s">
        <v>2366</v>
      </c>
      <c r="G610" s="117" t="s">
        <v>2367</v>
      </c>
      <c r="H610" s="124" t="s">
        <v>2368</v>
      </c>
      <c r="I610" s="100" t="s">
        <v>2300</v>
      </c>
      <c r="J610" s="100" t="s">
        <v>2301</v>
      </c>
      <c r="K610" s="100">
        <v>801116</v>
      </c>
      <c r="L610" s="1" t="s">
        <v>2302</v>
      </c>
      <c r="M610" s="1" t="s">
        <v>493</v>
      </c>
      <c r="N610" s="1" t="s">
        <v>494</v>
      </c>
      <c r="O610" s="100" t="s">
        <v>2369</v>
      </c>
      <c r="P610" s="65" t="s">
        <v>2654</v>
      </c>
      <c r="Q610" s="106">
        <v>5253000</v>
      </c>
      <c r="R610" s="122">
        <v>3</v>
      </c>
      <c r="S610" s="104">
        <f>63036000-(21012000*2)-1050600</f>
        <v>19961400</v>
      </c>
      <c r="T610" s="1" t="s">
        <v>1634</v>
      </c>
      <c r="U610" s="1" t="s">
        <v>2361</v>
      </c>
      <c r="V610" s="31" t="s">
        <v>516</v>
      </c>
      <c r="W610" s="105">
        <v>6</v>
      </c>
      <c r="X610" s="65" t="s">
        <v>2655</v>
      </c>
      <c r="Y610" s="31">
        <v>43119</v>
      </c>
      <c r="Z610" s="106">
        <v>19961400</v>
      </c>
      <c r="AA610" s="107" t="s">
        <v>50</v>
      </c>
      <c r="AB610" s="20">
        <v>543</v>
      </c>
      <c r="AC610" s="31">
        <v>43119</v>
      </c>
      <c r="AD610" s="108">
        <v>19961400</v>
      </c>
      <c r="AE610" s="108">
        <f t="shared" si="53"/>
        <v>0</v>
      </c>
      <c r="AF610" s="20">
        <v>485</v>
      </c>
      <c r="AG610" s="31">
        <v>43126</v>
      </c>
      <c r="AH610" s="108">
        <v>19961400</v>
      </c>
      <c r="AI610" s="1" t="s">
        <v>2656</v>
      </c>
      <c r="AJ610" s="1">
        <v>407</v>
      </c>
      <c r="AK610" s="109">
        <f t="shared" si="54"/>
        <v>0</v>
      </c>
      <c r="AL610" s="108">
        <v>16301810</v>
      </c>
      <c r="AM610" s="108">
        <f t="shared" si="55"/>
        <v>3659590</v>
      </c>
      <c r="AN610" s="1" t="s">
        <v>2308</v>
      </c>
      <c r="AO610" s="108">
        <f t="shared" si="56"/>
        <v>0</v>
      </c>
      <c r="AP610" s="1"/>
      <c r="AQ610" s="1"/>
      <c r="AR610" s="1"/>
      <c r="AS610" s="1"/>
      <c r="AT610" s="1"/>
      <c r="AU610" s="211"/>
    </row>
    <row r="611" spans="1:47" ht="409.5" x14ac:dyDescent="0.2">
      <c r="A611" s="1">
        <v>121</v>
      </c>
      <c r="B611" s="1" t="str">
        <f t="shared" si="52"/>
        <v>3075-121</v>
      </c>
      <c r="C611" s="99" t="s">
        <v>2294</v>
      </c>
      <c r="D611" s="100" t="s">
        <v>2295</v>
      </c>
      <c r="E611" s="100" t="s">
        <v>2578</v>
      </c>
      <c r="F611" s="99" t="s">
        <v>2366</v>
      </c>
      <c r="G611" s="117" t="s">
        <v>2367</v>
      </c>
      <c r="H611" s="124" t="s">
        <v>2368</v>
      </c>
      <c r="I611" s="100" t="s">
        <v>2300</v>
      </c>
      <c r="J611" s="100" t="s">
        <v>2301</v>
      </c>
      <c r="K611" s="100">
        <v>801116</v>
      </c>
      <c r="L611" s="1" t="s">
        <v>2302</v>
      </c>
      <c r="M611" s="1" t="s">
        <v>493</v>
      </c>
      <c r="N611" s="1" t="s">
        <v>494</v>
      </c>
      <c r="O611" s="100" t="s">
        <v>2369</v>
      </c>
      <c r="P611" s="65" t="s">
        <v>2657</v>
      </c>
      <c r="Q611" s="106">
        <v>7210000</v>
      </c>
      <c r="R611" s="122">
        <v>1</v>
      </c>
      <c r="S611" s="104">
        <v>43260000</v>
      </c>
      <c r="T611" s="1" t="s">
        <v>1619</v>
      </c>
      <c r="U611" s="1" t="s">
        <v>2361</v>
      </c>
      <c r="V611" s="31" t="s">
        <v>516</v>
      </c>
      <c r="W611" s="105">
        <v>6</v>
      </c>
      <c r="X611" s="65" t="s">
        <v>2658</v>
      </c>
      <c r="Y611" s="31">
        <v>43104</v>
      </c>
      <c r="Z611" s="106">
        <v>43260000</v>
      </c>
      <c r="AA611" s="107" t="s">
        <v>50</v>
      </c>
      <c r="AB611" s="20">
        <v>468</v>
      </c>
      <c r="AC611" s="31">
        <v>43112</v>
      </c>
      <c r="AD611" s="108">
        <v>43260000</v>
      </c>
      <c r="AE611" s="108">
        <f t="shared" si="53"/>
        <v>0</v>
      </c>
      <c r="AF611" s="20">
        <v>278</v>
      </c>
      <c r="AG611" s="31">
        <v>43122</v>
      </c>
      <c r="AH611" s="108">
        <v>43260000</v>
      </c>
      <c r="AI611" s="1" t="s">
        <v>2659</v>
      </c>
      <c r="AJ611" s="1">
        <v>248</v>
      </c>
      <c r="AK611" s="109">
        <f t="shared" si="54"/>
        <v>0</v>
      </c>
      <c r="AL611" s="108">
        <v>38213000</v>
      </c>
      <c r="AM611" s="108">
        <f t="shared" si="55"/>
        <v>5047000</v>
      </c>
      <c r="AN611" s="1" t="s">
        <v>2308</v>
      </c>
      <c r="AO611" s="108">
        <f t="shared" si="56"/>
        <v>0</v>
      </c>
      <c r="AP611" s="1"/>
      <c r="AQ611" s="1"/>
      <c r="AR611" s="1"/>
      <c r="AS611" s="1"/>
      <c r="AT611" s="1"/>
      <c r="AU611" s="211"/>
    </row>
    <row r="612" spans="1:47" ht="409.5" x14ac:dyDescent="0.2">
      <c r="A612" s="1">
        <v>122</v>
      </c>
      <c r="B612" s="1" t="str">
        <f t="shared" si="52"/>
        <v>3075-122</v>
      </c>
      <c r="C612" s="99" t="s">
        <v>2294</v>
      </c>
      <c r="D612" s="100" t="s">
        <v>2295</v>
      </c>
      <c r="E612" s="100" t="s">
        <v>2578</v>
      </c>
      <c r="F612" s="99" t="s">
        <v>2366</v>
      </c>
      <c r="G612" s="117" t="s">
        <v>2367</v>
      </c>
      <c r="H612" s="124" t="s">
        <v>2368</v>
      </c>
      <c r="I612" s="100" t="s">
        <v>2300</v>
      </c>
      <c r="J612" s="100" t="s">
        <v>2301</v>
      </c>
      <c r="K612" s="100">
        <v>801116</v>
      </c>
      <c r="L612" s="1" t="s">
        <v>2302</v>
      </c>
      <c r="M612" s="1" t="s">
        <v>493</v>
      </c>
      <c r="N612" s="1" t="s">
        <v>494</v>
      </c>
      <c r="O612" s="100" t="s">
        <v>2369</v>
      </c>
      <c r="P612" s="65" t="s">
        <v>2660</v>
      </c>
      <c r="Q612" s="106">
        <v>7210000</v>
      </c>
      <c r="R612" s="122">
        <v>1</v>
      </c>
      <c r="S612" s="104">
        <v>43260000</v>
      </c>
      <c r="T612" s="1" t="s">
        <v>1619</v>
      </c>
      <c r="U612" s="1" t="s">
        <v>2361</v>
      </c>
      <c r="V612" s="31" t="s">
        <v>516</v>
      </c>
      <c r="W612" s="105">
        <v>6</v>
      </c>
      <c r="X612" s="65" t="s">
        <v>2661</v>
      </c>
      <c r="Y612" s="31">
        <v>43104</v>
      </c>
      <c r="Z612" s="106">
        <v>43260000</v>
      </c>
      <c r="AA612" s="107" t="s">
        <v>50</v>
      </c>
      <c r="AB612" s="20">
        <v>464</v>
      </c>
      <c r="AC612" s="31">
        <v>43112</v>
      </c>
      <c r="AD612" s="108">
        <v>43260000</v>
      </c>
      <c r="AE612" s="108">
        <f t="shared" si="53"/>
        <v>0</v>
      </c>
      <c r="AF612" s="20">
        <v>403</v>
      </c>
      <c r="AG612" s="31">
        <v>43124</v>
      </c>
      <c r="AH612" s="108">
        <v>43260000</v>
      </c>
      <c r="AI612" s="1" t="s">
        <v>2662</v>
      </c>
      <c r="AJ612" s="1">
        <v>332</v>
      </c>
      <c r="AK612" s="109">
        <f t="shared" si="54"/>
        <v>0</v>
      </c>
      <c r="AL612" s="108">
        <v>37492000</v>
      </c>
      <c r="AM612" s="108">
        <f t="shared" si="55"/>
        <v>5768000</v>
      </c>
      <c r="AN612" s="1" t="s">
        <v>2308</v>
      </c>
      <c r="AO612" s="108">
        <f t="shared" si="56"/>
        <v>0</v>
      </c>
      <c r="AP612" s="1"/>
      <c r="AQ612" s="1"/>
      <c r="AR612" s="1"/>
      <c r="AS612" s="1"/>
      <c r="AT612" s="1"/>
      <c r="AU612" s="211"/>
    </row>
    <row r="613" spans="1:47" ht="409.5" x14ac:dyDescent="0.2">
      <c r="A613" s="1">
        <v>123</v>
      </c>
      <c r="B613" s="1" t="str">
        <f t="shared" si="52"/>
        <v>3075-123</v>
      </c>
      <c r="C613" s="99" t="s">
        <v>2294</v>
      </c>
      <c r="D613" s="100" t="s">
        <v>2295</v>
      </c>
      <c r="E613" s="100" t="s">
        <v>2578</v>
      </c>
      <c r="F613" s="99" t="s">
        <v>2366</v>
      </c>
      <c r="G613" s="117" t="s">
        <v>2367</v>
      </c>
      <c r="H613" s="124" t="s">
        <v>2368</v>
      </c>
      <c r="I613" s="100" t="s">
        <v>2300</v>
      </c>
      <c r="J613" s="100" t="s">
        <v>2301</v>
      </c>
      <c r="K613" s="100">
        <v>801116</v>
      </c>
      <c r="L613" s="1" t="s">
        <v>2302</v>
      </c>
      <c r="M613" s="1" t="s">
        <v>493</v>
      </c>
      <c r="N613" s="1" t="s">
        <v>494</v>
      </c>
      <c r="O613" s="100" t="s">
        <v>2369</v>
      </c>
      <c r="P613" s="65" t="s">
        <v>2663</v>
      </c>
      <c r="Q613" s="106">
        <v>6180000</v>
      </c>
      <c r="R613" s="122">
        <v>1</v>
      </c>
      <c r="S613" s="104">
        <v>37080000</v>
      </c>
      <c r="T613" s="1" t="s">
        <v>1619</v>
      </c>
      <c r="U613" s="1" t="s">
        <v>2361</v>
      </c>
      <c r="V613" s="31" t="s">
        <v>516</v>
      </c>
      <c r="W613" s="105">
        <v>6</v>
      </c>
      <c r="X613" s="65" t="s">
        <v>2664</v>
      </c>
      <c r="Y613" s="31">
        <v>43103</v>
      </c>
      <c r="Z613" s="106">
        <v>37080000</v>
      </c>
      <c r="AA613" s="107" t="s">
        <v>50</v>
      </c>
      <c r="AB613" s="20">
        <v>367</v>
      </c>
      <c r="AC613" s="31">
        <v>43110</v>
      </c>
      <c r="AD613" s="108">
        <v>37080000</v>
      </c>
      <c r="AE613" s="108">
        <f t="shared" si="53"/>
        <v>0</v>
      </c>
      <c r="AF613" s="20">
        <v>267</v>
      </c>
      <c r="AG613" s="31">
        <v>43119</v>
      </c>
      <c r="AH613" s="108">
        <v>37080000</v>
      </c>
      <c r="AI613" s="1" t="s">
        <v>2665</v>
      </c>
      <c r="AJ613" s="1">
        <v>237</v>
      </c>
      <c r="AK613" s="109">
        <f t="shared" si="54"/>
        <v>0</v>
      </c>
      <c r="AL613" s="108">
        <v>32754000</v>
      </c>
      <c r="AM613" s="108">
        <f t="shared" si="55"/>
        <v>4326000</v>
      </c>
      <c r="AN613" s="1" t="s">
        <v>2308</v>
      </c>
      <c r="AO613" s="108">
        <f t="shared" si="56"/>
        <v>0</v>
      </c>
      <c r="AP613" s="1"/>
      <c r="AQ613" s="1"/>
      <c r="AR613" s="1"/>
      <c r="AS613" s="1"/>
      <c r="AT613" s="1"/>
      <c r="AU613" s="211"/>
    </row>
    <row r="614" spans="1:47" ht="267.75" x14ac:dyDescent="0.2">
      <c r="A614" s="1">
        <v>124</v>
      </c>
      <c r="B614" s="1" t="str">
        <f t="shared" si="52"/>
        <v>3075-124</v>
      </c>
      <c r="C614" s="99" t="s">
        <v>2294</v>
      </c>
      <c r="D614" s="100" t="s">
        <v>2295</v>
      </c>
      <c r="E614" s="100" t="s">
        <v>2296</v>
      </c>
      <c r="F614" s="99" t="s">
        <v>2366</v>
      </c>
      <c r="G614" s="117" t="s">
        <v>2367</v>
      </c>
      <c r="H614" s="124" t="s">
        <v>2368</v>
      </c>
      <c r="I614" s="100" t="s">
        <v>2300</v>
      </c>
      <c r="J614" s="100" t="s">
        <v>2301</v>
      </c>
      <c r="K614" s="100">
        <v>801116</v>
      </c>
      <c r="L614" s="1" t="s">
        <v>2302</v>
      </c>
      <c r="M614" s="1" t="s">
        <v>493</v>
      </c>
      <c r="N614" s="1" t="s">
        <v>494</v>
      </c>
      <c r="O614" s="100" t="s">
        <v>2369</v>
      </c>
      <c r="P614" s="100" t="s">
        <v>2666</v>
      </c>
      <c r="Q614" s="106">
        <v>2060000</v>
      </c>
      <c r="R614" s="122">
        <v>1</v>
      </c>
      <c r="S614" s="104">
        <v>23690000</v>
      </c>
      <c r="T614" s="1" t="s">
        <v>1619</v>
      </c>
      <c r="U614" s="1" t="s">
        <v>2361</v>
      </c>
      <c r="V614" s="31" t="s">
        <v>516</v>
      </c>
      <c r="W614" s="105">
        <v>11.5</v>
      </c>
      <c r="X614" s="65" t="s">
        <v>2667</v>
      </c>
      <c r="Y614" s="31">
        <v>43109</v>
      </c>
      <c r="Z614" s="106">
        <v>23690000</v>
      </c>
      <c r="AA614" s="107" t="s">
        <v>50</v>
      </c>
      <c r="AB614" s="20">
        <v>432</v>
      </c>
      <c r="AC614" s="31">
        <v>43111</v>
      </c>
      <c r="AD614" s="108">
        <v>23690000</v>
      </c>
      <c r="AE614" s="109">
        <f t="shared" si="53"/>
        <v>0</v>
      </c>
      <c r="AF614" s="20">
        <v>42</v>
      </c>
      <c r="AG614" s="31">
        <v>43116</v>
      </c>
      <c r="AH614" s="108">
        <v>23690000</v>
      </c>
      <c r="AI614" s="1" t="s">
        <v>570</v>
      </c>
      <c r="AJ614" s="1">
        <v>36</v>
      </c>
      <c r="AK614" s="109">
        <f t="shared" si="54"/>
        <v>0</v>
      </c>
      <c r="AL614" s="108">
        <v>10300000</v>
      </c>
      <c r="AM614" s="108">
        <f t="shared" si="55"/>
        <v>13390000</v>
      </c>
      <c r="AN614" s="1" t="s">
        <v>2308</v>
      </c>
      <c r="AO614" s="108">
        <f t="shared" si="56"/>
        <v>0</v>
      </c>
      <c r="AP614" s="1"/>
      <c r="AQ614" s="1"/>
      <c r="AR614" s="1"/>
      <c r="AS614" s="1"/>
      <c r="AT614" s="1"/>
      <c r="AU614" s="211"/>
    </row>
    <row r="615" spans="1:47" ht="255" x14ac:dyDescent="0.2">
      <c r="A615" s="1">
        <v>125</v>
      </c>
      <c r="B615" s="1" t="str">
        <f t="shared" si="52"/>
        <v>3075-125</v>
      </c>
      <c r="C615" s="99" t="s">
        <v>2294</v>
      </c>
      <c r="D615" s="100" t="s">
        <v>2295</v>
      </c>
      <c r="E615" s="100" t="s">
        <v>2296</v>
      </c>
      <c r="F615" s="99" t="s">
        <v>2366</v>
      </c>
      <c r="G615" s="117" t="s">
        <v>2367</v>
      </c>
      <c r="H615" s="102" t="s">
        <v>2368</v>
      </c>
      <c r="I615" s="100" t="s">
        <v>2300</v>
      </c>
      <c r="J615" s="100" t="s">
        <v>2301</v>
      </c>
      <c r="K615" s="100">
        <v>801116</v>
      </c>
      <c r="L615" s="1" t="s">
        <v>2302</v>
      </c>
      <c r="M615" s="1" t="s">
        <v>493</v>
      </c>
      <c r="N615" s="1" t="s">
        <v>494</v>
      </c>
      <c r="O615" s="100" t="s">
        <v>2369</v>
      </c>
      <c r="P615" s="100" t="s">
        <v>2441</v>
      </c>
      <c r="Q615" s="106">
        <v>3553500</v>
      </c>
      <c r="R615" s="1">
        <v>1</v>
      </c>
      <c r="S615" s="104">
        <v>31981500</v>
      </c>
      <c r="T615" s="1" t="s">
        <v>1619</v>
      </c>
      <c r="U615" s="1" t="s">
        <v>2361</v>
      </c>
      <c r="V615" s="31" t="s">
        <v>516</v>
      </c>
      <c r="W615" s="105">
        <v>9</v>
      </c>
      <c r="X615" s="1" t="s">
        <v>2668</v>
      </c>
      <c r="Y615" s="31">
        <v>43102</v>
      </c>
      <c r="Z615" s="106">
        <v>31981500</v>
      </c>
      <c r="AA615" s="107" t="s">
        <v>2669</v>
      </c>
      <c r="AB615" s="20">
        <v>313</v>
      </c>
      <c r="AC615" s="31">
        <v>43110</v>
      </c>
      <c r="AD615" s="108">
        <v>31981500</v>
      </c>
      <c r="AE615" s="109">
        <f t="shared" si="53"/>
        <v>0</v>
      </c>
      <c r="AF615" s="20">
        <v>342</v>
      </c>
      <c r="AG615" s="31">
        <v>43123</v>
      </c>
      <c r="AH615" s="108">
        <v>31981500</v>
      </c>
      <c r="AI615" s="1" t="s">
        <v>2670</v>
      </c>
      <c r="AJ615" s="1">
        <v>346</v>
      </c>
      <c r="AK615" s="109">
        <f t="shared" si="54"/>
        <v>0</v>
      </c>
      <c r="AL615" s="108">
        <v>18359750</v>
      </c>
      <c r="AM615" s="108">
        <f t="shared" si="55"/>
        <v>13621750</v>
      </c>
      <c r="AN615" s="1" t="s">
        <v>2308</v>
      </c>
      <c r="AO615" s="108">
        <f t="shared" si="56"/>
        <v>0</v>
      </c>
      <c r="AP615" s="1"/>
      <c r="AQ615" s="1"/>
      <c r="AR615" s="1"/>
      <c r="AS615" s="1"/>
      <c r="AT615" s="1"/>
      <c r="AU615" s="211"/>
    </row>
    <row r="616" spans="1:47" ht="255" x14ac:dyDescent="0.2">
      <c r="A616" s="1">
        <v>126</v>
      </c>
      <c r="B616" s="1" t="str">
        <f t="shared" si="52"/>
        <v>3075-126</v>
      </c>
      <c r="C616" s="99" t="s">
        <v>2294</v>
      </c>
      <c r="D616" s="100" t="s">
        <v>2295</v>
      </c>
      <c r="E616" s="100" t="s">
        <v>2296</v>
      </c>
      <c r="F616" s="99" t="s">
        <v>2366</v>
      </c>
      <c r="G616" s="117" t="s">
        <v>2367</v>
      </c>
      <c r="H616" s="102" t="s">
        <v>2368</v>
      </c>
      <c r="I616" s="100" t="s">
        <v>2300</v>
      </c>
      <c r="J616" s="100" t="s">
        <v>2301</v>
      </c>
      <c r="K616" s="100">
        <v>801116</v>
      </c>
      <c r="L616" s="1" t="s">
        <v>2302</v>
      </c>
      <c r="M616" s="1" t="s">
        <v>493</v>
      </c>
      <c r="N616" s="1" t="s">
        <v>494</v>
      </c>
      <c r="O616" s="100" t="s">
        <v>2369</v>
      </c>
      <c r="P616" s="100" t="s">
        <v>2441</v>
      </c>
      <c r="Q616" s="106">
        <v>4120000</v>
      </c>
      <c r="R616" s="1">
        <v>1</v>
      </c>
      <c r="S616" s="104">
        <v>37080000</v>
      </c>
      <c r="T616" s="1" t="s">
        <v>1619</v>
      </c>
      <c r="U616" s="1" t="s">
        <v>2361</v>
      </c>
      <c r="V616" s="31" t="s">
        <v>516</v>
      </c>
      <c r="W616" s="105">
        <v>9</v>
      </c>
      <c r="X616" s="1" t="s">
        <v>2671</v>
      </c>
      <c r="Y616" s="31">
        <v>43102</v>
      </c>
      <c r="Z616" s="106">
        <v>37080000</v>
      </c>
      <c r="AA616" s="107" t="s">
        <v>2672</v>
      </c>
      <c r="AB616" s="20">
        <v>316</v>
      </c>
      <c r="AC616" s="31">
        <v>43110</v>
      </c>
      <c r="AD616" s="108">
        <v>37080000</v>
      </c>
      <c r="AE616" s="109">
        <f t="shared" si="53"/>
        <v>0</v>
      </c>
      <c r="AF616" s="20">
        <v>202</v>
      </c>
      <c r="AG616" s="31">
        <v>43118</v>
      </c>
      <c r="AH616" s="108">
        <v>37080000</v>
      </c>
      <c r="AI616" s="1" t="s">
        <v>2673</v>
      </c>
      <c r="AJ616" s="1">
        <v>191</v>
      </c>
      <c r="AK616" s="109">
        <f t="shared" si="54"/>
        <v>0</v>
      </c>
      <c r="AL616" s="108">
        <v>22248000</v>
      </c>
      <c r="AM616" s="108">
        <f t="shared" si="55"/>
        <v>14832000</v>
      </c>
      <c r="AN616" s="1" t="s">
        <v>2308</v>
      </c>
      <c r="AO616" s="108">
        <f t="shared" si="56"/>
        <v>0</v>
      </c>
      <c r="AP616" s="1"/>
      <c r="AQ616" s="1"/>
      <c r="AR616" s="1"/>
      <c r="AS616" s="1"/>
      <c r="AT616" s="1"/>
      <c r="AU616" s="211"/>
    </row>
    <row r="617" spans="1:47" ht="369.75" x14ac:dyDescent="0.2">
      <c r="A617" s="1">
        <v>127</v>
      </c>
      <c r="B617" s="1" t="str">
        <f t="shared" si="52"/>
        <v>3075-127</v>
      </c>
      <c r="C617" s="99" t="s">
        <v>2294</v>
      </c>
      <c r="D617" s="100" t="s">
        <v>2295</v>
      </c>
      <c r="E617" s="100" t="s">
        <v>2296</v>
      </c>
      <c r="F617" s="99" t="s">
        <v>2366</v>
      </c>
      <c r="G617" s="117" t="s">
        <v>2367</v>
      </c>
      <c r="H617" s="102" t="s">
        <v>2368</v>
      </c>
      <c r="I617" s="100" t="s">
        <v>2300</v>
      </c>
      <c r="J617" s="100" t="s">
        <v>2301</v>
      </c>
      <c r="K617" s="100">
        <v>801116</v>
      </c>
      <c r="L617" s="1" t="s">
        <v>2302</v>
      </c>
      <c r="M617" s="1" t="s">
        <v>493</v>
      </c>
      <c r="N617" s="1" t="s">
        <v>494</v>
      </c>
      <c r="O617" s="100" t="s">
        <v>2369</v>
      </c>
      <c r="P617" s="100" t="s">
        <v>2521</v>
      </c>
      <c r="Q617" s="106">
        <v>3399000</v>
      </c>
      <c r="R617" s="1">
        <v>1</v>
      </c>
      <c r="S617" s="104">
        <v>27192000</v>
      </c>
      <c r="T617" s="1" t="s">
        <v>1619</v>
      </c>
      <c r="U617" s="1" t="s">
        <v>2361</v>
      </c>
      <c r="V617" s="31" t="s">
        <v>516</v>
      </c>
      <c r="W617" s="105">
        <v>8</v>
      </c>
      <c r="X617" s="1" t="s">
        <v>2674</v>
      </c>
      <c r="Y617" s="31">
        <v>43102</v>
      </c>
      <c r="Z617" s="106">
        <v>27192000</v>
      </c>
      <c r="AA617" s="107" t="s">
        <v>2675</v>
      </c>
      <c r="AB617" s="20">
        <v>318</v>
      </c>
      <c r="AC617" s="31">
        <v>43110</v>
      </c>
      <c r="AD617" s="108">
        <v>27192000</v>
      </c>
      <c r="AE617" s="109">
        <f t="shared" si="53"/>
        <v>0</v>
      </c>
      <c r="AF617" s="20">
        <v>346</v>
      </c>
      <c r="AG617" s="31">
        <v>43123</v>
      </c>
      <c r="AH617" s="108">
        <v>27192000</v>
      </c>
      <c r="AI617" s="1" t="s">
        <v>2676</v>
      </c>
      <c r="AJ617" s="1">
        <v>294</v>
      </c>
      <c r="AK617" s="109">
        <f t="shared" si="54"/>
        <v>0</v>
      </c>
      <c r="AL617" s="108">
        <v>17788100</v>
      </c>
      <c r="AM617" s="108">
        <f t="shared" si="55"/>
        <v>9403900</v>
      </c>
      <c r="AN617" s="1" t="s">
        <v>2308</v>
      </c>
      <c r="AO617" s="108">
        <f t="shared" si="56"/>
        <v>0</v>
      </c>
      <c r="AP617" s="1"/>
      <c r="AQ617" s="1"/>
      <c r="AR617" s="1"/>
      <c r="AS617" s="1"/>
      <c r="AT617" s="1"/>
      <c r="AU617" s="211"/>
    </row>
    <row r="618" spans="1:47" ht="280.5" x14ac:dyDescent="0.2">
      <c r="A618" s="1">
        <v>128</v>
      </c>
      <c r="B618" s="1" t="str">
        <f t="shared" si="52"/>
        <v>3075-128</v>
      </c>
      <c r="C618" s="99" t="s">
        <v>2294</v>
      </c>
      <c r="D618" s="100" t="s">
        <v>2295</v>
      </c>
      <c r="E618" s="100" t="s">
        <v>2296</v>
      </c>
      <c r="F618" s="99" t="s">
        <v>2366</v>
      </c>
      <c r="G618" s="117" t="s">
        <v>2367</v>
      </c>
      <c r="H618" s="102" t="s">
        <v>2368</v>
      </c>
      <c r="I618" s="100" t="s">
        <v>2300</v>
      </c>
      <c r="J618" s="100" t="s">
        <v>2301</v>
      </c>
      <c r="K618" s="100">
        <v>801116</v>
      </c>
      <c r="L618" s="1" t="s">
        <v>2302</v>
      </c>
      <c r="M618" s="1" t="s">
        <v>493</v>
      </c>
      <c r="N618" s="1" t="s">
        <v>494</v>
      </c>
      <c r="O618" s="100" t="s">
        <v>2369</v>
      </c>
      <c r="P618" s="100" t="s">
        <v>2395</v>
      </c>
      <c r="Q618" s="106">
        <v>4120000</v>
      </c>
      <c r="R618" s="1">
        <v>1</v>
      </c>
      <c r="S618" s="104">
        <v>37080000</v>
      </c>
      <c r="T618" s="1" t="s">
        <v>1619</v>
      </c>
      <c r="U618" s="1" t="s">
        <v>2361</v>
      </c>
      <c r="V618" s="31" t="s">
        <v>516</v>
      </c>
      <c r="W618" s="105">
        <v>9</v>
      </c>
      <c r="X618" s="1" t="s">
        <v>2677</v>
      </c>
      <c r="Y618" s="31">
        <v>43102</v>
      </c>
      <c r="Z618" s="106">
        <v>37080000</v>
      </c>
      <c r="AA618" s="107" t="s">
        <v>2678</v>
      </c>
      <c r="AB618" s="20">
        <v>374</v>
      </c>
      <c r="AC618" s="31">
        <v>43110</v>
      </c>
      <c r="AD618" s="108">
        <v>37080000</v>
      </c>
      <c r="AE618" s="109">
        <f t="shared" si="53"/>
        <v>0</v>
      </c>
      <c r="AF618" s="20">
        <v>359</v>
      </c>
      <c r="AG618" s="31">
        <v>43123</v>
      </c>
      <c r="AH618" s="108">
        <v>37080000</v>
      </c>
      <c r="AI618" s="1" t="s">
        <v>2679</v>
      </c>
      <c r="AJ618" s="1">
        <v>300</v>
      </c>
      <c r="AK618" s="109">
        <f t="shared" si="54"/>
        <v>0</v>
      </c>
      <c r="AL618" s="108">
        <v>20874667</v>
      </c>
      <c r="AM618" s="108">
        <f t="shared" si="55"/>
        <v>16205333</v>
      </c>
      <c r="AN618" s="1" t="s">
        <v>2308</v>
      </c>
      <c r="AO618" s="108">
        <f t="shared" si="56"/>
        <v>0</v>
      </c>
      <c r="AP618" s="1"/>
      <c r="AQ618" s="1"/>
      <c r="AR618" s="1"/>
      <c r="AS618" s="1"/>
      <c r="AT618" s="1"/>
      <c r="AU618" s="211"/>
    </row>
    <row r="619" spans="1:47" ht="293.25" x14ac:dyDescent="0.2">
      <c r="A619" s="1">
        <v>129</v>
      </c>
      <c r="B619" s="1" t="str">
        <f t="shared" ref="B619:B682" si="57">CONCATENATE("3075","-",A619)</f>
        <v>3075-129</v>
      </c>
      <c r="C619" s="99" t="s">
        <v>2294</v>
      </c>
      <c r="D619" s="100" t="s">
        <v>2295</v>
      </c>
      <c r="E619" s="100" t="s">
        <v>2296</v>
      </c>
      <c r="F619" s="99" t="s">
        <v>2366</v>
      </c>
      <c r="G619" s="117" t="s">
        <v>2367</v>
      </c>
      <c r="H619" s="102" t="s">
        <v>2368</v>
      </c>
      <c r="I619" s="100" t="s">
        <v>2300</v>
      </c>
      <c r="J619" s="100" t="s">
        <v>2301</v>
      </c>
      <c r="K619" s="100">
        <v>801116</v>
      </c>
      <c r="L619" s="1" t="s">
        <v>2302</v>
      </c>
      <c r="M619" s="1" t="s">
        <v>493</v>
      </c>
      <c r="N619" s="1" t="s">
        <v>494</v>
      </c>
      <c r="O619" s="100" t="s">
        <v>2369</v>
      </c>
      <c r="P619" s="100" t="s">
        <v>2373</v>
      </c>
      <c r="Q619" s="106">
        <v>1751000</v>
      </c>
      <c r="R619" s="1">
        <v>1</v>
      </c>
      <c r="S619" s="104">
        <v>19261000</v>
      </c>
      <c r="T619" s="1" t="s">
        <v>1634</v>
      </c>
      <c r="U619" s="1" t="s">
        <v>2361</v>
      </c>
      <c r="V619" s="31" t="s">
        <v>516</v>
      </c>
      <c r="W619" s="105">
        <v>11</v>
      </c>
      <c r="X619" s="1" t="s">
        <v>2680</v>
      </c>
      <c r="Y619" s="31">
        <v>43102</v>
      </c>
      <c r="Z619" s="106">
        <v>19261000</v>
      </c>
      <c r="AA619" s="107" t="s">
        <v>2681</v>
      </c>
      <c r="AB619" s="20">
        <v>380</v>
      </c>
      <c r="AC619" s="31">
        <v>43110</v>
      </c>
      <c r="AD619" s="108">
        <v>19261000</v>
      </c>
      <c r="AE619" s="109">
        <f t="shared" ref="AE619:AE682" si="58">S619-Z619</f>
        <v>0</v>
      </c>
      <c r="AF619" s="20">
        <v>338</v>
      </c>
      <c r="AG619" s="31">
        <v>43123</v>
      </c>
      <c r="AH619" s="108">
        <v>19261000</v>
      </c>
      <c r="AI619" s="1" t="s">
        <v>2682</v>
      </c>
      <c r="AJ619" s="1">
        <v>343</v>
      </c>
      <c r="AK619" s="109">
        <f t="shared" ref="AK619:AK682" si="59">AD619-AH619</f>
        <v>0</v>
      </c>
      <c r="AL619" s="108">
        <v>9105200</v>
      </c>
      <c r="AM619" s="108">
        <f t="shared" ref="AM619:AM682" si="60">AH619-AL619</f>
        <v>10155800</v>
      </c>
      <c r="AN619" s="1" t="s">
        <v>2308</v>
      </c>
      <c r="AO619" s="108">
        <f t="shared" ref="AO619:AO682" si="61">S619-AH619</f>
        <v>0</v>
      </c>
      <c r="AP619" s="1"/>
      <c r="AQ619" s="1"/>
      <c r="AR619" s="1"/>
      <c r="AS619" s="1"/>
      <c r="AT619" s="1"/>
      <c r="AU619" s="211"/>
    </row>
    <row r="620" spans="1:47" ht="382.5" x14ac:dyDescent="0.2">
      <c r="A620" s="1">
        <v>130</v>
      </c>
      <c r="B620" s="1" t="str">
        <f t="shared" si="57"/>
        <v>3075-130</v>
      </c>
      <c r="C620" s="99" t="s">
        <v>2294</v>
      </c>
      <c r="D620" s="100" t="s">
        <v>2295</v>
      </c>
      <c r="E620" s="100" t="s">
        <v>2296</v>
      </c>
      <c r="F620" s="99" t="s">
        <v>2366</v>
      </c>
      <c r="G620" s="117" t="s">
        <v>2367</v>
      </c>
      <c r="H620" s="102" t="s">
        <v>2368</v>
      </c>
      <c r="I620" s="100" t="s">
        <v>2300</v>
      </c>
      <c r="J620" s="100" t="s">
        <v>2301</v>
      </c>
      <c r="K620" s="100">
        <v>801116</v>
      </c>
      <c r="L620" s="1" t="s">
        <v>2302</v>
      </c>
      <c r="M620" s="1" t="s">
        <v>493</v>
      </c>
      <c r="N620" s="1" t="s">
        <v>494</v>
      </c>
      <c r="O620" s="100" t="s">
        <v>2369</v>
      </c>
      <c r="P620" s="100" t="s">
        <v>2683</v>
      </c>
      <c r="Q620" s="106">
        <v>8240000</v>
      </c>
      <c r="R620" s="1">
        <v>1</v>
      </c>
      <c r="S620" s="104">
        <v>82400000</v>
      </c>
      <c r="T620" s="1" t="s">
        <v>1619</v>
      </c>
      <c r="U620" s="1" t="s">
        <v>2361</v>
      </c>
      <c r="V620" s="31" t="s">
        <v>516</v>
      </c>
      <c r="W620" s="105">
        <v>10</v>
      </c>
      <c r="X620" s="1" t="s">
        <v>2684</v>
      </c>
      <c r="Y620" s="31">
        <v>43102</v>
      </c>
      <c r="Z620" s="106">
        <v>82400000</v>
      </c>
      <c r="AA620" s="107" t="s">
        <v>2685</v>
      </c>
      <c r="AB620" s="20">
        <v>381</v>
      </c>
      <c r="AC620" s="31">
        <v>43110</v>
      </c>
      <c r="AD620" s="108">
        <v>82400000</v>
      </c>
      <c r="AE620" s="109">
        <f t="shared" si="58"/>
        <v>0</v>
      </c>
      <c r="AF620" s="20">
        <v>134</v>
      </c>
      <c r="AG620" s="31">
        <v>43117</v>
      </c>
      <c r="AH620" s="108">
        <v>82400000</v>
      </c>
      <c r="AI620" s="1" t="s">
        <v>2686</v>
      </c>
      <c r="AJ620" s="1">
        <v>143</v>
      </c>
      <c r="AK620" s="109">
        <f t="shared" si="59"/>
        <v>0</v>
      </c>
      <c r="AL620" s="108">
        <v>44770667</v>
      </c>
      <c r="AM620" s="108">
        <f t="shared" si="60"/>
        <v>37629333</v>
      </c>
      <c r="AN620" s="1" t="s">
        <v>2308</v>
      </c>
      <c r="AO620" s="108">
        <f t="shared" si="61"/>
        <v>0</v>
      </c>
      <c r="AP620" s="1"/>
      <c r="AQ620" s="1"/>
      <c r="AR620" s="1"/>
      <c r="AS620" s="1"/>
      <c r="AT620" s="1"/>
      <c r="AU620" s="211"/>
    </row>
    <row r="621" spans="1:47" ht="293.25" x14ac:dyDescent="0.2">
      <c r="A621" s="1">
        <v>131</v>
      </c>
      <c r="B621" s="1" t="str">
        <f t="shared" si="57"/>
        <v>3075-131</v>
      </c>
      <c r="C621" s="99" t="s">
        <v>2294</v>
      </c>
      <c r="D621" s="100" t="s">
        <v>2295</v>
      </c>
      <c r="E621" s="100" t="s">
        <v>2296</v>
      </c>
      <c r="F621" s="99" t="s">
        <v>2366</v>
      </c>
      <c r="G621" s="117" t="s">
        <v>2367</v>
      </c>
      <c r="H621" s="102" t="s">
        <v>2368</v>
      </c>
      <c r="I621" s="100" t="s">
        <v>2300</v>
      </c>
      <c r="J621" s="100" t="s">
        <v>2301</v>
      </c>
      <c r="K621" s="100">
        <v>801116</v>
      </c>
      <c r="L621" s="1" t="s">
        <v>2302</v>
      </c>
      <c r="M621" s="1" t="s">
        <v>493</v>
      </c>
      <c r="N621" s="1" t="s">
        <v>494</v>
      </c>
      <c r="O621" s="100" t="s">
        <v>2369</v>
      </c>
      <c r="P621" s="118" t="s">
        <v>2373</v>
      </c>
      <c r="Q621" s="106">
        <v>1545000</v>
      </c>
      <c r="R621" s="1">
        <v>1</v>
      </c>
      <c r="S621" s="104">
        <v>9270000</v>
      </c>
      <c r="T621" s="1" t="s">
        <v>1634</v>
      </c>
      <c r="U621" s="1" t="s">
        <v>2361</v>
      </c>
      <c r="V621" s="31" t="s">
        <v>516</v>
      </c>
      <c r="W621" s="105">
        <v>6</v>
      </c>
      <c r="X621" s="1" t="s">
        <v>2687</v>
      </c>
      <c r="Y621" s="31">
        <v>43102</v>
      </c>
      <c r="Z621" s="106">
        <v>9270000</v>
      </c>
      <c r="AA621" s="107" t="s">
        <v>2688</v>
      </c>
      <c r="AB621" s="20">
        <v>382</v>
      </c>
      <c r="AC621" s="31">
        <v>43110</v>
      </c>
      <c r="AD621" s="108">
        <v>9270000</v>
      </c>
      <c r="AE621" s="109">
        <f t="shared" si="58"/>
        <v>0</v>
      </c>
      <c r="AF621" s="20">
        <v>191</v>
      </c>
      <c r="AG621" s="31">
        <v>43118</v>
      </c>
      <c r="AH621" s="108">
        <v>9270000</v>
      </c>
      <c r="AI621" s="1" t="s">
        <v>2689</v>
      </c>
      <c r="AJ621" s="1">
        <v>166</v>
      </c>
      <c r="AK621" s="109">
        <f t="shared" si="59"/>
        <v>0</v>
      </c>
      <c r="AL621" s="108">
        <v>8343000</v>
      </c>
      <c r="AM621" s="108">
        <f t="shared" si="60"/>
        <v>927000</v>
      </c>
      <c r="AN621" s="1" t="s">
        <v>2308</v>
      </c>
      <c r="AO621" s="108">
        <f t="shared" si="61"/>
        <v>0</v>
      </c>
      <c r="AP621" s="1"/>
      <c r="AQ621" s="1"/>
      <c r="AR621" s="1"/>
      <c r="AS621" s="1"/>
      <c r="AT621" s="1"/>
      <c r="AU621" s="211"/>
    </row>
    <row r="622" spans="1:47" ht="344.25" x14ac:dyDescent="0.2">
      <c r="A622" s="1">
        <v>132</v>
      </c>
      <c r="B622" s="1" t="str">
        <f t="shared" si="57"/>
        <v>3075-132</v>
      </c>
      <c r="C622" s="99" t="s">
        <v>2294</v>
      </c>
      <c r="D622" s="100" t="s">
        <v>2295</v>
      </c>
      <c r="E622" s="100" t="s">
        <v>2296</v>
      </c>
      <c r="F622" s="99" t="s">
        <v>2366</v>
      </c>
      <c r="G622" s="117" t="s">
        <v>2367</v>
      </c>
      <c r="H622" s="102" t="s">
        <v>2368</v>
      </c>
      <c r="I622" s="100" t="s">
        <v>2300</v>
      </c>
      <c r="J622" s="100" t="s">
        <v>2301</v>
      </c>
      <c r="K622" s="100">
        <v>801116</v>
      </c>
      <c r="L622" s="1" t="s">
        <v>2302</v>
      </c>
      <c r="M622" s="1" t="s">
        <v>493</v>
      </c>
      <c r="N622" s="1" t="s">
        <v>494</v>
      </c>
      <c r="O622" s="100" t="s">
        <v>2369</v>
      </c>
      <c r="P622" s="100" t="s">
        <v>2690</v>
      </c>
      <c r="Q622" s="106">
        <v>4120000</v>
      </c>
      <c r="R622" s="1">
        <v>1</v>
      </c>
      <c r="S622" s="104">
        <v>45320000</v>
      </c>
      <c r="T622" s="1" t="s">
        <v>1619</v>
      </c>
      <c r="U622" s="1" t="s">
        <v>2361</v>
      </c>
      <c r="V622" s="31" t="s">
        <v>516</v>
      </c>
      <c r="W622" s="105">
        <v>11</v>
      </c>
      <c r="X622" s="1" t="s">
        <v>2691</v>
      </c>
      <c r="Y622" s="31">
        <v>43102</v>
      </c>
      <c r="Z622" s="106">
        <v>45320000</v>
      </c>
      <c r="AA622" s="107" t="s">
        <v>2692</v>
      </c>
      <c r="AB622" s="20">
        <v>383</v>
      </c>
      <c r="AC622" s="31">
        <v>43110</v>
      </c>
      <c r="AD622" s="108">
        <v>45320000</v>
      </c>
      <c r="AE622" s="109">
        <f t="shared" si="58"/>
        <v>0</v>
      </c>
      <c r="AF622" s="20">
        <v>182</v>
      </c>
      <c r="AG622" s="31">
        <v>43118</v>
      </c>
      <c r="AH622" s="108">
        <v>45320000</v>
      </c>
      <c r="AI622" s="1" t="s">
        <v>2693</v>
      </c>
      <c r="AJ622" s="1">
        <v>108</v>
      </c>
      <c r="AK622" s="109">
        <f t="shared" si="59"/>
        <v>0</v>
      </c>
      <c r="AL622" s="108">
        <v>22385333</v>
      </c>
      <c r="AM622" s="108">
        <f t="shared" si="60"/>
        <v>22934667</v>
      </c>
      <c r="AN622" s="1" t="s">
        <v>2308</v>
      </c>
      <c r="AO622" s="108">
        <f t="shared" si="61"/>
        <v>0</v>
      </c>
      <c r="AP622" s="1"/>
      <c r="AQ622" s="1"/>
      <c r="AR622" s="1"/>
      <c r="AS622" s="1"/>
      <c r="AT622" s="1"/>
      <c r="AU622" s="211"/>
    </row>
    <row r="623" spans="1:47" ht="242.25" x14ac:dyDescent="0.2">
      <c r="A623" s="1">
        <v>133</v>
      </c>
      <c r="B623" s="1" t="str">
        <f t="shared" si="57"/>
        <v>3075-133</v>
      </c>
      <c r="C623" s="99" t="s">
        <v>2294</v>
      </c>
      <c r="D623" s="100" t="s">
        <v>2295</v>
      </c>
      <c r="E623" s="100" t="s">
        <v>2296</v>
      </c>
      <c r="F623" s="99" t="s">
        <v>2366</v>
      </c>
      <c r="G623" s="117" t="s">
        <v>2367</v>
      </c>
      <c r="H623" s="102" t="s">
        <v>2368</v>
      </c>
      <c r="I623" s="100" t="s">
        <v>2300</v>
      </c>
      <c r="J623" s="100" t="s">
        <v>2301</v>
      </c>
      <c r="K623" s="100">
        <v>801116</v>
      </c>
      <c r="L623" s="1" t="s">
        <v>2302</v>
      </c>
      <c r="M623" s="1" t="s">
        <v>493</v>
      </c>
      <c r="N623" s="1" t="s">
        <v>494</v>
      </c>
      <c r="O623" s="100" t="s">
        <v>2369</v>
      </c>
      <c r="P623" s="100" t="s">
        <v>2694</v>
      </c>
      <c r="Q623" s="106">
        <v>4120000</v>
      </c>
      <c r="R623" s="1">
        <v>1</v>
      </c>
      <c r="S623" s="104">
        <v>37080000</v>
      </c>
      <c r="T623" s="1" t="s">
        <v>1619</v>
      </c>
      <c r="U623" s="1" t="s">
        <v>2361</v>
      </c>
      <c r="V623" s="31" t="s">
        <v>516</v>
      </c>
      <c r="W623" s="105">
        <v>9</v>
      </c>
      <c r="X623" s="1" t="s">
        <v>2695</v>
      </c>
      <c r="Y623" s="31">
        <v>43102</v>
      </c>
      <c r="Z623" s="106">
        <v>37080000</v>
      </c>
      <c r="AA623" s="107" t="s">
        <v>2696</v>
      </c>
      <c r="AB623" s="20">
        <v>384</v>
      </c>
      <c r="AC623" s="31">
        <v>43110</v>
      </c>
      <c r="AD623" s="108">
        <v>37080000</v>
      </c>
      <c r="AE623" s="109">
        <f t="shared" si="58"/>
        <v>0</v>
      </c>
      <c r="AF623" s="20">
        <v>274</v>
      </c>
      <c r="AG623" s="31">
        <v>43122</v>
      </c>
      <c r="AH623" s="108">
        <v>37080000</v>
      </c>
      <c r="AI623" s="1" t="s">
        <v>2697</v>
      </c>
      <c r="AJ623" s="1">
        <v>244</v>
      </c>
      <c r="AK623" s="109">
        <f t="shared" si="59"/>
        <v>0</v>
      </c>
      <c r="AL623" s="108">
        <v>21836000</v>
      </c>
      <c r="AM623" s="108">
        <f t="shared" si="60"/>
        <v>15244000</v>
      </c>
      <c r="AN623" s="1" t="s">
        <v>2308</v>
      </c>
      <c r="AO623" s="108">
        <f t="shared" si="61"/>
        <v>0</v>
      </c>
      <c r="AP623" s="1"/>
      <c r="AQ623" s="1"/>
      <c r="AR623" s="1"/>
      <c r="AS623" s="1"/>
      <c r="AT623" s="1"/>
      <c r="AU623" s="211"/>
    </row>
    <row r="624" spans="1:47" ht="267.75" x14ac:dyDescent="0.2">
      <c r="A624" s="1">
        <v>134</v>
      </c>
      <c r="B624" s="1" t="str">
        <f t="shared" si="57"/>
        <v>3075-134</v>
      </c>
      <c r="C624" s="99" t="s">
        <v>2294</v>
      </c>
      <c r="D624" s="100" t="s">
        <v>2295</v>
      </c>
      <c r="E624" s="100" t="s">
        <v>2296</v>
      </c>
      <c r="F624" s="99" t="s">
        <v>2366</v>
      </c>
      <c r="G624" s="117" t="s">
        <v>2367</v>
      </c>
      <c r="H624" s="102" t="s">
        <v>2368</v>
      </c>
      <c r="I624" s="100" t="s">
        <v>2300</v>
      </c>
      <c r="J624" s="100" t="s">
        <v>2301</v>
      </c>
      <c r="K624" s="100">
        <v>801116</v>
      </c>
      <c r="L624" s="1" t="s">
        <v>2302</v>
      </c>
      <c r="M624" s="1" t="s">
        <v>493</v>
      </c>
      <c r="N624" s="1" t="s">
        <v>494</v>
      </c>
      <c r="O624" s="100" t="s">
        <v>2369</v>
      </c>
      <c r="P624" s="100" t="s">
        <v>2698</v>
      </c>
      <c r="Q624" s="106">
        <v>4120000</v>
      </c>
      <c r="R624" s="1">
        <v>1</v>
      </c>
      <c r="S624" s="104">
        <v>41200000</v>
      </c>
      <c r="T624" s="1" t="s">
        <v>1619</v>
      </c>
      <c r="U624" s="1" t="s">
        <v>2361</v>
      </c>
      <c r="V624" s="31" t="s">
        <v>516</v>
      </c>
      <c r="W624" s="105">
        <v>10</v>
      </c>
      <c r="X624" s="1" t="s">
        <v>2699</v>
      </c>
      <c r="Y624" s="31">
        <v>43102</v>
      </c>
      <c r="Z624" s="106">
        <v>41200000</v>
      </c>
      <c r="AA624" s="107" t="s">
        <v>2696</v>
      </c>
      <c r="AB624" s="20">
        <v>386</v>
      </c>
      <c r="AC624" s="31">
        <v>43110</v>
      </c>
      <c r="AD624" s="108">
        <v>41200000</v>
      </c>
      <c r="AE624" s="109">
        <f t="shared" si="58"/>
        <v>0</v>
      </c>
      <c r="AF624" s="20">
        <v>287</v>
      </c>
      <c r="AG624" s="31">
        <v>43122</v>
      </c>
      <c r="AH624" s="108">
        <v>41200000</v>
      </c>
      <c r="AI624" s="1" t="s">
        <v>2700</v>
      </c>
      <c r="AJ624" s="1">
        <v>251</v>
      </c>
      <c r="AK624" s="109">
        <f t="shared" si="59"/>
        <v>0</v>
      </c>
      <c r="AL624" s="108">
        <v>21836000</v>
      </c>
      <c r="AM624" s="108">
        <f t="shared" si="60"/>
        <v>19364000</v>
      </c>
      <c r="AN624" s="1" t="s">
        <v>2308</v>
      </c>
      <c r="AO624" s="108">
        <f t="shared" si="61"/>
        <v>0</v>
      </c>
      <c r="AP624" s="1"/>
      <c r="AQ624" s="1"/>
      <c r="AR624" s="1"/>
      <c r="AS624" s="1"/>
      <c r="AT624" s="1"/>
      <c r="AU624" s="211"/>
    </row>
    <row r="625" spans="1:47" ht="293.25" x14ac:dyDescent="0.2">
      <c r="A625" s="1">
        <v>135</v>
      </c>
      <c r="B625" s="1" t="str">
        <f t="shared" si="57"/>
        <v>3075-135</v>
      </c>
      <c r="C625" s="99" t="s">
        <v>2294</v>
      </c>
      <c r="D625" s="100" t="s">
        <v>2295</v>
      </c>
      <c r="E625" s="100" t="s">
        <v>2296</v>
      </c>
      <c r="F625" s="99" t="s">
        <v>2366</v>
      </c>
      <c r="G625" s="117" t="s">
        <v>2367</v>
      </c>
      <c r="H625" s="102" t="s">
        <v>2368</v>
      </c>
      <c r="I625" s="100" t="s">
        <v>2300</v>
      </c>
      <c r="J625" s="100" t="s">
        <v>2301</v>
      </c>
      <c r="K625" s="100">
        <v>801116</v>
      </c>
      <c r="L625" s="1" t="s">
        <v>2302</v>
      </c>
      <c r="M625" s="1" t="s">
        <v>493</v>
      </c>
      <c r="N625" s="1" t="s">
        <v>494</v>
      </c>
      <c r="O625" s="100" t="s">
        <v>2369</v>
      </c>
      <c r="P625" s="100" t="s">
        <v>2373</v>
      </c>
      <c r="Q625" s="106">
        <v>1751000</v>
      </c>
      <c r="R625" s="1">
        <v>1</v>
      </c>
      <c r="S625" s="104">
        <v>19261000</v>
      </c>
      <c r="T625" s="1" t="s">
        <v>1634</v>
      </c>
      <c r="U625" s="1" t="s">
        <v>2361</v>
      </c>
      <c r="V625" s="31" t="s">
        <v>516</v>
      </c>
      <c r="W625" s="105">
        <v>11</v>
      </c>
      <c r="X625" s="1" t="s">
        <v>2701</v>
      </c>
      <c r="Y625" s="31">
        <v>43102</v>
      </c>
      <c r="Z625" s="106">
        <v>19261000</v>
      </c>
      <c r="AA625" s="107" t="s">
        <v>2681</v>
      </c>
      <c r="AB625" s="20">
        <v>387</v>
      </c>
      <c r="AC625" s="31">
        <v>43110</v>
      </c>
      <c r="AD625" s="108">
        <v>19261000</v>
      </c>
      <c r="AE625" s="109">
        <f t="shared" si="58"/>
        <v>0</v>
      </c>
      <c r="AF625" s="20">
        <v>126</v>
      </c>
      <c r="AG625" s="31">
        <v>43117</v>
      </c>
      <c r="AH625" s="108">
        <v>19261000</v>
      </c>
      <c r="AI625" s="1" t="s">
        <v>2702</v>
      </c>
      <c r="AJ625" s="1">
        <v>118</v>
      </c>
      <c r="AK625" s="109">
        <f t="shared" si="59"/>
        <v>0</v>
      </c>
      <c r="AL625" s="108">
        <v>9513767</v>
      </c>
      <c r="AM625" s="108">
        <f t="shared" si="60"/>
        <v>9747233</v>
      </c>
      <c r="AN625" s="1" t="s">
        <v>2308</v>
      </c>
      <c r="AO625" s="108">
        <f t="shared" si="61"/>
        <v>0</v>
      </c>
      <c r="AP625" s="1"/>
      <c r="AQ625" s="1"/>
      <c r="AR625" s="1"/>
      <c r="AS625" s="1"/>
      <c r="AT625" s="1"/>
      <c r="AU625" s="211"/>
    </row>
    <row r="626" spans="1:47" ht="280.5" x14ac:dyDescent="0.2">
      <c r="A626" s="1">
        <v>136</v>
      </c>
      <c r="B626" s="1" t="str">
        <f t="shared" si="57"/>
        <v>3075-136</v>
      </c>
      <c r="C626" s="99" t="s">
        <v>2294</v>
      </c>
      <c r="D626" s="100" t="s">
        <v>2295</v>
      </c>
      <c r="E626" s="100" t="s">
        <v>2296</v>
      </c>
      <c r="F626" s="99" t="s">
        <v>2366</v>
      </c>
      <c r="G626" s="117" t="s">
        <v>2367</v>
      </c>
      <c r="H626" s="102" t="s">
        <v>2368</v>
      </c>
      <c r="I626" s="100" t="s">
        <v>2300</v>
      </c>
      <c r="J626" s="100" t="s">
        <v>2301</v>
      </c>
      <c r="K626" s="100">
        <v>801116</v>
      </c>
      <c r="L626" s="1" t="s">
        <v>2302</v>
      </c>
      <c r="M626" s="1" t="s">
        <v>493</v>
      </c>
      <c r="N626" s="1" t="s">
        <v>494</v>
      </c>
      <c r="O626" s="100" t="s">
        <v>2369</v>
      </c>
      <c r="P626" s="100" t="s">
        <v>2395</v>
      </c>
      <c r="Q626" s="106">
        <v>4120000</v>
      </c>
      <c r="R626" s="1">
        <v>1</v>
      </c>
      <c r="S626" s="104">
        <v>45320000</v>
      </c>
      <c r="T626" s="1" t="s">
        <v>1619</v>
      </c>
      <c r="U626" s="1" t="s">
        <v>2361</v>
      </c>
      <c r="V626" s="31" t="s">
        <v>516</v>
      </c>
      <c r="W626" s="105">
        <v>11</v>
      </c>
      <c r="X626" s="1" t="s">
        <v>2703</v>
      </c>
      <c r="Y626" s="31">
        <v>43102</v>
      </c>
      <c r="Z626" s="106">
        <v>45320000</v>
      </c>
      <c r="AA626" s="107" t="s">
        <v>2678</v>
      </c>
      <c r="AB626" s="20">
        <v>388</v>
      </c>
      <c r="AC626" s="31">
        <v>43110</v>
      </c>
      <c r="AD626" s="108">
        <v>45320000</v>
      </c>
      <c r="AE626" s="109">
        <f t="shared" si="58"/>
        <v>0</v>
      </c>
      <c r="AF626" s="20">
        <v>129</v>
      </c>
      <c r="AG626" s="31">
        <v>43117</v>
      </c>
      <c r="AH626" s="108">
        <v>45320000</v>
      </c>
      <c r="AI626" s="1" t="s">
        <v>2704</v>
      </c>
      <c r="AJ626" s="1">
        <v>120</v>
      </c>
      <c r="AK626" s="109">
        <f t="shared" si="59"/>
        <v>0</v>
      </c>
      <c r="AL626" s="108">
        <v>22385333</v>
      </c>
      <c r="AM626" s="108">
        <f t="shared" si="60"/>
        <v>22934667</v>
      </c>
      <c r="AN626" s="1" t="s">
        <v>2308</v>
      </c>
      <c r="AO626" s="108">
        <f t="shared" si="61"/>
        <v>0</v>
      </c>
      <c r="AP626" s="1"/>
      <c r="AQ626" s="1"/>
      <c r="AR626" s="1"/>
      <c r="AS626" s="1"/>
      <c r="AT626" s="1"/>
      <c r="AU626" s="211"/>
    </row>
    <row r="627" spans="1:47" ht="293.25" x14ac:dyDescent="0.2">
      <c r="A627" s="1">
        <v>137</v>
      </c>
      <c r="B627" s="1" t="str">
        <f t="shared" si="57"/>
        <v>3075-137</v>
      </c>
      <c r="C627" s="99" t="s">
        <v>2294</v>
      </c>
      <c r="D627" s="100" t="s">
        <v>2295</v>
      </c>
      <c r="E627" s="100" t="s">
        <v>2296</v>
      </c>
      <c r="F627" s="99" t="s">
        <v>2366</v>
      </c>
      <c r="G627" s="117" t="s">
        <v>2367</v>
      </c>
      <c r="H627" s="102" t="s">
        <v>2368</v>
      </c>
      <c r="I627" s="100" t="s">
        <v>2300</v>
      </c>
      <c r="J627" s="100" t="s">
        <v>2301</v>
      </c>
      <c r="K627" s="100">
        <v>801116</v>
      </c>
      <c r="L627" s="1" t="s">
        <v>2302</v>
      </c>
      <c r="M627" s="1" t="s">
        <v>493</v>
      </c>
      <c r="N627" s="1" t="s">
        <v>494</v>
      </c>
      <c r="O627" s="100" t="s">
        <v>2369</v>
      </c>
      <c r="P627" s="118" t="s">
        <v>2373</v>
      </c>
      <c r="Q627" s="106">
        <v>1545000</v>
      </c>
      <c r="R627" s="1">
        <v>1</v>
      </c>
      <c r="S627" s="104">
        <v>16995000</v>
      </c>
      <c r="T627" s="1" t="s">
        <v>1634</v>
      </c>
      <c r="U627" s="1" t="s">
        <v>2361</v>
      </c>
      <c r="V627" s="31" t="s">
        <v>516</v>
      </c>
      <c r="W627" s="105">
        <v>11</v>
      </c>
      <c r="X627" s="1" t="s">
        <v>2705</v>
      </c>
      <c r="Y627" s="31">
        <v>43102</v>
      </c>
      <c r="Z627" s="106">
        <v>16995000</v>
      </c>
      <c r="AA627" s="107" t="s">
        <v>2688</v>
      </c>
      <c r="AB627" s="20">
        <v>389</v>
      </c>
      <c r="AC627" s="31">
        <v>43110</v>
      </c>
      <c r="AD627" s="108">
        <v>16995000</v>
      </c>
      <c r="AE627" s="109">
        <f t="shared" si="58"/>
        <v>0</v>
      </c>
      <c r="AF627" s="20">
        <v>355</v>
      </c>
      <c r="AG627" s="31">
        <v>43123</v>
      </c>
      <c r="AH627" s="108">
        <v>16995000</v>
      </c>
      <c r="AI627" s="1" t="s">
        <v>2706</v>
      </c>
      <c r="AJ627" s="1">
        <v>352</v>
      </c>
      <c r="AK627" s="109">
        <f t="shared" si="59"/>
        <v>0</v>
      </c>
      <c r="AL627" s="108">
        <v>8034000</v>
      </c>
      <c r="AM627" s="108">
        <f t="shared" si="60"/>
        <v>8961000</v>
      </c>
      <c r="AN627" s="1" t="s">
        <v>2308</v>
      </c>
      <c r="AO627" s="108">
        <f t="shared" si="61"/>
        <v>0</v>
      </c>
      <c r="AP627" s="1"/>
      <c r="AQ627" s="1"/>
      <c r="AR627" s="1"/>
      <c r="AS627" s="1"/>
      <c r="AT627" s="1"/>
      <c r="AU627" s="211"/>
    </row>
    <row r="628" spans="1:47" ht="344.25" x14ac:dyDescent="0.2">
      <c r="A628" s="1">
        <v>138</v>
      </c>
      <c r="B628" s="1" t="str">
        <f t="shared" si="57"/>
        <v>3075-138</v>
      </c>
      <c r="C628" s="99" t="s">
        <v>2294</v>
      </c>
      <c r="D628" s="100" t="s">
        <v>2295</v>
      </c>
      <c r="E628" s="100" t="s">
        <v>2296</v>
      </c>
      <c r="F628" s="99" t="s">
        <v>2366</v>
      </c>
      <c r="G628" s="117" t="s">
        <v>2367</v>
      </c>
      <c r="H628" s="102" t="s">
        <v>2368</v>
      </c>
      <c r="I628" s="100" t="s">
        <v>2300</v>
      </c>
      <c r="J628" s="100" t="s">
        <v>2301</v>
      </c>
      <c r="K628" s="100">
        <v>801116</v>
      </c>
      <c r="L628" s="1" t="s">
        <v>2302</v>
      </c>
      <c r="M628" s="1" t="s">
        <v>493</v>
      </c>
      <c r="N628" s="1" t="s">
        <v>494</v>
      </c>
      <c r="O628" s="100" t="s">
        <v>2369</v>
      </c>
      <c r="P628" s="100" t="s">
        <v>2707</v>
      </c>
      <c r="Q628" s="106">
        <v>4120000</v>
      </c>
      <c r="R628" s="1">
        <v>1</v>
      </c>
      <c r="S628" s="104">
        <v>41200000</v>
      </c>
      <c r="T628" s="1" t="s">
        <v>1619</v>
      </c>
      <c r="U628" s="1" t="s">
        <v>2361</v>
      </c>
      <c r="V628" s="31" t="s">
        <v>516</v>
      </c>
      <c r="W628" s="105">
        <v>10</v>
      </c>
      <c r="X628" s="1" t="s">
        <v>2708</v>
      </c>
      <c r="Y628" s="31">
        <v>43102</v>
      </c>
      <c r="Z628" s="106">
        <v>41200000</v>
      </c>
      <c r="AA628" s="107" t="s">
        <v>2692</v>
      </c>
      <c r="AB628" s="20">
        <v>392</v>
      </c>
      <c r="AC628" s="31">
        <v>43110</v>
      </c>
      <c r="AD628" s="108">
        <v>41200000</v>
      </c>
      <c r="AE628" s="109">
        <f t="shared" si="58"/>
        <v>0</v>
      </c>
      <c r="AF628" s="20">
        <v>124</v>
      </c>
      <c r="AG628" s="31">
        <v>43117</v>
      </c>
      <c r="AH628" s="108">
        <v>41200000</v>
      </c>
      <c r="AI628" s="1" t="s">
        <v>2709</v>
      </c>
      <c r="AJ628" s="1">
        <v>117</v>
      </c>
      <c r="AK628" s="109">
        <f t="shared" si="59"/>
        <v>0</v>
      </c>
      <c r="AL628" s="108">
        <v>22385333</v>
      </c>
      <c r="AM628" s="108">
        <f t="shared" si="60"/>
        <v>18814667</v>
      </c>
      <c r="AN628" s="1" t="s">
        <v>2308</v>
      </c>
      <c r="AO628" s="108">
        <f t="shared" si="61"/>
        <v>0</v>
      </c>
      <c r="AP628" s="1"/>
      <c r="AQ628" s="1"/>
      <c r="AR628" s="1"/>
      <c r="AS628" s="1"/>
      <c r="AT628" s="1"/>
      <c r="AU628" s="211"/>
    </row>
    <row r="629" spans="1:47" ht="331.5" x14ac:dyDescent="0.2">
      <c r="A629" s="1">
        <v>139</v>
      </c>
      <c r="B629" s="1" t="str">
        <f t="shared" si="57"/>
        <v>3075-139</v>
      </c>
      <c r="C629" s="99" t="s">
        <v>2294</v>
      </c>
      <c r="D629" s="100" t="s">
        <v>2295</v>
      </c>
      <c r="E629" s="100" t="s">
        <v>2296</v>
      </c>
      <c r="F629" s="99" t="s">
        <v>2366</v>
      </c>
      <c r="G629" s="117" t="s">
        <v>2367</v>
      </c>
      <c r="H629" s="102" t="s">
        <v>2368</v>
      </c>
      <c r="I629" s="100" t="s">
        <v>2300</v>
      </c>
      <c r="J629" s="100" t="s">
        <v>2301</v>
      </c>
      <c r="K629" s="100">
        <v>801116</v>
      </c>
      <c r="L629" s="1" t="s">
        <v>2302</v>
      </c>
      <c r="M629" s="1" t="s">
        <v>493</v>
      </c>
      <c r="N629" s="1" t="s">
        <v>494</v>
      </c>
      <c r="O629" s="100" t="s">
        <v>2369</v>
      </c>
      <c r="P629" s="100" t="s">
        <v>2710</v>
      </c>
      <c r="Q629" s="106">
        <v>4120000</v>
      </c>
      <c r="R629" s="1">
        <v>1</v>
      </c>
      <c r="S629" s="104">
        <v>32960000</v>
      </c>
      <c r="T629" s="1" t="s">
        <v>1619</v>
      </c>
      <c r="U629" s="1" t="s">
        <v>2361</v>
      </c>
      <c r="V629" s="31" t="s">
        <v>516</v>
      </c>
      <c r="W629" s="105">
        <v>8</v>
      </c>
      <c r="X629" s="1" t="s">
        <v>2711</v>
      </c>
      <c r="Y629" s="31">
        <v>43102</v>
      </c>
      <c r="Z629" s="106">
        <v>32960000</v>
      </c>
      <c r="AA629" s="107" t="s">
        <v>2692</v>
      </c>
      <c r="AB629" s="20">
        <v>394</v>
      </c>
      <c r="AC629" s="31">
        <v>43110</v>
      </c>
      <c r="AD629" s="108">
        <v>32960000</v>
      </c>
      <c r="AE629" s="109">
        <f t="shared" si="58"/>
        <v>0</v>
      </c>
      <c r="AF629" s="20">
        <v>391</v>
      </c>
      <c r="AG629" s="31">
        <v>43124</v>
      </c>
      <c r="AH629" s="108">
        <v>32960000</v>
      </c>
      <c r="AI629" s="1" t="s">
        <v>2712</v>
      </c>
      <c r="AJ629" s="1">
        <v>313</v>
      </c>
      <c r="AK629" s="109">
        <f t="shared" si="59"/>
        <v>0</v>
      </c>
      <c r="AL629" s="108">
        <v>21561333</v>
      </c>
      <c r="AM629" s="108">
        <f t="shared" si="60"/>
        <v>11398667</v>
      </c>
      <c r="AN629" s="1" t="s">
        <v>2308</v>
      </c>
      <c r="AO629" s="108">
        <f t="shared" si="61"/>
        <v>0</v>
      </c>
      <c r="AP629" s="1"/>
      <c r="AQ629" s="1"/>
      <c r="AR629" s="1"/>
      <c r="AS629" s="1"/>
      <c r="AT629" s="1"/>
      <c r="AU629" s="211"/>
    </row>
    <row r="630" spans="1:47" ht="255" x14ac:dyDescent="0.2">
      <c r="A630" s="1">
        <v>140</v>
      </c>
      <c r="B630" s="1" t="str">
        <f t="shared" si="57"/>
        <v>3075-140</v>
      </c>
      <c r="C630" s="99" t="s">
        <v>2294</v>
      </c>
      <c r="D630" s="100" t="s">
        <v>2295</v>
      </c>
      <c r="E630" s="100" t="s">
        <v>2296</v>
      </c>
      <c r="F630" s="99" t="s">
        <v>2366</v>
      </c>
      <c r="G630" s="117" t="s">
        <v>2367</v>
      </c>
      <c r="H630" s="102" t="s">
        <v>2368</v>
      </c>
      <c r="I630" s="100" t="s">
        <v>2300</v>
      </c>
      <c r="J630" s="100" t="s">
        <v>2301</v>
      </c>
      <c r="K630" s="100">
        <v>801116</v>
      </c>
      <c r="L630" s="1" t="s">
        <v>2302</v>
      </c>
      <c r="M630" s="1" t="s">
        <v>493</v>
      </c>
      <c r="N630" s="1" t="s">
        <v>494</v>
      </c>
      <c r="O630" s="100" t="s">
        <v>2369</v>
      </c>
      <c r="P630" s="100" t="s">
        <v>2430</v>
      </c>
      <c r="Q630" s="106">
        <v>2472000</v>
      </c>
      <c r="R630" s="1">
        <v>1</v>
      </c>
      <c r="S630" s="104">
        <v>27192000</v>
      </c>
      <c r="T630" s="1" t="s">
        <v>1634</v>
      </c>
      <c r="U630" s="1" t="s">
        <v>2361</v>
      </c>
      <c r="V630" s="31" t="s">
        <v>516</v>
      </c>
      <c r="W630" s="105">
        <v>11</v>
      </c>
      <c r="X630" s="1" t="s">
        <v>2713</v>
      </c>
      <c r="Y630" s="31">
        <v>43102</v>
      </c>
      <c r="Z630" s="106">
        <v>27192000</v>
      </c>
      <c r="AA630" s="107" t="s">
        <v>2714</v>
      </c>
      <c r="AB630" s="20">
        <v>396</v>
      </c>
      <c r="AC630" s="31">
        <v>43110</v>
      </c>
      <c r="AD630" s="108">
        <v>27192000</v>
      </c>
      <c r="AE630" s="109">
        <f t="shared" si="58"/>
        <v>0</v>
      </c>
      <c r="AF630" s="20">
        <v>283</v>
      </c>
      <c r="AG630" s="31">
        <v>43122</v>
      </c>
      <c r="AH630" s="108">
        <v>27192000</v>
      </c>
      <c r="AI630" s="1" t="s">
        <v>2715</v>
      </c>
      <c r="AJ630" s="1">
        <v>253</v>
      </c>
      <c r="AK630" s="109">
        <f t="shared" si="59"/>
        <v>0</v>
      </c>
      <c r="AL630" s="108">
        <v>13101600</v>
      </c>
      <c r="AM630" s="108">
        <f t="shared" si="60"/>
        <v>14090400</v>
      </c>
      <c r="AN630" s="1" t="s">
        <v>2308</v>
      </c>
      <c r="AO630" s="108">
        <f t="shared" si="61"/>
        <v>0</v>
      </c>
      <c r="AP630" s="1"/>
      <c r="AQ630" s="1"/>
      <c r="AR630" s="1"/>
      <c r="AS630" s="1"/>
      <c r="AT630" s="1"/>
      <c r="AU630" s="211"/>
    </row>
    <row r="631" spans="1:47" ht="409.5" x14ac:dyDescent="0.2">
      <c r="A631" s="1">
        <v>141</v>
      </c>
      <c r="B631" s="1" t="str">
        <f t="shared" si="57"/>
        <v>3075-141</v>
      </c>
      <c r="C631" s="99" t="s">
        <v>2294</v>
      </c>
      <c r="D631" s="100" t="s">
        <v>2295</v>
      </c>
      <c r="E631" s="100" t="s">
        <v>2296</v>
      </c>
      <c r="F631" s="99" t="s">
        <v>2366</v>
      </c>
      <c r="G631" s="117" t="s">
        <v>2367</v>
      </c>
      <c r="H631" s="102" t="s">
        <v>2368</v>
      </c>
      <c r="I631" s="100" t="s">
        <v>2300</v>
      </c>
      <c r="J631" s="100" t="s">
        <v>2301</v>
      </c>
      <c r="K631" s="100">
        <v>801116</v>
      </c>
      <c r="L631" s="1" t="s">
        <v>2302</v>
      </c>
      <c r="M631" s="1" t="s">
        <v>493</v>
      </c>
      <c r="N631" s="1" t="s">
        <v>494</v>
      </c>
      <c r="O631" s="100" t="s">
        <v>2369</v>
      </c>
      <c r="P631" s="100" t="s">
        <v>2448</v>
      </c>
      <c r="Q631" s="106">
        <v>4120000</v>
      </c>
      <c r="R631" s="1">
        <v>1</v>
      </c>
      <c r="S631" s="104">
        <v>41200000</v>
      </c>
      <c r="T631" s="1" t="s">
        <v>1619</v>
      </c>
      <c r="U631" s="1" t="s">
        <v>2361</v>
      </c>
      <c r="V631" s="31" t="s">
        <v>516</v>
      </c>
      <c r="W631" s="105">
        <v>10</v>
      </c>
      <c r="X631" s="1" t="s">
        <v>2716</v>
      </c>
      <c r="Y631" s="31">
        <v>43102</v>
      </c>
      <c r="Z631" s="106">
        <v>41200000</v>
      </c>
      <c r="AA631" s="107" t="s">
        <v>2717</v>
      </c>
      <c r="AB631" s="20">
        <v>398</v>
      </c>
      <c r="AC631" s="31">
        <v>43110</v>
      </c>
      <c r="AD631" s="108">
        <v>41200000</v>
      </c>
      <c r="AE631" s="109">
        <f t="shared" si="58"/>
        <v>0</v>
      </c>
      <c r="AF631" s="20">
        <v>189</v>
      </c>
      <c r="AG631" s="31">
        <v>43118</v>
      </c>
      <c r="AH631" s="108">
        <v>41200000</v>
      </c>
      <c r="AI631" s="1" t="s">
        <v>2718</v>
      </c>
      <c r="AJ631" s="1">
        <v>168</v>
      </c>
      <c r="AK631" s="109">
        <f t="shared" si="59"/>
        <v>0</v>
      </c>
      <c r="AL631" s="108">
        <v>22248000</v>
      </c>
      <c r="AM631" s="108">
        <f t="shared" si="60"/>
        <v>18952000</v>
      </c>
      <c r="AN631" s="1" t="s">
        <v>2308</v>
      </c>
      <c r="AO631" s="108">
        <f t="shared" si="61"/>
        <v>0</v>
      </c>
      <c r="AP631" s="1"/>
      <c r="AQ631" s="1"/>
      <c r="AR631" s="1"/>
      <c r="AS631" s="1"/>
      <c r="AT631" s="1"/>
      <c r="AU631" s="211"/>
    </row>
    <row r="632" spans="1:47" ht="255" x14ac:dyDescent="0.2">
      <c r="A632" s="1">
        <v>142</v>
      </c>
      <c r="B632" s="1" t="str">
        <f t="shared" si="57"/>
        <v>3075-142</v>
      </c>
      <c r="C632" s="99" t="s">
        <v>2294</v>
      </c>
      <c r="D632" s="100" t="s">
        <v>2295</v>
      </c>
      <c r="E632" s="100" t="s">
        <v>2296</v>
      </c>
      <c r="F632" s="99" t="s">
        <v>2366</v>
      </c>
      <c r="G632" s="117" t="s">
        <v>2367</v>
      </c>
      <c r="H632" s="102" t="s">
        <v>2368</v>
      </c>
      <c r="I632" s="100" t="s">
        <v>2300</v>
      </c>
      <c r="J632" s="100" t="s">
        <v>2301</v>
      </c>
      <c r="K632" s="100">
        <v>801116</v>
      </c>
      <c r="L632" s="1" t="s">
        <v>2302</v>
      </c>
      <c r="M632" s="1" t="s">
        <v>493</v>
      </c>
      <c r="N632" s="1" t="s">
        <v>494</v>
      </c>
      <c r="O632" s="100" t="s">
        <v>2369</v>
      </c>
      <c r="P632" s="100" t="s">
        <v>2719</v>
      </c>
      <c r="Q632" s="106">
        <v>3399000</v>
      </c>
      <c r="R632" s="1">
        <v>1</v>
      </c>
      <c r="S632" s="104">
        <v>33990000</v>
      </c>
      <c r="T632" s="1" t="s">
        <v>1619</v>
      </c>
      <c r="U632" s="1" t="s">
        <v>2361</v>
      </c>
      <c r="V632" s="31" t="s">
        <v>516</v>
      </c>
      <c r="W632" s="105">
        <v>10</v>
      </c>
      <c r="X632" s="1" t="s">
        <v>2720</v>
      </c>
      <c r="Y632" s="31">
        <v>43102</v>
      </c>
      <c r="Z632" s="106">
        <v>33990000</v>
      </c>
      <c r="AA632" s="107" t="s">
        <v>2721</v>
      </c>
      <c r="AB632" s="20">
        <v>448</v>
      </c>
      <c r="AC632" s="31">
        <v>43111</v>
      </c>
      <c r="AD632" s="108">
        <v>33990000</v>
      </c>
      <c r="AE632" s="109">
        <f t="shared" si="58"/>
        <v>0</v>
      </c>
      <c r="AF632" s="20">
        <v>199</v>
      </c>
      <c r="AG632" s="31">
        <v>43118</v>
      </c>
      <c r="AH632" s="108">
        <v>33990000</v>
      </c>
      <c r="AI632" s="1" t="s">
        <v>2722</v>
      </c>
      <c r="AJ632" s="1">
        <v>179</v>
      </c>
      <c r="AK632" s="109">
        <f t="shared" si="59"/>
        <v>0</v>
      </c>
      <c r="AL632" s="108">
        <v>18354600</v>
      </c>
      <c r="AM632" s="108">
        <f t="shared" si="60"/>
        <v>15635400</v>
      </c>
      <c r="AN632" s="1" t="s">
        <v>2308</v>
      </c>
      <c r="AO632" s="108">
        <f t="shared" si="61"/>
        <v>0</v>
      </c>
      <c r="AP632" s="1"/>
      <c r="AQ632" s="1"/>
      <c r="AR632" s="1"/>
      <c r="AS632" s="1"/>
      <c r="AT632" s="1"/>
      <c r="AU632" s="211"/>
    </row>
    <row r="633" spans="1:47" ht="255" x14ac:dyDescent="0.2">
      <c r="A633" s="1">
        <v>143</v>
      </c>
      <c r="B633" s="1" t="str">
        <f t="shared" si="57"/>
        <v>3075-143</v>
      </c>
      <c r="C633" s="99" t="s">
        <v>2294</v>
      </c>
      <c r="D633" s="100" t="s">
        <v>2295</v>
      </c>
      <c r="E633" s="100" t="s">
        <v>2296</v>
      </c>
      <c r="F633" s="99" t="s">
        <v>2366</v>
      </c>
      <c r="G633" s="117" t="s">
        <v>2367</v>
      </c>
      <c r="H633" s="102" t="s">
        <v>2368</v>
      </c>
      <c r="I633" s="100" t="s">
        <v>2300</v>
      </c>
      <c r="J633" s="100" t="s">
        <v>2301</v>
      </c>
      <c r="K633" s="100">
        <v>801116</v>
      </c>
      <c r="L633" s="1" t="s">
        <v>2302</v>
      </c>
      <c r="M633" s="1" t="s">
        <v>493</v>
      </c>
      <c r="N633" s="1" t="s">
        <v>494</v>
      </c>
      <c r="O633" s="100" t="s">
        <v>2369</v>
      </c>
      <c r="P633" s="100" t="s">
        <v>2441</v>
      </c>
      <c r="Q633" s="106">
        <v>4120000</v>
      </c>
      <c r="R633" s="1">
        <v>1</v>
      </c>
      <c r="S633" s="104">
        <v>41200000</v>
      </c>
      <c r="T633" s="1" t="s">
        <v>1619</v>
      </c>
      <c r="U633" s="1" t="s">
        <v>2361</v>
      </c>
      <c r="V633" s="31" t="s">
        <v>516</v>
      </c>
      <c r="W633" s="105">
        <v>10</v>
      </c>
      <c r="X633" s="1" t="s">
        <v>2723</v>
      </c>
      <c r="Y633" s="31">
        <v>43102</v>
      </c>
      <c r="Z633" s="106">
        <v>41200000</v>
      </c>
      <c r="AA633" s="107" t="s">
        <v>2672</v>
      </c>
      <c r="AB633" s="20">
        <v>399</v>
      </c>
      <c r="AC633" s="31">
        <v>43110</v>
      </c>
      <c r="AD633" s="108">
        <v>41200000</v>
      </c>
      <c r="AE633" s="109">
        <f t="shared" si="58"/>
        <v>0</v>
      </c>
      <c r="AF633" s="20">
        <v>417</v>
      </c>
      <c r="AG633" s="31">
        <v>43124</v>
      </c>
      <c r="AH633" s="108">
        <v>41200000</v>
      </c>
      <c r="AI633" s="1" t="s">
        <v>2724</v>
      </c>
      <c r="AJ633" s="1">
        <v>338</v>
      </c>
      <c r="AK633" s="109">
        <f t="shared" si="59"/>
        <v>0</v>
      </c>
      <c r="AL633" s="108">
        <v>19913334</v>
      </c>
      <c r="AM633" s="108">
        <f t="shared" si="60"/>
        <v>21286666</v>
      </c>
      <c r="AN633" s="1" t="s">
        <v>2308</v>
      </c>
      <c r="AO633" s="108">
        <f t="shared" si="61"/>
        <v>0</v>
      </c>
      <c r="AP633" s="1"/>
      <c r="AQ633" s="1"/>
      <c r="AR633" s="1"/>
      <c r="AS633" s="1"/>
      <c r="AT633" s="1"/>
      <c r="AU633" s="211"/>
    </row>
    <row r="634" spans="1:47" ht="255" x14ac:dyDescent="0.2">
      <c r="A634" s="1">
        <v>144</v>
      </c>
      <c r="B634" s="1" t="str">
        <f t="shared" si="57"/>
        <v>3075-144</v>
      </c>
      <c r="C634" s="99" t="s">
        <v>2294</v>
      </c>
      <c r="D634" s="100" t="s">
        <v>2295</v>
      </c>
      <c r="E634" s="100" t="s">
        <v>2296</v>
      </c>
      <c r="F634" s="99" t="s">
        <v>2366</v>
      </c>
      <c r="G634" s="117" t="s">
        <v>2367</v>
      </c>
      <c r="H634" s="102" t="s">
        <v>2368</v>
      </c>
      <c r="I634" s="100" t="s">
        <v>2300</v>
      </c>
      <c r="J634" s="100" t="s">
        <v>2301</v>
      </c>
      <c r="K634" s="100">
        <v>801116</v>
      </c>
      <c r="L634" s="1" t="s">
        <v>2302</v>
      </c>
      <c r="M634" s="1" t="s">
        <v>493</v>
      </c>
      <c r="N634" s="1" t="s">
        <v>494</v>
      </c>
      <c r="O634" s="100" t="s">
        <v>2369</v>
      </c>
      <c r="P634" s="100" t="s">
        <v>2441</v>
      </c>
      <c r="Q634" s="106">
        <v>3553500</v>
      </c>
      <c r="R634" s="1">
        <v>1</v>
      </c>
      <c r="S634" s="104">
        <v>31981500</v>
      </c>
      <c r="T634" s="1" t="s">
        <v>1619</v>
      </c>
      <c r="U634" s="1" t="s">
        <v>2361</v>
      </c>
      <c r="V634" s="31" t="s">
        <v>516</v>
      </c>
      <c r="W634" s="105">
        <v>9</v>
      </c>
      <c r="X634" s="1" t="s">
        <v>2725</v>
      </c>
      <c r="Y634" s="31">
        <v>43102</v>
      </c>
      <c r="Z634" s="106">
        <v>31981500</v>
      </c>
      <c r="AA634" s="107" t="s">
        <v>2669</v>
      </c>
      <c r="AB634" s="20">
        <v>401</v>
      </c>
      <c r="AC634" s="31">
        <v>43110</v>
      </c>
      <c r="AD634" s="108">
        <v>31981500</v>
      </c>
      <c r="AE634" s="109">
        <f t="shared" si="58"/>
        <v>0</v>
      </c>
      <c r="AF634" s="20">
        <v>197</v>
      </c>
      <c r="AG634" s="31">
        <v>43118</v>
      </c>
      <c r="AH634" s="108">
        <v>31981500</v>
      </c>
      <c r="AI634" s="1" t="s">
        <v>2726</v>
      </c>
      <c r="AJ634" s="1">
        <v>181</v>
      </c>
      <c r="AK634" s="109">
        <f t="shared" si="59"/>
        <v>0</v>
      </c>
      <c r="AL634" s="108">
        <v>19188900</v>
      </c>
      <c r="AM634" s="108">
        <f t="shared" si="60"/>
        <v>12792600</v>
      </c>
      <c r="AN634" s="1" t="s">
        <v>2308</v>
      </c>
      <c r="AO634" s="108">
        <f t="shared" si="61"/>
        <v>0</v>
      </c>
      <c r="AP634" s="1"/>
      <c r="AQ634" s="1"/>
      <c r="AR634" s="1"/>
      <c r="AS634" s="1"/>
      <c r="AT634" s="1"/>
      <c r="AU634" s="211"/>
    </row>
    <row r="635" spans="1:47" ht="255" x14ac:dyDescent="0.2">
      <c r="A635" s="1">
        <v>145</v>
      </c>
      <c r="B635" s="1" t="str">
        <f t="shared" si="57"/>
        <v>3075-145</v>
      </c>
      <c r="C635" s="99" t="s">
        <v>2294</v>
      </c>
      <c r="D635" s="100" t="s">
        <v>2295</v>
      </c>
      <c r="E635" s="100" t="s">
        <v>2296</v>
      </c>
      <c r="F635" s="99" t="s">
        <v>2366</v>
      </c>
      <c r="G635" s="117" t="s">
        <v>2367</v>
      </c>
      <c r="H635" s="102" t="s">
        <v>2368</v>
      </c>
      <c r="I635" s="100" t="s">
        <v>2300</v>
      </c>
      <c r="J635" s="100" t="s">
        <v>2301</v>
      </c>
      <c r="K635" s="100">
        <v>801116</v>
      </c>
      <c r="L635" s="1" t="s">
        <v>2302</v>
      </c>
      <c r="M635" s="1" t="s">
        <v>493</v>
      </c>
      <c r="N635" s="1" t="s">
        <v>494</v>
      </c>
      <c r="O635" s="100" t="s">
        <v>2369</v>
      </c>
      <c r="P635" s="100" t="s">
        <v>2727</v>
      </c>
      <c r="Q635" s="106">
        <v>3553500</v>
      </c>
      <c r="R635" s="1">
        <v>1</v>
      </c>
      <c r="S635" s="104">
        <v>31981500</v>
      </c>
      <c r="T635" s="1" t="s">
        <v>1619</v>
      </c>
      <c r="U635" s="1" t="s">
        <v>2361</v>
      </c>
      <c r="V635" s="31" t="s">
        <v>516</v>
      </c>
      <c r="W635" s="105">
        <v>9</v>
      </c>
      <c r="X635" s="1" t="s">
        <v>2728</v>
      </c>
      <c r="Y635" s="31">
        <v>43102</v>
      </c>
      <c r="Z635" s="106">
        <v>31981500</v>
      </c>
      <c r="AA635" s="107" t="s">
        <v>2669</v>
      </c>
      <c r="AB635" s="20">
        <v>402</v>
      </c>
      <c r="AC635" s="31">
        <v>43110</v>
      </c>
      <c r="AD635" s="108">
        <v>31981500</v>
      </c>
      <c r="AE635" s="109">
        <f t="shared" si="58"/>
        <v>0</v>
      </c>
      <c r="AF635" s="20">
        <v>193</v>
      </c>
      <c r="AG635" s="31">
        <v>43118</v>
      </c>
      <c r="AH635" s="108">
        <v>31981500</v>
      </c>
      <c r="AI635" s="1" t="s">
        <v>2729</v>
      </c>
      <c r="AJ635" s="1">
        <v>164</v>
      </c>
      <c r="AK635" s="109">
        <f t="shared" si="59"/>
        <v>0</v>
      </c>
      <c r="AL635" s="108">
        <v>18833550</v>
      </c>
      <c r="AM635" s="108">
        <f t="shared" si="60"/>
        <v>13147950</v>
      </c>
      <c r="AN635" s="1" t="s">
        <v>2308</v>
      </c>
      <c r="AO635" s="108">
        <f t="shared" si="61"/>
        <v>0</v>
      </c>
      <c r="AP635" s="1"/>
      <c r="AQ635" s="1"/>
      <c r="AR635" s="1"/>
      <c r="AS635" s="1"/>
      <c r="AT635" s="1"/>
      <c r="AU635" s="211"/>
    </row>
    <row r="636" spans="1:47" ht="255" x14ac:dyDescent="0.2">
      <c r="A636" s="1">
        <v>146</v>
      </c>
      <c r="B636" s="1" t="str">
        <f t="shared" si="57"/>
        <v>3075-146</v>
      </c>
      <c r="C636" s="99" t="s">
        <v>2294</v>
      </c>
      <c r="D636" s="100" t="s">
        <v>2295</v>
      </c>
      <c r="E636" s="100" t="s">
        <v>2296</v>
      </c>
      <c r="F636" s="99" t="s">
        <v>2366</v>
      </c>
      <c r="G636" s="117" t="s">
        <v>2367</v>
      </c>
      <c r="H636" s="102" t="s">
        <v>2368</v>
      </c>
      <c r="I636" s="100" t="s">
        <v>2300</v>
      </c>
      <c r="J636" s="100" t="s">
        <v>2301</v>
      </c>
      <c r="K636" s="100">
        <v>801116</v>
      </c>
      <c r="L636" s="1" t="s">
        <v>2302</v>
      </c>
      <c r="M636" s="1" t="s">
        <v>493</v>
      </c>
      <c r="N636" s="1" t="s">
        <v>494</v>
      </c>
      <c r="O636" s="100" t="s">
        <v>2369</v>
      </c>
      <c r="P636" s="100" t="s">
        <v>2727</v>
      </c>
      <c r="Q636" s="106">
        <v>4120000</v>
      </c>
      <c r="R636" s="1">
        <v>1</v>
      </c>
      <c r="S636" s="104">
        <v>45320000</v>
      </c>
      <c r="T636" s="1" t="s">
        <v>1619</v>
      </c>
      <c r="U636" s="1" t="s">
        <v>2361</v>
      </c>
      <c r="V636" s="31" t="s">
        <v>516</v>
      </c>
      <c r="W636" s="105">
        <v>11</v>
      </c>
      <c r="X636" s="1" t="s">
        <v>2730</v>
      </c>
      <c r="Y636" s="31">
        <v>43102</v>
      </c>
      <c r="Z636" s="106">
        <v>45320000</v>
      </c>
      <c r="AA636" s="107" t="s">
        <v>2672</v>
      </c>
      <c r="AB636" s="20">
        <v>403</v>
      </c>
      <c r="AC636" s="31">
        <v>43110</v>
      </c>
      <c r="AD636" s="108">
        <v>45320000</v>
      </c>
      <c r="AE636" s="109">
        <f t="shared" si="58"/>
        <v>0</v>
      </c>
      <c r="AF636" s="20">
        <v>245</v>
      </c>
      <c r="AG636" s="31">
        <v>43119</v>
      </c>
      <c r="AH636" s="108">
        <v>45320000</v>
      </c>
      <c r="AI636" s="1" t="s">
        <v>2731</v>
      </c>
      <c r="AJ636" s="1">
        <v>216</v>
      </c>
      <c r="AK636" s="109">
        <f t="shared" si="59"/>
        <v>0</v>
      </c>
      <c r="AL636" s="108">
        <v>22248000</v>
      </c>
      <c r="AM636" s="108">
        <f t="shared" si="60"/>
        <v>23072000</v>
      </c>
      <c r="AN636" s="1" t="s">
        <v>2308</v>
      </c>
      <c r="AO636" s="108">
        <f t="shared" si="61"/>
        <v>0</v>
      </c>
      <c r="AP636" s="1"/>
      <c r="AQ636" s="1"/>
      <c r="AR636" s="1"/>
      <c r="AS636" s="1"/>
      <c r="AT636" s="1"/>
      <c r="AU636" s="211"/>
    </row>
    <row r="637" spans="1:47" ht="255" x14ac:dyDescent="0.2">
      <c r="A637" s="1">
        <v>147</v>
      </c>
      <c r="B637" s="1" t="str">
        <f t="shared" si="57"/>
        <v>3075-147</v>
      </c>
      <c r="C637" s="99" t="s">
        <v>2294</v>
      </c>
      <c r="D637" s="100" t="s">
        <v>2295</v>
      </c>
      <c r="E637" s="100" t="s">
        <v>2296</v>
      </c>
      <c r="F637" s="99" t="s">
        <v>2366</v>
      </c>
      <c r="G637" s="117" t="s">
        <v>2367</v>
      </c>
      <c r="H637" s="102" t="s">
        <v>2368</v>
      </c>
      <c r="I637" s="100" t="s">
        <v>2300</v>
      </c>
      <c r="J637" s="100" t="s">
        <v>2301</v>
      </c>
      <c r="K637" s="100">
        <v>801116</v>
      </c>
      <c r="L637" s="1" t="s">
        <v>2302</v>
      </c>
      <c r="M637" s="1" t="s">
        <v>493</v>
      </c>
      <c r="N637" s="1" t="s">
        <v>494</v>
      </c>
      <c r="O637" s="100" t="s">
        <v>2369</v>
      </c>
      <c r="P637" s="100" t="s">
        <v>2441</v>
      </c>
      <c r="Q637" s="106">
        <v>4120000</v>
      </c>
      <c r="R637" s="1">
        <v>1</v>
      </c>
      <c r="S637" s="104">
        <v>41200000</v>
      </c>
      <c r="T637" s="1" t="s">
        <v>1619</v>
      </c>
      <c r="U637" s="1" t="s">
        <v>2361</v>
      </c>
      <c r="V637" s="31" t="s">
        <v>516</v>
      </c>
      <c r="W637" s="105">
        <v>9.75</v>
      </c>
      <c r="X637" s="1" t="s">
        <v>2732</v>
      </c>
      <c r="Y637" s="31">
        <v>43102</v>
      </c>
      <c r="Z637" s="106">
        <v>41200000</v>
      </c>
      <c r="AA637" s="107" t="s">
        <v>2672</v>
      </c>
      <c r="AB637" s="20">
        <v>404</v>
      </c>
      <c r="AC637" s="31">
        <v>43110</v>
      </c>
      <c r="AD637" s="108">
        <v>41200000</v>
      </c>
      <c r="AE637" s="109">
        <f t="shared" si="58"/>
        <v>0</v>
      </c>
      <c r="AF637" s="20">
        <v>271</v>
      </c>
      <c r="AG637" s="31">
        <v>43119</v>
      </c>
      <c r="AH637" s="108">
        <v>41200000</v>
      </c>
      <c r="AI637" s="1" t="s">
        <v>2733</v>
      </c>
      <c r="AJ637" s="1">
        <v>241</v>
      </c>
      <c r="AK637" s="109">
        <f t="shared" si="59"/>
        <v>0</v>
      </c>
      <c r="AL637" s="108">
        <v>21836000</v>
      </c>
      <c r="AM637" s="108">
        <f t="shared" si="60"/>
        <v>19364000</v>
      </c>
      <c r="AN637" s="1" t="s">
        <v>2308</v>
      </c>
      <c r="AO637" s="108">
        <f t="shared" si="61"/>
        <v>0</v>
      </c>
      <c r="AP637" s="1"/>
      <c r="AQ637" s="1"/>
      <c r="AR637" s="1"/>
      <c r="AS637" s="1"/>
      <c r="AT637" s="1"/>
      <c r="AU637" s="211"/>
    </row>
    <row r="638" spans="1:47" ht="255" x14ac:dyDescent="0.2">
      <c r="A638" s="1">
        <v>148</v>
      </c>
      <c r="B638" s="1" t="str">
        <f t="shared" si="57"/>
        <v>3075-148</v>
      </c>
      <c r="C638" s="99" t="s">
        <v>2294</v>
      </c>
      <c r="D638" s="100" t="s">
        <v>2295</v>
      </c>
      <c r="E638" s="100" t="s">
        <v>2296</v>
      </c>
      <c r="F638" s="99" t="s">
        <v>2366</v>
      </c>
      <c r="G638" s="117" t="s">
        <v>2367</v>
      </c>
      <c r="H638" s="102" t="s">
        <v>2368</v>
      </c>
      <c r="I638" s="100" t="s">
        <v>2300</v>
      </c>
      <c r="J638" s="100" t="s">
        <v>2301</v>
      </c>
      <c r="K638" s="100">
        <v>801116</v>
      </c>
      <c r="L638" s="1" t="s">
        <v>2302</v>
      </c>
      <c r="M638" s="1" t="s">
        <v>493</v>
      </c>
      <c r="N638" s="1" t="s">
        <v>494</v>
      </c>
      <c r="O638" s="100" t="s">
        <v>2369</v>
      </c>
      <c r="P638" s="100" t="s">
        <v>2441</v>
      </c>
      <c r="Q638" s="106">
        <v>4120000</v>
      </c>
      <c r="R638" s="1">
        <v>1</v>
      </c>
      <c r="S638" s="104">
        <v>41200000</v>
      </c>
      <c r="T638" s="1" t="s">
        <v>1619</v>
      </c>
      <c r="U638" s="1" t="s">
        <v>2361</v>
      </c>
      <c r="V638" s="31" t="s">
        <v>516</v>
      </c>
      <c r="W638" s="105">
        <v>9.75</v>
      </c>
      <c r="X638" s="1" t="s">
        <v>2734</v>
      </c>
      <c r="Y638" s="31">
        <v>43102</v>
      </c>
      <c r="Z638" s="106">
        <v>41200000</v>
      </c>
      <c r="AA638" s="107" t="s">
        <v>2672</v>
      </c>
      <c r="AB638" s="20">
        <v>406</v>
      </c>
      <c r="AC638" s="31">
        <v>43110</v>
      </c>
      <c r="AD638" s="108">
        <v>41200000</v>
      </c>
      <c r="AE638" s="109">
        <f t="shared" si="58"/>
        <v>0</v>
      </c>
      <c r="AF638" s="20">
        <v>223</v>
      </c>
      <c r="AG638" s="31">
        <v>43118</v>
      </c>
      <c r="AH638" s="108">
        <v>41200000</v>
      </c>
      <c r="AI638" s="1" t="s">
        <v>2735</v>
      </c>
      <c r="AJ638" s="1">
        <v>192</v>
      </c>
      <c r="AK638" s="109">
        <f t="shared" si="59"/>
        <v>0</v>
      </c>
      <c r="AL638" s="108">
        <v>22248000</v>
      </c>
      <c r="AM638" s="108">
        <f t="shared" si="60"/>
        <v>18952000</v>
      </c>
      <c r="AN638" s="1" t="s">
        <v>2308</v>
      </c>
      <c r="AO638" s="108">
        <f t="shared" si="61"/>
        <v>0</v>
      </c>
      <c r="AP638" s="1"/>
      <c r="AQ638" s="1"/>
      <c r="AR638" s="1"/>
      <c r="AS638" s="1"/>
      <c r="AT638" s="1"/>
      <c r="AU638" s="211"/>
    </row>
    <row r="639" spans="1:47" ht="409.5" x14ac:dyDescent="0.2">
      <c r="A639" s="1">
        <v>149</v>
      </c>
      <c r="B639" s="1" t="str">
        <f t="shared" si="57"/>
        <v>3075-149</v>
      </c>
      <c r="C639" s="99" t="s">
        <v>2294</v>
      </c>
      <c r="D639" s="100" t="s">
        <v>2295</v>
      </c>
      <c r="E639" s="100" t="s">
        <v>2296</v>
      </c>
      <c r="F639" s="99" t="s">
        <v>2366</v>
      </c>
      <c r="G639" s="117" t="s">
        <v>2367</v>
      </c>
      <c r="H639" s="102" t="s">
        <v>2368</v>
      </c>
      <c r="I639" s="100" t="s">
        <v>2300</v>
      </c>
      <c r="J639" s="100" t="s">
        <v>2301</v>
      </c>
      <c r="K639" s="100">
        <v>801116</v>
      </c>
      <c r="L639" s="1" t="s">
        <v>2302</v>
      </c>
      <c r="M639" s="1" t="s">
        <v>493</v>
      </c>
      <c r="N639" s="1" t="s">
        <v>494</v>
      </c>
      <c r="O639" s="100" t="s">
        <v>2369</v>
      </c>
      <c r="P639" s="100" t="s">
        <v>2448</v>
      </c>
      <c r="Q639" s="106">
        <v>4120000</v>
      </c>
      <c r="R639" s="1">
        <v>1</v>
      </c>
      <c r="S639" s="104">
        <v>32960000</v>
      </c>
      <c r="T639" s="1" t="s">
        <v>1619</v>
      </c>
      <c r="U639" s="1" t="s">
        <v>2361</v>
      </c>
      <c r="V639" s="31" t="s">
        <v>516</v>
      </c>
      <c r="W639" s="105">
        <v>8</v>
      </c>
      <c r="X639" s="1" t="s">
        <v>2736</v>
      </c>
      <c r="Y639" s="31">
        <v>43102</v>
      </c>
      <c r="Z639" s="106">
        <v>32960000</v>
      </c>
      <c r="AA639" s="107" t="s">
        <v>2717</v>
      </c>
      <c r="AB639" s="20">
        <v>407</v>
      </c>
      <c r="AC639" s="31">
        <v>43110</v>
      </c>
      <c r="AD639" s="108">
        <v>32960000</v>
      </c>
      <c r="AE639" s="109">
        <f t="shared" si="58"/>
        <v>0</v>
      </c>
      <c r="AF639" s="20">
        <v>270</v>
      </c>
      <c r="AG639" s="31">
        <v>43119</v>
      </c>
      <c r="AH639" s="108">
        <v>32960000</v>
      </c>
      <c r="AI639" s="1" t="s">
        <v>2737</v>
      </c>
      <c r="AJ639" s="1">
        <v>240</v>
      </c>
      <c r="AK639" s="109">
        <f t="shared" si="59"/>
        <v>0</v>
      </c>
      <c r="AL639" s="108">
        <v>21836000</v>
      </c>
      <c r="AM639" s="108">
        <f t="shared" si="60"/>
        <v>11124000</v>
      </c>
      <c r="AN639" s="1" t="s">
        <v>2308</v>
      </c>
      <c r="AO639" s="108">
        <f t="shared" si="61"/>
        <v>0</v>
      </c>
      <c r="AP639" s="1"/>
      <c r="AQ639" s="1"/>
      <c r="AR639" s="1"/>
      <c r="AS639" s="1"/>
      <c r="AT639" s="1"/>
      <c r="AU639" s="211"/>
    </row>
    <row r="640" spans="1:47" ht="255" x14ac:dyDescent="0.2">
      <c r="A640" s="1">
        <v>150</v>
      </c>
      <c r="B640" s="1" t="str">
        <f t="shared" si="57"/>
        <v>3075-150</v>
      </c>
      <c r="C640" s="99" t="s">
        <v>2294</v>
      </c>
      <c r="D640" s="100" t="s">
        <v>2295</v>
      </c>
      <c r="E640" s="100" t="s">
        <v>2296</v>
      </c>
      <c r="F640" s="99" t="s">
        <v>2366</v>
      </c>
      <c r="G640" s="117" t="s">
        <v>2367</v>
      </c>
      <c r="H640" s="102" t="s">
        <v>2368</v>
      </c>
      <c r="I640" s="100" t="s">
        <v>2300</v>
      </c>
      <c r="J640" s="100" t="s">
        <v>2301</v>
      </c>
      <c r="K640" s="100">
        <v>801116</v>
      </c>
      <c r="L640" s="1" t="s">
        <v>2302</v>
      </c>
      <c r="M640" s="1" t="s">
        <v>493</v>
      </c>
      <c r="N640" s="1" t="s">
        <v>494</v>
      </c>
      <c r="O640" s="100" t="s">
        <v>2369</v>
      </c>
      <c r="P640" s="100" t="s">
        <v>2738</v>
      </c>
      <c r="Q640" s="106">
        <v>3399000</v>
      </c>
      <c r="R640" s="1">
        <v>1</v>
      </c>
      <c r="S640" s="104">
        <v>30591000</v>
      </c>
      <c r="T640" s="1" t="s">
        <v>1619</v>
      </c>
      <c r="U640" s="1" t="s">
        <v>2361</v>
      </c>
      <c r="V640" s="31" t="s">
        <v>516</v>
      </c>
      <c r="W640" s="105">
        <v>9</v>
      </c>
      <c r="X640" s="1" t="s">
        <v>2739</v>
      </c>
      <c r="Y640" s="31">
        <v>43102</v>
      </c>
      <c r="Z640" s="106">
        <v>30591000</v>
      </c>
      <c r="AA640" s="107" t="s">
        <v>2721</v>
      </c>
      <c r="AB640" s="20">
        <v>358</v>
      </c>
      <c r="AC640" s="31">
        <v>43110</v>
      </c>
      <c r="AD640" s="108">
        <v>30591000</v>
      </c>
      <c r="AE640" s="109">
        <f t="shared" si="58"/>
        <v>0</v>
      </c>
      <c r="AF640" s="20">
        <v>256</v>
      </c>
      <c r="AG640" s="31">
        <v>43119</v>
      </c>
      <c r="AH640" s="108">
        <v>30591000</v>
      </c>
      <c r="AI640" s="1" t="s">
        <v>2740</v>
      </c>
      <c r="AJ640" s="1">
        <v>224</v>
      </c>
      <c r="AK640" s="109">
        <f t="shared" si="59"/>
        <v>0</v>
      </c>
      <c r="AL640" s="108">
        <v>16768400</v>
      </c>
      <c r="AM640" s="108">
        <f t="shared" si="60"/>
        <v>13822600</v>
      </c>
      <c r="AN640" s="1" t="s">
        <v>2308</v>
      </c>
      <c r="AO640" s="108">
        <f t="shared" si="61"/>
        <v>0</v>
      </c>
      <c r="AP640" s="1"/>
      <c r="AQ640" s="1"/>
      <c r="AR640" s="1"/>
      <c r="AS640" s="1"/>
      <c r="AT640" s="1"/>
      <c r="AU640" s="211"/>
    </row>
    <row r="641" spans="1:47" ht="344.25" x14ac:dyDescent="0.2">
      <c r="A641" s="1">
        <v>151</v>
      </c>
      <c r="B641" s="1" t="str">
        <f t="shared" si="57"/>
        <v>3075-151</v>
      </c>
      <c r="C641" s="99" t="s">
        <v>2294</v>
      </c>
      <c r="D641" s="100" t="s">
        <v>2295</v>
      </c>
      <c r="E641" s="100" t="s">
        <v>2296</v>
      </c>
      <c r="F641" s="99" t="s">
        <v>2366</v>
      </c>
      <c r="G641" s="117" t="s">
        <v>2367</v>
      </c>
      <c r="H641" s="102" t="s">
        <v>2368</v>
      </c>
      <c r="I641" s="100" t="s">
        <v>2300</v>
      </c>
      <c r="J641" s="100" t="s">
        <v>2301</v>
      </c>
      <c r="K641" s="100">
        <v>801116</v>
      </c>
      <c r="L641" s="1" t="s">
        <v>2302</v>
      </c>
      <c r="M641" s="1" t="s">
        <v>493</v>
      </c>
      <c r="N641" s="1" t="s">
        <v>494</v>
      </c>
      <c r="O641" s="100" t="s">
        <v>2369</v>
      </c>
      <c r="P641" s="100" t="s">
        <v>2741</v>
      </c>
      <c r="Q641" s="106">
        <v>3553500</v>
      </c>
      <c r="R641" s="1">
        <v>1</v>
      </c>
      <c r="S641" s="104">
        <v>39088500</v>
      </c>
      <c r="T641" s="1" t="s">
        <v>1619</v>
      </c>
      <c r="U641" s="1" t="s">
        <v>2361</v>
      </c>
      <c r="V641" s="31" t="s">
        <v>516</v>
      </c>
      <c r="W641" s="105">
        <v>11</v>
      </c>
      <c r="X641" s="1" t="s">
        <v>2742</v>
      </c>
      <c r="Y641" s="31">
        <v>43102</v>
      </c>
      <c r="Z641" s="106">
        <v>39088500</v>
      </c>
      <c r="AA641" s="107" t="s">
        <v>2669</v>
      </c>
      <c r="AB641" s="20">
        <v>408</v>
      </c>
      <c r="AC641" s="31">
        <v>43110</v>
      </c>
      <c r="AD641" s="108">
        <v>39088500</v>
      </c>
      <c r="AE641" s="109">
        <f t="shared" si="58"/>
        <v>0</v>
      </c>
      <c r="AF641" s="20">
        <v>330</v>
      </c>
      <c r="AG641" s="31">
        <v>43123</v>
      </c>
      <c r="AH641" s="108">
        <v>39088500</v>
      </c>
      <c r="AI641" s="1" t="s">
        <v>2743</v>
      </c>
      <c r="AJ641" s="1">
        <v>289</v>
      </c>
      <c r="AK641" s="109">
        <f t="shared" si="59"/>
        <v>0</v>
      </c>
      <c r="AL641" s="108">
        <v>18715100</v>
      </c>
      <c r="AM641" s="108">
        <f t="shared" si="60"/>
        <v>20373400</v>
      </c>
      <c r="AN641" s="1" t="s">
        <v>2308</v>
      </c>
      <c r="AO641" s="108">
        <f t="shared" si="61"/>
        <v>0</v>
      </c>
      <c r="AP641" s="1"/>
      <c r="AQ641" s="1"/>
      <c r="AR641" s="1"/>
      <c r="AS641" s="1"/>
      <c r="AT641" s="1"/>
      <c r="AU641" s="211"/>
    </row>
    <row r="642" spans="1:47" ht="242.25" x14ac:dyDescent="0.2">
      <c r="A642" s="1">
        <v>152</v>
      </c>
      <c r="B642" s="1" t="str">
        <f t="shared" si="57"/>
        <v>3075-152</v>
      </c>
      <c r="C642" s="99" t="s">
        <v>2294</v>
      </c>
      <c r="D642" s="100" t="s">
        <v>2295</v>
      </c>
      <c r="E642" s="100" t="s">
        <v>2296</v>
      </c>
      <c r="F642" s="99" t="s">
        <v>2366</v>
      </c>
      <c r="G642" s="117" t="s">
        <v>2367</v>
      </c>
      <c r="H642" s="102" t="s">
        <v>2368</v>
      </c>
      <c r="I642" s="100" t="s">
        <v>2300</v>
      </c>
      <c r="J642" s="100" t="s">
        <v>2301</v>
      </c>
      <c r="K642" s="100">
        <v>801116</v>
      </c>
      <c r="L642" s="1" t="s">
        <v>2302</v>
      </c>
      <c r="M642" s="1" t="s">
        <v>493</v>
      </c>
      <c r="N642" s="1" t="s">
        <v>494</v>
      </c>
      <c r="O642" s="100" t="s">
        <v>2369</v>
      </c>
      <c r="P642" s="100" t="s">
        <v>2744</v>
      </c>
      <c r="Q642" s="106">
        <v>3038500</v>
      </c>
      <c r="R642" s="1">
        <v>1</v>
      </c>
      <c r="S642" s="104">
        <v>30385000</v>
      </c>
      <c r="T642" s="1" t="s">
        <v>1634</v>
      </c>
      <c r="U642" s="1" t="s">
        <v>2361</v>
      </c>
      <c r="V642" s="31" t="s">
        <v>516</v>
      </c>
      <c r="W642" s="105">
        <v>10</v>
      </c>
      <c r="X642" s="1" t="s">
        <v>2745</v>
      </c>
      <c r="Y642" s="31">
        <v>43102</v>
      </c>
      <c r="Z642" s="106">
        <v>30385000</v>
      </c>
      <c r="AA642" s="107" t="s">
        <v>2746</v>
      </c>
      <c r="AB642" s="20">
        <v>410</v>
      </c>
      <c r="AC642" s="31">
        <v>43110</v>
      </c>
      <c r="AD642" s="108">
        <v>30385000</v>
      </c>
      <c r="AE642" s="109">
        <f t="shared" si="58"/>
        <v>0</v>
      </c>
      <c r="AF642" s="20">
        <v>382</v>
      </c>
      <c r="AG642" s="31">
        <v>43124</v>
      </c>
      <c r="AH642" s="108">
        <v>30385000</v>
      </c>
      <c r="AI642" s="1" t="s">
        <v>2747</v>
      </c>
      <c r="AJ642" s="1">
        <v>323</v>
      </c>
      <c r="AK642" s="109">
        <f t="shared" si="59"/>
        <v>0</v>
      </c>
      <c r="AL642" s="108">
        <v>15901483</v>
      </c>
      <c r="AM642" s="108">
        <f t="shared" si="60"/>
        <v>14483517</v>
      </c>
      <c r="AN642" s="1" t="s">
        <v>2308</v>
      </c>
      <c r="AO642" s="108">
        <f t="shared" si="61"/>
        <v>0</v>
      </c>
      <c r="AP642" s="1"/>
      <c r="AQ642" s="1"/>
      <c r="AR642" s="1"/>
      <c r="AS642" s="1"/>
      <c r="AT642" s="1"/>
      <c r="AU642" s="211"/>
    </row>
    <row r="643" spans="1:47" ht="267.75" x14ac:dyDescent="0.2">
      <c r="A643" s="1">
        <v>153</v>
      </c>
      <c r="B643" s="1" t="str">
        <f t="shared" si="57"/>
        <v>3075-153</v>
      </c>
      <c r="C643" s="99" t="s">
        <v>2294</v>
      </c>
      <c r="D643" s="100" t="s">
        <v>2295</v>
      </c>
      <c r="E643" s="100" t="s">
        <v>2296</v>
      </c>
      <c r="F643" s="99" t="s">
        <v>2366</v>
      </c>
      <c r="G643" s="117" t="s">
        <v>2367</v>
      </c>
      <c r="H643" s="102" t="s">
        <v>2368</v>
      </c>
      <c r="I643" s="100" t="s">
        <v>2300</v>
      </c>
      <c r="J643" s="100" t="s">
        <v>2301</v>
      </c>
      <c r="K643" s="100">
        <v>801116</v>
      </c>
      <c r="L643" s="1" t="s">
        <v>2302</v>
      </c>
      <c r="M643" s="1" t="s">
        <v>493</v>
      </c>
      <c r="N643" s="1" t="s">
        <v>494</v>
      </c>
      <c r="O643" s="100" t="s">
        <v>2369</v>
      </c>
      <c r="P643" s="100" t="s">
        <v>2748</v>
      </c>
      <c r="Q643" s="106">
        <v>3038500</v>
      </c>
      <c r="R643" s="1">
        <v>1</v>
      </c>
      <c r="S643" s="104">
        <v>24308000</v>
      </c>
      <c r="T643" s="1" t="s">
        <v>1634</v>
      </c>
      <c r="U643" s="1" t="s">
        <v>2361</v>
      </c>
      <c r="V643" s="31" t="s">
        <v>516</v>
      </c>
      <c r="W643" s="105">
        <v>8</v>
      </c>
      <c r="X643" s="1" t="s">
        <v>2749</v>
      </c>
      <c r="Y643" s="31">
        <v>43102</v>
      </c>
      <c r="Z643" s="106">
        <v>24308000</v>
      </c>
      <c r="AA643" s="107" t="s">
        <v>2746</v>
      </c>
      <c r="AB643" s="20">
        <v>201</v>
      </c>
      <c r="AC643" s="31">
        <v>43105</v>
      </c>
      <c r="AD643" s="108">
        <v>24308000</v>
      </c>
      <c r="AE643" s="109">
        <f t="shared" si="58"/>
        <v>0</v>
      </c>
      <c r="AF643" s="20">
        <v>344</v>
      </c>
      <c r="AG643" s="31">
        <v>43123</v>
      </c>
      <c r="AH643" s="108">
        <v>24308000</v>
      </c>
      <c r="AI643" s="1" t="s">
        <v>2750</v>
      </c>
      <c r="AJ643" s="1">
        <v>293</v>
      </c>
      <c r="AK643" s="109">
        <f t="shared" si="59"/>
        <v>0</v>
      </c>
      <c r="AL643" s="108">
        <v>15901483</v>
      </c>
      <c r="AM643" s="108">
        <f t="shared" si="60"/>
        <v>8406517</v>
      </c>
      <c r="AN643" s="1" t="s">
        <v>2308</v>
      </c>
      <c r="AO643" s="108">
        <f t="shared" si="61"/>
        <v>0</v>
      </c>
      <c r="AP643" s="1"/>
      <c r="AQ643" s="1"/>
      <c r="AR643" s="1"/>
      <c r="AS643" s="1"/>
      <c r="AT643" s="1"/>
      <c r="AU643" s="211"/>
    </row>
    <row r="644" spans="1:47" ht="280.5" x14ac:dyDescent="0.2">
      <c r="A644" s="1">
        <v>154</v>
      </c>
      <c r="B644" s="1" t="str">
        <f t="shared" si="57"/>
        <v>3075-154</v>
      </c>
      <c r="C644" s="99" t="s">
        <v>2294</v>
      </c>
      <c r="D644" s="100" t="s">
        <v>2295</v>
      </c>
      <c r="E644" s="100" t="s">
        <v>2296</v>
      </c>
      <c r="F644" s="99" t="s">
        <v>2366</v>
      </c>
      <c r="G644" s="117" t="s">
        <v>2367</v>
      </c>
      <c r="H644" s="102" t="s">
        <v>2368</v>
      </c>
      <c r="I644" s="100" t="s">
        <v>2300</v>
      </c>
      <c r="J644" s="100" t="s">
        <v>2301</v>
      </c>
      <c r="K644" s="100">
        <v>801116</v>
      </c>
      <c r="L644" s="1" t="s">
        <v>2302</v>
      </c>
      <c r="M644" s="1" t="s">
        <v>493</v>
      </c>
      <c r="N644" s="1" t="s">
        <v>494</v>
      </c>
      <c r="O644" s="100" t="s">
        <v>2369</v>
      </c>
      <c r="P644" s="100" t="s">
        <v>2463</v>
      </c>
      <c r="Q644" s="106">
        <v>4120000</v>
      </c>
      <c r="R644" s="1">
        <v>1</v>
      </c>
      <c r="S644" s="104">
        <v>37080000</v>
      </c>
      <c r="T644" s="1" t="s">
        <v>1619</v>
      </c>
      <c r="U644" s="1" t="s">
        <v>2361</v>
      </c>
      <c r="V644" s="31" t="s">
        <v>516</v>
      </c>
      <c r="W644" s="105">
        <v>9</v>
      </c>
      <c r="X644" s="1" t="s">
        <v>2751</v>
      </c>
      <c r="Y644" s="31">
        <v>43102</v>
      </c>
      <c r="Z644" s="106">
        <v>37080000</v>
      </c>
      <c r="AA644" s="107" t="s">
        <v>2678</v>
      </c>
      <c r="AB644" s="20">
        <v>204</v>
      </c>
      <c r="AC644" s="31">
        <v>43105</v>
      </c>
      <c r="AD644" s="108">
        <v>37080000</v>
      </c>
      <c r="AE644" s="109">
        <f t="shared" si="58"/>
        <v>0</v>
      </c>
      <c r="AF644" s="20">
        <v>348</v>
      </c>
      <c r="AG644" s="31">
        <v>43123</v>
      </c>
      <c r="AH644" s="108">
        <v>37080000</v>
      </c>
      <c r="AI644" s="1" t="s">
        <v>2752</v>
      </c>
      <c r="AJ644" s="1">
        <v>295</v>
      </c>
      <c r="AK644" s="109">
        <f t="shared" si="59"/>
        <v>0</v>
      </c>
      <c r="AL644" s="108">
        <v>18265333</v>
      </c>
      <c r="AM644" s="108">
        <f t="shared" si="60"/>
        <v>18814667</v>
      </c>
      <c r="AN644" s="1" t="s">
        <v>2308</v>
      </c>
      <c r="AO644" s="108">
        <f t="shared" si="61"/>
        <v>0</v>
      </c>
      <c r="AP644" s="1"/>
      <c r="AQ644" s="1"/>
      <c r="AR644" s="1"/>
      <c r="AS644" s="1"/>
      <c r="AT644" s="1"/>
      <c r="AU644" s="211"/>
    </row>
    <row r="645" spans="1:47" ht="255" x14ac:dyDescent="0.2">
      <c r="A645" s="1">
        <v>155</v>
      </c>
      <c r="B645" s="1" t="str">
        <f t="shared" si="57"/>
        <v>3075-155</v>
      </c>
      <c r="C645" s="99" t="s">
        <v>2294</v>
      </c>
      <c r="D645" s="100" t="s">
        <v>2295</v>
      </c>
      <c r="E645" s="100" t="s">
        <v>2296</v>
      </c>
      <c r="F645" s="99" t="s">
        <v>2366</v>
      </c>
      <c r="G645" s="117" t="s">
        <v>2367</v>
      </c>
      <c r="H645" s="102" t="s">
        <v>2368</v>
      </c>
      <c r="I645" s="100" t="s">
        <v>2300</v>
      </c>
      <c r="J645" s="100" t="s">
        <v>2301</v>
      </c>
      <c r="K645" s="100">
        <v>801116</v>
      </c>
      <c r="L645" s="1" t="s">
        <v>2302</v>
      </c>
      <c r="M645" s="1" t="s">
        <v>493</v>
      </c>
      <c r="N645" s="1" t="s">
        <v>494</v>
      </c>
      <c r="O645" s="100" t="s">
        <v>2369</v>
      </c>
      <c r="P645" s="100" t="s">
        <v>2753</v>
      </c>
      <c r="Q645" s="106">
        <v>4120000</v>
      </c>
      <c r="R645" s="1">
        <v>1</v>
      </c>
      <c r="S645" s="104">
        <v>41200000</v>
      </c>
      <c r="T645" s="1" t="s">
        <v>1619</v>
      </c>
      <c r="U645" s="1" t="s">
        <v>2361</v>
      </c>
      <c r="V645" s="31" t="s">
        <v>516</v>
      </c>
      <c r="W645" s="105">
        <v>9.75</v>
      </c>
      <c r="X645" s="1" t="s">
        <v>2754</v>
      </c>
      <c r="Y645" s="31">
        <v>43102</v>
      </c>
      <c r="Z645" s="106">
        <v>41200000</v>
      </c>
      <c r="AA645" s="107" t="s">
        <v>2696</v>
      </c>
      <c r="AB645" s="20">
        <v>206</v>
      </c>
      <c r="AC645" s="31">
        <v>43105</v>
      </c>
      <c r="AD645" s="108">
        <v>41200000</v>
      </c>
      <c r="AE645" s="109">
        <f t="shared" si="58"/>
        <v>0</v>
      </c>
      <c r="AF645" s="20">
        <v>397</v>
      </c>
      <c r="AG645" s="31">
        <v>43124</v>
      </c>
      <c r="AH645" s="108">
        <v>41200000</v>
      </c>
      <c r="AI645" s="1" t="s">
        <v>2755</v>
      </c>
      <c r="AJ645" s="1">
        <v>318</v>
      </c>
      <c r="AK645" s="109">
        <f t="shared" si="59"/>
        <v>0</v>
      </c>
      <c r="AL645" s="108">
        <v>21561333</v>
      </c>
      <c r="AM645" s="108">
        <f t="shared" si="60"/>
        <v>19638667</v>
      </c>
      <c r="AN645" s="1" t="s">
        <v>2308</v>
      </c>
      <c r="AO645" s="108">
        <f t="shared" si="61"/>
        <v>0</v>
      </c>
      <c r="AP645" s="1"/>
      <c r="AQ645" s="1"/>
      <c r="AR645" s="1"/>
      <c r="AS645" s="1"/>
      <c r="AT645" s="1"/>
      <c r="AU645" s="211"/>
    </row>
    <row r="646" spans="1:47" ht="255" x14ac:dyDescent="0.2">
      <c r="A646" s="1">
        <v>156</v>
      </c>
      <c r="B646" s="1" t="str">
        <f t="shared" si="57"/>
        <v>3075-156</v>
      </c>
      <c r="C646" s="99" t="s">
        <v>2294</v>
      </c>
      <c r="D646" s="100" t="s">
        <v>2295</v>
      </c>
      <c r="E646" s="100" t="s">
        <v>2296</v>
      </c>
      <c r="F646" s="99" t="s">
        <v>2366</v>
      </c>
      <c r="G646" s="117" t="s">
        <v>2367</v>
      </c>
      <c r="H646" s="102" t="s">
        <v>2368</v>
      </c>
      <c r="I646" s="100" t="s">
        <v>2300</v>
      </c>
      <c r="J646" s="100" t="s">
        <v>2301</v>
      </c>
      <c r="K646" s="100">
        <v>801116</v>
      </c>
      <c r="L646" s="1" t="s">
        <v>2302</v>
      </c>
      <c r="M646" s="1" t="s">
        <v>493</v>
      </c>
      <c r="N646" s="1" t="s">
        <v>494</v>
      </c>
      <c r="O646" s="100" t="s">
        <v>2369</v>
      </c>
      <c r="P646" s="100" t="s">
        <v>2738</v>
      </c>
      <c r="Q646" s="106">
        <v>4120000</v>
      </c>
      <c r="R646" s="1">
        <v>1</v>
      </c>
      <c r="S646" s="104">
        <v>41200000</v>
      </c>
      <c r="T646" s="1" t="s">
        <v>1619</v>
      </c>
      <c r="U646" s="1" t="s">
        <v>2361</v>
      </c>
      <c r="V646" s="31" t="s">
        <v>516</v>
      </c>
      <c r="W646" s="105">
        <v>9.75</v>
      </c>
      <c r="X646" s="1" t="s">
        <v>2756</v>
      </c>
      <c r="Y646" s="31">
        <v>43102</v>
      </c>
      <c r="Z646" s="106">
        <v>41200000</v>
      </c>
      <c r="AA646" s="107" t="s">
        <v>2672</v>
      </c>
      <c r="AB646" s="20">
        <v>210</v>
      </c>
      <c r="AC646" s="31">
        <v>43105</v>
      </c>
      <c r="AD646" s="108">
        <v>41200000</v>
      </c>
      <c r="AE646" s="109">
        <f t="shared" si="58"/>
        <v>0</v>
      </c>
      <c r="AF646" s="20">
        <v>261</v>
      </c>
      <c r="AG646" s="31">
        <v>43119</v>
      </c>
      <c r="AH646" s="108">
        <v>41200000</v>
      </c>
      <c r="AI646" s="1" t="s">
        <v>2757</v>
      </c>
      <c r="AJ646" s="1">
        <v>227</v>
      </c>
      <c r="AK646" s="109">
        <f t="shared" si="59"/>
        <v>0</v>
      </c>
      <c r="AL646" s="108">
        <v>21836000</v>
      </c>
      <c r="AM646" s="108">
        <f t="shared" si="60"/>
        <v>19364000</v>
      </c>
      <c r="AN646" s="1" t="s">
        <v>2308</v>
      </c>
      <c r="AO646" s="108">
        <f t="shared" si="61"/>
        <v>0</v>
      </c>
      <c r="AP646" s="1"/>
      <c r="AQ646" s="1"/>
      <c r="AR646" s="1"/>
      <c r="AS646" s="1"/>
      <c r="AT646" s="1"/>
      <c r="AU646" s="211"/>
    </row>
    <row r="647" spans="1:47" ht="255" x14ac:dyDescent="0.2">
      <c r="A647" s="1">
        <v>157</v>
      </c>
      <c r="B647" s="1" t="str">
        <f t="shared" si="57"/>
        <v>3075-157</v>
      </c>
      <c r="C647" s="99" t="s">
        <v>2294</v>
      </c>
      <c r="D647" s="100" t="s">
        <v>2295</v>
      </c>
      <c r="E647" s="100" t="s">
        <v>2296</v>
      </c>
      <c r="F647" s="99" t="s">
        <v>2366</v>
      </c>
      <c r="G647" s="117" t="s">
        <v>2367</v>
      </c>
      <c r="H647" s="102" t="s">
        <v>2368</v>
      </c>
      <c r="I647" s="100" t="s">
        <v>2300</v>
      </c>
      <c r="J647" s="100" t="s">
        <v>2301</v>
      </c>
      <c r="K647" s="100">
        <v>801116</v>
      </c>
      <c r="L647" s="1" t="s">
        <v>2302</v>
      </c>
      <c r="M647" s="1" t="s">
        <v>493</v>
      </c>
      <c r="N647" s="1" t="s">
        <v>494</v>
      </c>
      <c r="O647" s="100" t="s">
        <v>2369</v>
      </c>
      <c r="P647" s="100" t="s">
        <v>2441</v>
      </c>
      <c r="Q647" s="106">
        <v>4120000</v>
      </c>
      <c r="R647" s="1">
        <v>1</v>
      </c>
      <c r="S647" s="104">
        <v>37080000</v>
      </c>
      <c r="T647" s="1" t="s">
        <v>1619</v>
      </c>
      <c r="U647" s="1" t="s">
        <v>2361</v>
      </c>
      <c r="V647" s="31" t="s">
        <v>516</v>
      </c>
      <c r="W647" s="105">
        <v>9</v>
      </c>
      <c r="X647" s="1" t="s">
        <v>2758</v>
      </c>
      <c r="Y647" s="31">
        <v>43102</v>
      </c>
      <c r="Z647" s="106">
        <v>37080000</v>
      </c>
      <c r="AA647" s="107" t="s">
        <v>2672</v>
      </c>
      <c r="AB647" s="20">
        <v>411</v>
      </c>
      <c r="AC647" s="31">
        <v>43110</v>
      </c>
      <c r="AD647" s="108">
        <v>37080000</v>
      </c>
      <c r="AE647" s="109">
        <f t="shared" si="58"/>
        <v>0</v>
      </c>
      <c r="AF647" s="20">
        <v>377</v>
      </c>
      <c r="AG647" s="31">
        <v>43124</v>
      </c>
      <c r="AH647" s="108">
        <v>37080000</v>
      </c>
      <c r="AI647" s="1" t="s">
        <v>2759</v>
      </c>
      <c r="AJ647" s="1">
        <v>327</v>
      </c>
      <c r="AK647" s="109">
        <f t="shared" si="59"/>
        <v>0</v>
      </c>
      <c r="AL647" s="108">
        <v>2746666</v>
      </c>
      <c r="AM647" s="108">
        <f t="shared" si="60"/>
        <v>34333334</v>
      </c>
      <c r="AN647" s="1" t="s">
        <v>2308</v>
      </c>
      <c r="AO647" s="108">
        <f t="shared" si="61"/>
        <v>0</v>
      </c>
      <c r="AP647" s="1"/>
      <c r="AQ647" s="1"/>
      <c r="AR647" s="1"/>
      <c r="AS647" s="1"/>
      <c r="AT647" s="1"/>
      <c r="AU647" s="211"/>
    </row>
    <row r="648" spans="1:47" ht="331.5" x14ac:dyDescent="0.2">
      <c r="A648" s="1">
        <v>158</v>
      </c>
      <c r="B648" s="1" t="str">
        <f t="shared" si="57"/>
        <v>3075-158</v>
      </c>
      <c r="C648" s="99" t="s">
        <v>2294</v>
      </c>
      <c r="D648" s="100" t="s">
        <v>2295</v>
      </c>
      <c r="E648" s="100" t="s">
        <v>2296</v>
      </c>
      <c r="F648" s="99" t="s">
        <v>2366</v>
      </c>
      <c r="G648" s="117" t="s">
        <v>2367</v>
      </c>
      <c r="H648" s="102" t="s">
        <v>2368</v>
      </c>
      <c r="I648" s="100" t="s">
        <v>2300</v>
      </c>
      <c r="J648" s="100" t="s">
        <v>2301</v>
      </c>
      <c r="K648" s="100">
        <v>801116</v>
      </c>
      <c r="L648" s="1" t="s">
        <v>2302</v>
      </c>
      <c r="M648" s="1" t="s">
        <v>493</v>
      </c>
      <c r="N648" s="1" t="s">
        <v>494</v>
      </c>
      <c r="O648" s="100" t="s">
        <v>2369</v>
      </c>
      <c r="P648" s="100" t="s">
        <v>2452</v>
      </c>
      <c r="Q648" s="106">
        <v>4120000</v>
      </c>
      <c r="R648" s="1">
        <v>1</v>
      </c>
      <c r="S648" s="104">
        <v>32960000</v>
      </c>
      <c r="T648" s="1" t="s">
        <v>1619</v>
      </c>
      <c r="U648" s="1" t="s">
        <v>2361</v>
      </c>
      <c r="V648" s="31" t="s">
        <v>516</v>
      </c>
      <c r="W648" s="105">
        <v>8</v>
      </c>
      <c r="X648" s="1" t="s">
        <v>2760</v>
      </c>
      <c r="Y648" s="31">
        <v>43102</v>
      </c>
      <c r="Z648" s="106">
        <v>32960000</v>
      </c>
      <c r="AA648" s="107" t="s">
        <v>2692</v>
      </c>
      <c r="AB648" s="20">
        <v>213</v>
      </c>
      <c r="AC648" s="31">
        <v>43105</v>
      </c>
      <c r="AD648" s="108">
        <v>32960000</v>
      </c>
      <c r="AE648" s="109">
        <f t="shared" si="58"/>
        <v>0</v>
      </c>
      <c r="AF648" s="20">
        <v>350</v>
      </c>
      <c r="AG648" s="31">
        <v>43123</v>
      </c>
      <c r="AH648" s="108">
        <v>32960000</v>
      </c>
      <c r="AI648" s="1" t="s">
        <v>2761</v>
      </c>
      <c r="AJ648" s="1">
        <v>296</v>
      </c>
      <c r="AK648" s="109">
        <f t="shared" si="59"/>
        <v>0</v>
      </c>
      <c r="AL648" s="108">
        <v>21561333</v>
      </c>
      <c r="AM648" s="108">
        <f t="shared" si="60"/>
        <v>11398667</v>
      </c>
      <c r="AN648" s="1" t="s">
        <v>2308</v>
      </c>
      <c r="AO648" s="108">
        <f t="shared" si="61"/>
        <v>0</v>
      </c>
      <c r="AP648" s="1"/>
      <c r="AQ648" s="1"/>
      <c r="AR648" s="1"/>
      <c r="AS648" s="1"/>
      <c r="AT648" s="1"/>
      <c r="AU648" s="211"/>
    </row>
    <row r="649" spans="1:47" ht="293.25" x14ac:dyDescent="0.2">
      <c r="A649" s="1">
        <v>159</v>
      </c>
      <c r="B649" s="1" t="str">
        <f t="shared" si="57"/>
        <v>3075-159</v>
      </c>
      <c r="C649" s="99" t="s">
        <v>2294</v>
      </c>
      <c r="D649" s="100" t="s">
        <v>2295</v>
      </c>
      <c r="E649" s="100" t="s">
        <v>2296</v>
      </c>
      <c r="F649" s="99" t="s">
        <v>2366</v>
      </c>
      <c r="G649" s="117" t="s">
        <v>2367</v>
      </c>
      <c r="H649" s="102" t="s">
        <v>2368</v>
      </c>
      <c r="I649" s="100" t="s">
        <v>2300</v>
      </c>
      <c r="J649" s="100" t="s">
        <v>2301</v>
      </c>
      <c r="K649" s="100">
        <v>801116</v>
      </c>
      <c r="L649" s="1" t="s">
        <v>2302</v>
      </c>
      <c r="M649" s="1" t="s">
        <v>493</v>
      </c>
      <c r="N649" s="1" t="s">
        <v>494</v>
      </c>
      <c r="O649" s="100" t="s">
        <v>2369</v>
      </c>
      <c r="P649" s="100" t="s">
        <v>2426</v>
      </c>
      <c r="Q649" s="106">
        <v>1751000</v>
      </c>
      <c r="R649" s="1">
        <v>1</v>
      </c>
      <c r="S649" s="104">
        <v>19261000</v>
      </c>
      <c r="T649" s="1" t="s">
        <v>1634</v>
      </c>
      <c r="U649" s="1" t="s">
        <v>2361</v>
      </c>
      <c r="V649" s="31" t="s">
        <v>516</v>
      </c>
      <c r="W649" s="105">
        <v>11</v>
      </c>
      <c r="X649" s="1" t="s">
        <v>2762</v>
      </c>
      <c r="Y649" s="31">
        <v>43102</v>
      </c>
      <c r="Z649" s="106">
        <v>19261000</v>
      </c>
      <c r="AA649" s="107" t="s">
        <v>2681</v>
      </c>
      <c r="AB649" s="20">
        <v>215</v>
      </c>
      <c r="AC649" s="31">
        <v>43105</v>
      </c>
      <c r="AD649" s="108">
        <v>19261000</v>
      </c>
      <c r="AE649" s="109">
        <f t="shared" si="58"/>
        <v>0</v>
      </c>
      <c r="AF649" s="20">
        <v>288</v>
      </c>
      <c r="AG649" s="31">
        <v>43122</v>
      </c>
      <c r="AH649" s="108">
        <v>19261000</v>
      </c>
      <c r="AI649" s="1" t="s">
        <v>2763</v>
      </c>
      <c r="AJ649" s="1">
        <v>257</v>
      </c>
      <c r="AK649" s="109">
        <f t="shared" si="59"/>
        <v>0</v>
      </c>
      <c r="AL649" s="108">
        <v>9280300</v>
      </c>
      <c r="AM649" s="108">
        <f t="shared" si="60"/>
        <v>9980700</v>
      </c>
      <c r="AN649" s="1" t="s">
        <v>2308</v>
      </c>
      <c r="AO649" s="108">
        <f t="shared" si="61"/>
        <v>0</v>
      </c>
      <c r="AP649" s="1"/>
      <c r="AQ649" s="1"/>
      <c r="AR649" s="1"/>
      <c r="AS649" s="1"/>
      <c r="AT649" s="1"/>
      <c r="AU649" s="211"/>
    </row>
    <row r="650" spans="1:47" ht="331.5" x14ac:dyDescent="0.2">
      <c r="A650" s="1">
        <v>160</v>
      </c>
      <c r="B650" s="1" t="str">
        <f t="shared" si="57"/>
        <v>3075-160</v>
      </c>
      <c r="C650" s="99" t="s">
        <v>2294</v>
      </c>
      <c r="D650" s="100" t="s">
        <v>2295</v>
      </c>
      <c r="E650" s="100" t="s">
        <v>2296</v>
      </c>
      <c r="F650" s="99" t="s">
        <v>2366</v>
      </c>
      <c r="G650" s="117" t="s">
        <v>2367</v>
      </c>
      <c r="H650" s="102" t="s">
        <v>2368</v>
      </c>
      <c r="I650" s="100" t="s">
        <v>2300</v>
      </c>
      <c r="J650" s="100" t="s">
        <v>2301</v>
      </c>
      <c r="K650" s="100">
        <v>801116</v>
      </c>
      <c r="L650" s="1" t="s">
        <v>2302</v>
      </c>
      <c r="M650" s="1" t="s">
        <v>493</v>
      </c>
      <c r="N650" s="1" t="s">
        <v>494</v>
      </c>
      <c r="O650" s="100" t="s">
        <v>2369</v>
      </c>
      <c r="P650" s="100" t="s">
        <v>2764</v>
      </c>
      <c r="Q650" s="106">
        <v>3326900</v>
      </c>
      <c r="R650" s="1">
        <v>1</v>
      </c>
      <c r="S650" s="104">
        <v>23288300</v>
      </c>
      <c r="T650" s="1" t="s">
        <v>1634</v>
      </c>
      <c r="U650" s="1" t="s">
        <v>2361</v>
      </c>
      <c r="V650" s="31" t="s">
        <v>516</v>
      </c>
      <c r="W650" s="105">
        <v>7</v>
      </c>
      <c r="X650" s="1" t="s">
        <v>2765</v>
      </c>
      <c r="Y650" s="31">
        <v>43102</v>
      </c>
      <c r="Z650" s="106">
        <v>23288300</v>
      </c>
      <c r="AA650" s="107" t="s">
        <v>2766</v>
      </c>
      <c r="AB650" s="20">
        <v>359</v>
      </c>
      <c r="AC650" s="31">
        <v>43110</v>
      </c>
      <c r="AD650" s="108">
        <v>23288300</v>
      </c>
      <c r="AE650" s="109">
        <f t="shared" si="58"/>
        <v>0</v>
      </c>
      <c r="AF650" s="20">
        <v>466</v>
      </c>
      <c r="AG650" s="31">
        <v>43126</v>
      </c>
      <c r="AH650" s="108">
        <v>23288300</v>
      </c>
      <c r="AI650" s="1" t="s">
        <v>2767</v>
      </c>
      <c r="AJ650" s="1">
        <v>393</v>
      </c>
      <c r="AK650" s="109">
        <f t="shared" si="59"/>
        <v>0</v>
      </c>
      <c r="AL650" s="108">
        <v>17188983</v>
      </c>
      <c r="AM650" s="108">
        <f t="shared" si="60"/>
        <v>6099317</v>
      </c>
      <c r="AN650" s="1" t="s">
        <v>2308</v>
      </c>
      <c r="AO650" s="108">
        <f t="shared" si="61"/>
        <v>0</v>
      </c>
      <c r="AP650" s="1"/>
      <c r="AQ650" s="1"/>
      <c r="AR650" s="1"/>
      <c r="AS650" s="1"/>
      <c r="AT650" s="1"/>
      <c r="AU650" s="211"/>
    </row>
    <row r="651" spans="1:47" ht="408" x14ac:dyDescent="0.2">
      <c r="A651" s="1">
        <v>161</v>
      </c>
      <c r="B651" s="1" t="str">
        <f t="shared" si="57"/>
        <v>3075-161</v>
      </c>
      <c r="C651" s="99" t="s">
        <v>2294</v>
      </c>
      <c r="D651" s="100" t="s">
        <v>2295</v>
      </c>
      <c r="E651" s="100" t="s">
        <v>2296</v>
      </c>
      <c r="F651" s="99" t="s">
        <v>2366</v>
      </c>
      <c r="G651" s="117" t="s">
        <v>2367</v>
      </c>
      <c r="H651" s="102" t="s">
        <v>2368</v>
      </c>
      <c r="I651" s="100" t="s">
        <v>2300</v>
      </c>
      <c r="J651" s="100" t="s">
        <v>2301</v>
      </c>
      <c r="K651" s="100">
        <v>801116</v>
      </c>
      <c r="L651" s="1" t="s">
        <v>2302</v>
      </c>
      <c r="M651" s="1" t="s">
        <v>493</v>
      </c>
      <c r="N651" s="1" t="s">
        <v>494</v>
      </c>
      <c r="O651" s="100" t="s">
        <v>2369</v>
      </c>
      <c r="P651" s="100" t="s">
        <v>2768</v>
      </c>
      <c r="Q651" s="106">
        <v>3399000</v>
      </c>
      <c r="R651" s="1">
        <v>1</v>
      </c>
      <c r="S651" s="104">
        <v>33990000</v>
      </c>
      <c r="T651" s="1" t="s">
        <v>1619</v>
      </c>
      <c r="U651" s="1" t="s">
        <v>2361</v>
      </c>
      <c r="V651" s="31" t="s">
        <v>516</v>
      </c>
      <c r="W651" s="105">
        <v>9.5</v>
      </c>
      <c r="X651" s="1" t="s">
        <v>2769</v>
      </c>
      <c r="Y651" s="31">
        <v>43102</v>
      </c>
      <c r="Z651" s="106">
        <v>33990000</v>
      </c>
      <c r="AA651" s="107" t="s">
        <v>2721</v>
      </c>
      <c r="AB651" s="20">
        <v>412</v>
      </c>
      <c r="AC651" s="31">
        <v>43110</v>
      </c>
      <c r="AD651" s="108">
        <v>33990000</v>
      </c>
      <c r="AE651" s="109">
        <f t="shared" si="58"/>
        <v>0</v>
      </c>
      <c r="AF651" s="20">
        <v>299</v>
      </c>
      <c r="AG651" s="31">
        <v>43122</v>
      </c>
      <c r="AH651" s="108">
        <v>33990000</v>
      </c>
      <c r="AI651" s="1" t="s">
        <v>2770</v>
      </c>
      <c r="AJ651" s="1">
        <v>273</v>
      </c>
      <c r="AK651" s="109">
        <f t="shared" si="59"/>
        <v>0</v>
      </c>
      <c r="AL651" s="108">
        <v>14502400</v>
      </c>
      <c r="AM651" s="108">
        <f t="shared" si="60"/>
        <v>19487600</v>
      </c>
      <c r="AN651" s="1" t="s">
        <v>2308</v>
      </c>
      <c r="AO651" s="108">
        <f t="shared" si="61"/>
        <v>0</v>
      </c>
      <c r="AP651" s="1"/>
      <c r="AQ651" s="1"/>
      <c r="AR651" s="1"/>
      <c r="AS651" s="1"/>
      <c r="AT651" s="1"/>
      <c r="AU651" s="211"/>
    </row>
    <row r="652" spans="1:47" ht="293.25" x14ac:dyDescent="0.2">
      <c r="A652" s="1">
        <v>162</v>
      </c>
      <c r="B652" s="1" t="str">
        <f t="shared" si="57"/>
        <v>3075-162</v>
      </c>
      <c r="C652" s="99" t="s">
        <v>2294</v>
      </c>
      <c r="D652" s="100" t="s">
        <v>2295</v>
      </c>
      <c r="E652" s="100" t="s">
        <v>2296</v>
      </c>
      <c r="F652" s="99" t="s">
        <v>2366</v>
      </c>
      <c r="G652" s="117" t="s">
        <v>2367</v>
      </c>
      <c r="H652" s="102" t="s">
        <v>2368</v>
      </c>
      <c r="I652" s="100" t="s">
        <v>2300</v>
      </c>
      <c r="J652" s="100" t="s">
        <v>2301</v>
      </c>
      <c r="K652" s="100">
        <v>801116</v>
      </c>
      <c r="L652" s="1" t="s">
        <v>2302</v>
      </c>
      <c r="M652" s="1" t="s">
        <v>493</v>
      </c>
      <c r="N652" s="1" t="s">
        <v>494</v>
      </c>
      <c r="O652" s="100" t="s">
        <v>2369</v>
      </c>
      <c r="P652" s="100" t="s">
        <v>2426</v>
      </c>
      <c r="Q652" s="106">
        <v>1751000</v>
      </c>
      <c r="R652" s="1">
        <v>1</v>
      </c>
      <c r="S652" s="104">
        <v>10506000</v>
      </c>
      <c r="T652" s="1" t="s">
        <v>1634</v>
      </c>
      <c r="U652" s="1" t="s">
        <v>2361</v>
      </c>
      <c r="V652" s="31" t="s">
        <v>516</v>
      </c>
      <c r="W652" s="105">
        <v>6</v>
      </c>
      <c r="X652" s="1" t="s">
        <v>2771</v>
      </c>
      <c r="Y652" s="31">
        <v>43102</v>
      </c>
      <c r="Z652" s="106">
        <v>10506000</v>
      </c>
      <c r="AA652" s="107" t="s">
        <v>2681</v>
      </c>
      <c r="AB652" s="20">
        <v>361</v>
      </c>
      <c r="AC652" s="31">
        <v>43110</v>
      </c>
      <c r="AD652" s="108">
        <v>10506000</v>
      </c>
      <c r="AE652" s="109">
        <f t="shared" si="58"/>
        <v>0</v>
      </c>
      <c r="AF652" s="20">
        <v>367</v>
      </c>
      <c r="AG652" s="31">
        <v>43124</v>
      </c>
      <c r="AH652" s="108">
        <v>10506000</v>
      </c>
      <c r="AI652" s="1" t="s">
        <v>2772</v>
      </c>
      <c r="AJ652" s="1">
        <v>267</v>
      </c>
      <c r="AK652" s="109">
        <f t="shared" si="59"/>
        <v>0</v>
      </c>
      <c r="AL652" s="108">
        <v>9163566</v>
      </c>
      <c r="AM652" s="108">
        <f t="shared" si="60"/>
        <v>1342434</v>
      </c>
      <c r="AN652" s="1" t="s">
        <v>2308</v>
      </c>
      <c r="AO652" s="108">
        <f t="shared" si="61"/>
        <v>0</v>
      </c>
      <c r="AP652" s="1"/>
      <c r="AQ652" s="1"/>
      <c r="AR652" s="1"/>
      <c r="AS652" s="1"/>
      <c r="AT652" s="1"/>
      <c r="AU652" s="211"/>
    </row>
    <row r="653" spans="1:47" ht="306" x14ac:dyDescent="0.2">
      <c r="A653" s="1">
        <v>163</v>
      </c>
      <c r="B653" s="1" t="str">
        <f t="shared" si="57"/>
        <v>3075-163</v>
      </c>
      <c r="C653" s="99" t="s">
        <v>2294</v>
      </c>
      <c r="D653" s="100" t="s">
        <v>2295</v>
      </c>
      <c r="E653" s="100" t="s">
        <v>2296</v>
      </c>
      <c r="F653" s="99" t="s">
        <v>2366</v>
      </c>
      <c r="G653" s="117" t="s">
        <v>2367</v>
      </c>
      <c r="H653" s="102" t="s">
        <v>2368</v>
      </c>
      <c r="I653" s="100" t="s">
        <v>2300</v>
      </c>
      <c r="J653" s="100" t="s">
        <v>2301</v>
      </c>
      <c r="K653" s="100">
        <v>801116</v>
      </c>
      <c r="L653" s="1" t="s">
        <v>2302</v>
      </c>
      <c r="M653" s="1" t="s">
        <v>493</v>
      </c>
      <c r="N653" s="1" t="s">
        <v>494</v>
      </c>
      <c r="O653" s="100" t="s">
        <v>2369</v>
      </c>
      <c r="P653" s="100" t="s">
        <v>2773</v>
      </c>
      <c r="Q653" s="106">
        <v>3553500</v>
      </c>
      <c r="R653" s="1">
        <v>1</v>
      </c>
      <c r="S653" s="104">
        <v>31981500</v>
      </c>
      <c r="T653" s="1" t="s">
        <v>1619</v>
      </c>
      <c r="U653" s="1" t="s">
        <v>2361</v>
      </c>
      <c r="V653" s="31" t="s">
        <v>516</v>
      </c>
      <c r="W653" s="105">
        <v>9</v>
      </c>
      <c r="X653" s="1" t="s">
        <v>2774</v>
      </c>
      <c r="Y653" s="31">
        <v>43102</v>
      </c>
      <c r="Z653" s="106">
        <v>31981500</v>
      </c>
      <c r="AA653" s="107" t="s">
        <v>2766</v>
      </c>
      <c r="AB653" s="20">
        <v>220</v>
      </c>
      <c r="AC653" s="31">
        <v>43105</v>
      </c>
      <c r="AD653" s="108">
        <v>31981500</v>
      </c>
      <c r="AE653" s="109">
        <f t="shared" si="58"/>
        <v>0</v>
      </c>
      <c r="AF653" s="20">
        <v>298</v>
      </c>
      <c r="AG653" s="31">
        <v>43122</v>
      </c>
      <c r="AH653" s="108">
        <v>31981500</v>
      </c>
      <c r="AI653" s="1" t="s">
        <v>2775</v>
      </c>
      <c r="AJ653" s="1">
        <v>271</v>
      </c>
      <c r="AK653" s="109">
        <f t="shared" si="59"/>
        <v>0</v>
      </c>
      <c r="AL653" s="108">
        <v>18715100</v>
      </c>
      <c r="AM653" s="108">
        <f t="shared" si="60"/>
        <v>13266400</v>
      </c>
      <c r="AN653" s="1" t="s">
        <v>2308</v>
      </c>
      <c r="AO653" s="108">
        <f t="shared" si="61"/>
        <v>0</v>
      </c>
      <c r="AP653" s="1"/>
      <c r="AQ653" s="1"/>
      <c r="AR653" s="1"/>
      <c r="AS653" s="1"/>
      <c r="AT653" s="1"/>
      <c r="AU653" s="211"/>
    </row>
    <row r="654" spans="1:47" ht="267.75" x14ac:dyDescent="0.2">
      <c r="A654" s="1">
        <v>164</v>
      </c>
      <c r="B654" s="1" t="str">
        <f t="shared" si="57"/>
        <v>3075-164</v>
      </c>
      <c r="C654" s="99" t="s">
        <v>2294</v>
      </c>
      <c r="D654" s="100" t="s">
        <v>2295</v>
      </c>
      <c r="E654" s="100" t="s">
        <v>2296</v>
      </c>
      <c r="F654" s="99" t="s">
        <v>2366</v>
      </c>
      <c r="G654" s="117" t="s">
        <v>2367</v>
      </c>
      <c r="H654" s="102" t="s">
        <v>2368</v>
      </c>
      <c r="I654" s="100" t="s">
        <v>2300</v>
      </c>
      <c r="J654" s="100" t="s">
        <v>2301</v>
      </c>
      <c r="K654" s="100">
        <v>801116</v>
      </c>
      <c r="L654" s="1" t="s">
        <v>2302</v>
      </c>
      <c r="M654" s="1" t="s">
        <v>493</v>
      </c>
      <c r="N654" s="1" t="s">
        <v>494</v>
      </c>
      <c r="O654" s="100" t="s">
        <v>2369</v>
      </c>
      <c r="P654" s="100" t="s">
        <v>2502</v>
      </c>
      <c r="Q654" s="106">
        <v>4120000</v>
      </c>
      <c r="R654" s="1">
        <v>1</v>
      </c>
      <c r="S654" s="104">
        <v>41200000</v>
      </c>
      <c r="T654" s="1" t="s">
        <v>1619</v>
      </c>
      <c r="U654" s="1" t="s">
        <v>2361</v>
      </c>
      <c r="V654" s="31" t="s">
        <v>516</v>
      </c>
      <c r="W654" s="105">
        <v>9.75</v>
      </c>
      <c r="X654" s="1" t="s">
        <v>2776</v>
      </c>
      <c r="Y654" s="31">
        <v>43102</v>
      </c>
      <c r="Z654" s="106">
        <v>41200000</v>
      </c>
      <c r="AA654" s="107" t="s">
        <v>2696</v>
      </c>
      <c r="AB654" s="20">
        <v>223</v>
      </c>
      <c r="AC654" s="31">
        <v>43105</v>
      </c>
      <c r="AD654" s="108">
        <v>41200000</v>
      </c>
      <c r="AE654" s="109">
        <f t="shared" si="58"/>
        <v>0</v>
      </c>
      <c r="AF654" s="20">
        <v>123</v>
      </c>
      <c r="AG654" s="31">
        <v>43117</v>
      </c>
      <c r="AH654" s="108">
        <v>41200000</v>
      </c>
      <c r="AI654" s="1" t="s">
        <v>2777</v>
      </c>
      <c r="AJ654" s="1">
        <v>116</v>
      </c>
      <c r="AK654" s="109">
        <f t="shared" si="59"/>
        <v>0</v>
      </c>
      <c r="AL654" s="108">
        <v>21836000</v>
      </c>
      <c r="AM654" s="108">
        <f t="shared" si="60"/>
        <v>19364000</v>
      </c>
      <c r="AN654" s="1" t="s">
        <v>2308</v>
      </c>
      <c r="AO654" s="108">
        <f t="shared" si="61"/>
        <v>0</v>
      </c>
      <c r="AP654" s="1"/>
      <c r="AQ654" s="1"/>
      <c r="AR654" s="1"/>
      <c r="AS654" s="1"/>
      <c r="AT654" s="1"/>
      <c r="AU654" s="211"/>
    </row>
    <row r="655" spans="1:47" ht="255" x14ac:dyDescent="0.2">
      <c r="A655" s="1">
        <v>165</v>
      </c>
      <c r="B655" s="1" t="str">
        <f t="shared" si="57"/>
        <v>3075-165</v>
      </c>
      <c r="C655" s="99" t="s">
        <v>2294</v>
      </c>
      <c r="D655" s="100" t="s">
        <v>2295</v>
      </c>
      <c r="E655" s="100" t="s">
        <v>2296</v>
      </c>
      <c r="F655" s="99" t="s">
        <v>2366</v>
      </c>
      <c r="G655" s="117" t="s">
        <v>2367</v>
      </c>
      <c r="H655" s="102" t="s">
        <v>2368</v>
      </c>
      <c r="I655" s="100" t="s">
        <v>2300</v>
      </c>
      <c r="J655" s="100" t="s">
        <v>2301</v>
      </c>
      <c r="K655" s="100">
        <v>801116</v>
      </c>
      <c r="L655" s="1" t="s">
        <v>2302</v>
      </c>
      <c r="M655" s="1" t="s">
        <v>493</v>
      </c>
      <c r="N655" s="1" t="s">
        <v>494</v>
      </c>
      <c r="O655" s="100" t="s">
        <v>2369</v>
      </c>
      <c r="P655" s="100" t="s">
        <v>2430</v>
      </c>
      <c r="Q655" s="106">
        <v>2472000</v>
      </c>
      <c r="R655" s="1">
        <v>1</v>
      </c>
      <c r="S655" s="104">
        <v>27192000</v>
      </c>
      <c r="T655" s="1" t="s">
        <v>1634</v>
      </c>
      <c r="U655" s="1" t="s">
        <v>2361</v>
      </c>
      <c r="V655" s="31" t="s">
        <v>516</v>
      </c>
      <c r="W655" s="105">
        <v>11</v>
      </c>
      <c r="X655" s="1" t="s">
        <v>2778</v>
      </c>
      <c r="Y655" s="31">
        <v>43102</v>
      </c>
      <c r="Z655" s="106">
        <v>27192000</v>
      </c>
      <c r="AA655" s="107" t="s">
        <v>2714</v>
      </c>
      <c r="AB655" s="20">
        <v>232</v>
      </c>
      <c r="AC655" s="31">
        <v>43105</v>
      </c>
      <c r="AD655" s="108">
        <v>27192000</v>
      </c>
      <c r="AE655" s="109">
        <f t="shared" si="58"/>
        <v>0</v>
      </c>
      <c r="AF655" s="20">
        <v>412</v>
      </c>
      <c r="AG655" s="31">
        <v>43124</v>
      </c>
      <c r="AH655" s="108">
        <v>27192000</v>
      </c>
      <c r="AI655" s="1" t="s">
        <v>2779</v>
      </c>
      <c r="AJ655" s="1">
        <v>334</v>
      </c>
      <c r="AK655" s="109">
        <f t="shared" si="59"/>
        <v>0</v>
      </c>
      <c r="AL655" s="108">
        <v>12854400</v>
      </c>
      <c r="AM655" s="108">
        <f t="shared" si="60"/>
        <v>14337600</v>
      </c>
      <c r="AN655" s="1" t="s">
        <v>2308</v>
      </c>
      <c r="AO655" s="108">
        <f t="shared" si="61"/>
        <v>0</v>
      </c>
      <c r="AP655" s="1"/>
      <c r="AQ655" s="1"/>
      <c r="AR655" s="1"/>
      <c r="AS655" s="1"/>
      <c r="AT655" s="1"/>
      <c r="AU655" s="211"/>
    </row>
    <row r="656" spans="1:47" ht="306" x14ac:dyDescent="0.2">
      <c r="A656" s="1">
        <v>166</v>
      </c>
      <c r="B656" s="1" t="str">
        <f t="shared" si="57"/>
        <v>3075-166</v>
      </c>
      <c r="C656" s="99" t="s">
        <v>2294</v>
      </c>
      <c r="D656" s="100" t="s">
        <v>2295</v>
      </c>
      <c r="E656" s="100" t="s">
        <v>2296</v>
      </c>
      <c r="F656" s="99" t="s">
        <v>2366</v>
      </c>
      <c r="G656" s="117" t="s">
        <v>2367</v>
      </c>
      <c r="H656" s="102" t="s">
        <v>2368</v>
      </c>
      <c r="I656" s="100" t="s">
        <v>2300</v>
      </c>
      <c r="J656" s="100" t="s">
        <v>2301</v>
      </c>
      <c r="K656" s="100">
        <v>801116</v>
      </c>
      <c r="L656" s="1" t="s">
        <v>2302</v>
      </c>
      <c r="M656" s="1" t="s">
        <v>493</v>
      </c>
      <c r="N656" s="1" t="s">
        <v>494</v>
      </c>
      <c r="O656" s="100" t="s">
        <v>2369</v>
      </c>
      <c r="P656" s="100" t="s">
        <v>2780</v>
      </c>
      <c r="Q656" s="106">
        <v>7210000</v>
      </c>
      <c r="R656" s="1">
        <v>1</v>
      </c>
      <c r="S656" s="104">
        <v>57680000</v>
      </c>
      <c r="T656" s="1" t="s">
        <v>1619</v>
      </c>
      <c r="U656" s="1" t="s">
        <v>2361</v>
      </c>
      <c r="V656" s="31" t="s">
        <v>516</v>
      </c>
      <c r="W656" s="105">
        <v>8.3333333333333339</v>
      </c>
      <c r="X656" s="1" t="s">
        <v>2781</v>
      </c>
      <c r="Y656" s="31">
        <v>43103</v>
      </c>
      <c r="Z656" s="106">
        <v>57680000</v>
      </c>
      <c r="AA656" s="107" t="s">
        <v>2390</v>
      </c>
      <c r="AB656" s="20">
        <v>234</v>
      </c>
      <c r="AC656" s="31">
        <v>43105</v>
      </c>
      <c r="AD656" s="108">
        <v>57680000</v>
      </c>
      <c r="AE656" s="109">
        <f t="shared" si="58"/>
        <v>0</v>
      </c>
      <c r="AF656" s="20">
        <v>247</v>
      </c>
      <c r="AG656" s="31">
        <v>43119</v>
      </c>
      <c r="AH656" s="108">
        <v>57680000</v>
      </c>
      <c r="AI656" s="1" t="s">
        <v>2782</v>
      </c>
      <c r="AJ656" s="1">
        <v>214</v>
      </c>
      <c r="AK656" s="109">
        <f t="shared" si="59"/>
        <v>0</v>
      </c>
      <c r="AL656" s="108">
        <v>38934000</v>
      </c>
      <c r="AM656" s="108">
        <f t="shared" si="60"/>
        <v>18746000</v>
      </c>
      <c r="AN656" s="1" t="s">
        <v>2308</v>
      </c>
      <c r="AO656" s="108">
        <f t="shared" si="61"/>
        <v>0</v>
      </c>
      <c r="AP656" s="1"/>
      <c r="AQ656" s="1"/>
      <c r="AR656" s="1"/>
      <c r="AS656" s="1"/>
      <c r="AT656" s="1"/>
      <c r="AU656" s="211"/>
    </row>
    <row r="657" spans="1:47" ht="409.5" x14ac:dyDescent="0.2">
      <c r="A657" s="1">
        <v>167</v>
      </c>
      <c r="B657" s="1" t="str">
        <f t="shared" si="57"/>
        <v>3075-167</v>
      </c>
      <c r="C657" s="99" t="s">
        <v>2294</v>
      </c>
      <c r="D657" s="100" t="s">
        <v>2295</v>
      </c>
      <c r="E657" s="100" t="s">
        <v>2296</v>
      </c>
      <c r="F657" s="99" t="s">
        <v>2366</v>
      </c>
      <c r="G657" s="117" t="s">
        <v>2367</v>
      </c>
      <c r="H657" s="102" t="s">
        <v>2368</v>
      </c>
      <c r="I657" s="100" t="s">
        <v>2300</v>
      </c>
      <c r="J657" s="100" t="s">
        <v>2301</v>
      </c>
      <c r="K657" s="100">
        <v>801116</v>
      </c>
      <c r="L657" s="1" t="s">
        <v>2302</v>
      </c>
      <c r="M657" s="1" t="s">
        <v>493</v>
      </c>
      <c r="N657" s="1" t="s">
        <v>494</v>
      </c>
      <c r="O657" s="100" t="s">
        <v>2369</v>
      </c>
      <c r="P657" s="100" t="s">
        <v>2783</v>
      </c>
      <c r="Q657" s="106">
        <v>5665000</v>
      </c>
      <c r="R657" s="1">
        <v>1</v>
      </c>
      <c r="S657" s="104">
        <v>0</v>
      </c>
      <c r="T657" s="1"/>
      <c r="U657" s="1" t="s">
        <v>2361</v>
      </c>
      <c r="V657" s="31"/>
      <c r="W657" s="105">
        <v>8</v>
      </c>
      <c r="X657" s="1" t="s">
        <v>2784</v>
      </c>
      <c r="Y657" s="31">
        <v>43103</v>
      </c>
      <c r="Z657" s="106">
        <v>0</v>
      </c>
      <c r="AA657" s="107" t="s">
        <v>2785</v>
      </c>
      <c r="AB657" s="20"/>
      <c r="AC657" s="31"/>
      <c r="AD657" s="108"/>
      <c r="AE657" s="109">
        <f t="shared" si="58"/>
        <v>0</v>
      </c>
      <c r="AF657" s="20"/>
      <c r="AG657" s="31"/>
      <c r="AH657" s="108"/>
      <c r="AI657" s="1"/>
      <c r="AJ657" s="1"/>
      <c r="AK657" s="109">
        <f t="shared" si="59"/>
        <v>0</v>
      </c>
      <c r="AL657" s="108"/>
      <c r="AM657" s="108">
        <f t="shared" si="60"/>
        <v>0</v>
      </c>
      <c r="AN657" s="1" t="s">
        <v>2308</v>
      </c>
      <c r="AO657" s="108">
        <f t="shared" si="61"/>
        <v>0</v>
      </c>
      <c r="AP657" s="1"/>
      <c r="AQ657" s="1"/>
      <c r="AR657" s="1" t="s">
        <v>2786</v>
      </c>
      <c r="AS657" s="1"/>
      <c r="AT657" s="1"/>
      <c r="AU657" s="211"/>
    </row>
    <row r="658" spans="1:47" ht="293.25" x14ac:dyDescent="0.2">
      <c r="A658" s="1">
        <v>168</v>
      </c>
      <c r="B658" s="1" t="str">
        <f t="shared" si="57"/>
        <v>3075-168</v>
      </c>
      <c r="C658" s="99" t="s">
        <v>2294</v>
      </c>
      <c r="D658" s="100" t="s">
        <v>2295</v>
      </c>
      <c r="E658" s="100" t="s">
        <v>2296</v>
      </c>
      <c r="F658" s="99" t="s">
        <v>2366</v>
      </c>
      <c r="G658" s="117" t="s">
        <v>2367</v>
      </c>
      <c r="H658" s="102" t="s">
        <v>2368</v>
      </c>
      <c r="I658" s="100" t="s">
        <v>2300</v>
      </c>
      <c r="J658" s="100" t="s">
        <v>2301</v>
      </c>
      <c r="K658" s="100">
        <v>801116</v>
      </c>
      <c r="L658" s="1" t="s">
        <v>2302</v>
      </c>
      <c r="M658" s="1" t="s">
        <v>493</v>
      </c>
      <c r="N658" s="1" t="s">
        <v>494</v>
      </c>
      <c r="O658" s="100" t="s">
        <v>2369</v>
      </c>
      <c r="P658" s="100" t="s">
        <v>2787</v>
      </c>
      <c r="Q658" s="106">
        <v>8240000</v>
      </c>
      <c r="R658" s="1">
        <v>1</v>
      </c>
      <c r="S658" s="104">
        <v>82400000</v>
      </c>
      <c r="T658" s="1" t="s">
        <v>1619</v>
      </c>
      <c r="U658" s="1" t="s">
        <v>2361</v>
      </c>
      <c r="V658" s="31" t="s">
        <v>516</v>
      </c>
      <c r="W658" s="105">
        <v>10.333333333333334</v>
      </c>
      <c r="X658" s="1" t="s">
        <v>2788</v>
      </c>
      <c r="Y658" s="31">
        <v>43103</v>
      </c>
      <c r="Z658" s="106">
        <v>82400000</v>
      </c>
      <c r="AA658" s="107" t="s">
        <v>2789</v>
      </c>
      <c r="AB658" s="20">
        <v>338</v>
      </c>
      <c r="AC658" s="31">
        <v>43110</v>
      </c>
      <c r="AD658" s="108">
        <v>82400000</v>
      </c>
      <c r="AE658" s="109">
        <f t="shared" si="58"/>
        <v>0</v>
      </c>
      <c r="AF658" s="20">
        <v>190</v>
      </c>
      <c r="AG658" s="31">
        <v>43118</v>
      </c>
      <c r="AH658" s="108">
        <v>82400000</v>
      </c>
      <c r="AI658" s="1" t="s">
        <v>2790</v>
      </c>
      <c r="AJ658" s="1">
        <v>167</v>
      </c>
      <c r="AK658" s="109">
        <f t="shared" si="59"/>
        <v>0</v>
      </c>
      <c r="AL658" s="108">
        <v>44496000</v>
      </c>
      <c r="AM658" s="108">
        <f t="shared" si="60"/>
        <v>37904000</v>
      </c>
      <c r="AN658" s="1" t="s">
        <v>2308</v>
      </c>
      <c r="AO658" s="108">
        <f t="shared" si="61"/>
        <v>0</v>
      </c>
      <c r="AP658" s="1"/>
      <c r="AQ658" s="1"/>
      <c r="AR658" s="1"/>
      <c r="AS658" s="1"/>
      <c r="AT658" s="1"/>
      <c r="AU658" s="211"/>
    </row>
    <row r="659" spans="1:47" ht="242.25" x14ac:dyDescent="0.2">
      <c r="A659" s="1">
        <v>169</v>
      </c>
      <c r="B659" s="1" t="str">
        <f t="shared" si="57"/>
        <v>3075-169</v>
      </c>
      <c r="C659" s="99" t="s">
        <v>2294</v>
      </c>
      <c r="D659" s="100" t="s">
        <v>2295</v>
      </c>
      <c r="E659" s="100" t="s">
        <v>2296</v>
      </c>
      <c r="F659" s="99" t="s">
        <v>2366</v>
      </c>
      <c r="G659" s="117" t="s">
        <v>2367</v>
      </c>
      <c r="H659" s="102" t="s">
        <v>2368</v>
      </c>
      <c r="I659" s="100" t="s">
        <v>2300</v>
      </c>
      <c r="J659" s="100" t="s">
        <v>2301</v>
      </c>
      <c r="K659" s="100">
        <v>801116</v>
      </c>
      <c r="L659" s="1" t="s">
        <v>2302</v>
      </c>
      <c r="M659" s="1" t="s">
        <v>493</v>
      </c>
      <c r="N659" s="1" t="s">
        <v>494</v>
      </c>
      <c r="O659" s="100" t="s">
        <v>2369</v>
      </c>
      <c r="P659" s="100" t="s">
        <v>2791</v>
      </c>
      <c r="Q659" s="106">
        <v>8240000</v>
      </c>
      <c r="R659" s="1">
        <v>1</v>
      </c>
      <c r="S659" s="104">
        <v>90640000</v>
      </c>
      <c r="T659" s="1" t="s">
        <v>1619</v>
      </c>
      <c r="U659" s="1" t="s">
        <v>2361</v>
      </c>
      <c r="V659" s="31" t="s">
        <v>516</v>
      </c>
      <c r="W659" s="105">
        <v>11</v>
      </c>
      <c r="X659" s="1" t="s">
        <v>2792</v>
      </c>
      <c r="Y659" s="31">
        <v>43103</v>
      </c>
      <c r="Z659" s="106">
        <v>90640000</v>
      </c>
      <c r="AA659" s="107" t="s">
        <v>2789</v>
      </c>
      <c r="AB659" s="20">
        <v>342</v>
      </c>
      <c r="AC659" s="31">
        <v>43110</v>
      </c>
      <c r="AD659" s="108">
        <v>90640000</v>
      </c>
      <c r="AE659" s="109">
        <f t="shared" si="58"/>
        <v>0</v>
      </c>
      <c r="AF659" s="20">
        <v>415</v>
      </c>
      <c r="AG659" s="31">
        <v>43124</v>
      </c>
      <c r="AH659" s="108">
        <v>90640000</v>
      </c>
      <c r="AI659" s="1" t="s">
        <v>2793</v>
      </c>
      <c r="AJ659" s="1">
        <v>336</v>
      </c>
      <c r="AK659" s="109">
        <f t="shared" si="59"/>
        <v>0</v>
      </c>
      <c r="AL659" s="108">
        <v>42848000</v>
      </c>
      <c r="AM659" s="108">
        <f t="shared" si="60"/>
        <v>47792000</v>
      </c>
      <c r="AN659" s="1" t="s">
        <v>2308</v>
      </c>
      <c r="AO659" s="108">
        <f t="shared" si="61"/>
        <v>0</v>
      </c>
      <c r="AP659" s="1"/>
      <c r="AQ659" s="1"/>
      <c r="AR659" s="1"/>
      <c r="AS659" s="1"/>
      <c r="AT659" s="1"/>
      <c r="AU659" s="211"/>
    </row>
    <row r="660" spans="1:47" ht="306" x14ac:dyDescent="0.2">
      <c r="A660" s="1">
        <v>170</v>
      </c>
      <c r="B660" s="1" t="str">
        <f t="shared" si="57"/>
        <v>3075-170</v>
      </c>
      <c r="C660" s="99" t="s">
        <v>2294</v>
      </c>
      <c r="D660" s="100" t="s">
        <v>2295</v>
      </c>
      <c r="E660" s="100" t="s">
        <v>2296</v>
      </c>
      <c r="F660" s="99" t="s">
        <v>2366</v>
      </c>
      <c r="G660" s="117" t="s">
        <v>2367</v>
      </c>
      <c r="H660" s="102" t="s">
        <v>2368</v>
      </c>
      <c r="I660" s="100" t="s">
        <v>2300</v>
      </c>
      <c r="J660" s="100" t="s">
        <v>2301</v>
      </c>
      <c r="K660" s="100">
        <v>801116</v>
      </c>
      <c r="L660" s="1" t="s">
        <v>2302</v>
      </c>
      <c r="M660" s="1" t="s">
        <v>493</v>
      </c>
      <c r="N660" s="1" t="s">
        <v>494</v>
      </c>
      <c r="O660" s="100" t="s">
        <v>2369</v>
      </c>
      <c r="P660" s="100" t="s">
        <v>2780</v>
      </c>
      <c r="Q660" s="106">
        <v>7210000</v>
      </c>
      <c r="R660" s="1">
        <v>1</v>
      </c>
      <c r="S660" s="104">
        <v>64890000</v>
      </c>
      <c r="T660" s="1" t="s">
        <v>1619</v>
      </c>
      <c r="U660" s="1" t="s">
        <v>2361</v>
      </c>
      <c r="V660" s="31" t="s">
        <v>516</v>
      </c>
      <c r="W660" s="105">
        <v>9</v>
      </c>
      <c r="X660" s="1" t="s">
        <v>2794</v>
      </c>
      <c r="Y660" s="31">
        <v>43103</v>
      </c>
      <c r="Z660" s="106">
        <v>64890000</v>
      </c>
      <c r="AA660" s="107" t="s">
        <v>2390</v>
      </c>
      <c r="AB660" s="20">
        <v>350</v>
      </c>
      <c r="AC660" s="31">
        <v>43110</v>
      </c>
      <c r="AD660" s="108">
        <v>64890000</v>
      </c>
      <c r="AE660" s="109">
        <f t="shared" si="58"/>
        <v>0</v>
      </c>
      <c r="AF660" s="20">
        <v>262</v>
      </c>
      <c r="AG660" s="31">
        <v>43119</v>
      </c>
      <c r="AH660" s="108">
        <v>64890000</v>
      </c>
      <c r="AI660" s="1" t="s">
        <v>2795</v>
      </c>
      <c r="AJ660" s="1">
        <v>228</v>
      </c>
      <c r="AK660" s="109">
        <f t="shared" si="59"/>
        <v>0</v>
      </c>
      <c r="AL660" s="108">
        <v>38213000</v>
      </c>
      <c r="AM660" s="108">
        <f t="shared" si="60"/>
        <v>26677000</v>
      </c>
      <c r="AN660" s="1" t="s">
        <v>2308</v>
      </c>
      <c r="AO660" s="108">
        <f t="shared" si="61"/>
        <v>0</v>
      </c>
      <c r="AP660" s="1"/>
      <c r="AQ660" s="1"/>
      <c r="AR660" s="1"/>
      <c r="AS660" s="1"/>
      <c r="AT660" s="1"/>
      <c r="AU660" s="211"/>
    </row>
    <row r="661" spans="1:47" ht="306" x14ac:dyDescent="0.2">
      <c r="A661" s="1">
        <v>171</v>
      </c>
      <c r="B661" s="1" t="str">
        <f t="shared" si="57"/>
        <v>3075-171</v>
      </c>
      <c r="C661" s="99" t="s">
        <v>2294</v>
      </c>
      <c r="D661" s="100" t="s">
        <v>2295</v>
      </c>
      <c r="E661" s="100" t="s">
        <v>2296</v>
      </c>
      <c r="F661" s="99" t="s">
        <v>2366</v>
      </c>
      <c r="G661" s="117" t="s">
        <v>2367</v>
      </c>
      <c r="H661" s="102" t="s">
        <v>2368</v>
      </c>
      <c r="I661" s="100" t="s">
        <v>2300</v>
      </c>
      <c r="J661" s="100" t="s">
        <v>2301</v>
      </c>
      <c r="K661" s="100">
        <v>801116</v>
      </c>
      <c r="L661" s="1" t="s">
        <v>2302</v>
      </c>
      <c r="M661" s="1" t="s">
        <v>493</v>
      </c>
      <c r="N661" s="1" t="s">
        <v>494</v>
      </c>
      <c r="O661" s="100" t="s">
        <v>2369</v>
      </c>
      <c r="P661" s="100" t="s">
        <v>2780</v>
      </c>
      <c r="Q661" s="106">
        <v>4532000</v>
      </c>
      <c r="R661" s="1">
        <v>1</v>
      </c>
      <c r="S661" s="104">
        <v>0</v>
      </c>
      <c r="T661" s="1"/>
      <c r="U661" s="1" t="s">
        <v>2361</v>
      </c>
      <c r="V661" s="31"/>
      <c r="W661" s="105">
        <v>7.5</v>
      </c>
      <c r="X661" s="1" t="s">
        <v>2796</v>
      </c>
      <c r="Y661" s="31">
        <v>43103</v>
      </c>
      <c r="Z661" s="106">
        <v>0</v>
      </c>
      <c r="AA661" s="107" t="s">
        <v>2797</v>
      </c>
      <c r="AB661" s="20"/>
      <c r="AC661" s="31"/>
      <c r="AD661" s="108"/>
      <c r="AE661" s="109">
        <f t="shared" si="58"/>
        <v>0</v>
      </c>
      <c r="AF661" s="20"/>
      <c r="AG661" s="31"/>
      <c r="AH661" s="108"/>
      <c r="AI661" s="1"/>
      <c r="AJ661" s="1"/>
      <c r="AK661" s="109">
        <f t="shared" si="59"/>
        <v>0</v>
      </c>
      <c r="AL661" s="108"/>
      <c r="AM661" s="108">
        <f t="shared" si="60"/>
        <v>0</v>
      </c>
      <c r="AN661" s="1" t="s">
        <v>2308</v>
      </c>
      <c r="AO661" s="108">
        <f t="shared" si="61"/>
        <v>0</v>
      </c>
      <c r="AP661" s="1"/>
      <c r="AQ661" s="1"/>
      <c r="AR661" s="1" t="s">
        <v>2786</v>
      </c>
      <c r="AS661" s="1"/>
      <c r="AT661" s="1"/>
      <c r="AU661" s="211"/>
    </row>
    <row r="662" spans="1:47" ht="306" x14ac:dyDescent="0.2">
      <c r="A662" s="1">
        <v>172</v>
      </c>
      <c r="B662" s="1" t="str">
        <f t="shared" si="57"/>
        <v>3075-172</v>
      </c>
      <c r="C662" s="99" t="s">
        <v>2294</v>
      </c>
      <c r="D662" s="100" t="s">
        <v>2295</v>
      </c>
      <c r="E662" s="100" t="s">
        <v>2296</v>
      </c>
      <c r="F662" s="99" t="s">
        <v>2366</v>
      </c>
      <c r="G662" s="117" t="s">
        <v>2367</v>
      </c>
      <c r="H662" s="102" t="s">
        <v>2368</v>
      </c>
      <c r="I662" s="100" t="s">
        <v>2300</v>
      </c>
      <c r="J662" s="100" t="s">
        <v>2301</v>
      </c>
      <c r="K662" s="100">
        <v>801116</v>
      </c>
      <c r="L662" s="1" t="s">
        <v>2302</v>
      </c>
      <c r="M662" s="1" t="s">
        <v>493</v>
      </c>
      <c r="N662" s="1" t="s">
        <v>494</v>
      </c>
      <c r="O662" s="100" t="s">
        <v>2369</v>
      </c>
      <c r="P662" s="100" t="s">
        <v>2780</v>
      </c>
      <c r="Q662" s="106">
        <v>4532000</v>
      </c>
      <c r="R662" s="1">
        <v>1</v>
      </c>
      <c r="S662" s="104">
        <v>31724000</v>
      </c>
      <c r="T662" s="1" t="s">
        <v>1619</v>
      </c>
      <c r="U662" s="1" t="s">
        <v>2361</v>
      </c>
      <c r="V662" s="31" t="s">
        <v>516</v>
      </c>
      <c r="W662" s="105">
        <v>7</v>
      </c>
      <c r="X662" s="1" t="s">
        <v>2798</v>
      </c>
      <c r="Y662" s="31">
        <v>43103</v>
      </c>
      <c r="Z662" s="106">
        <v>31724000</v>
      </c>
      <c r="AA662" s="107" t="s">
        <v>2797</v>
      </c>
      <c r="AB662" s="20">
        <v>352</v>
      </c>
      <c r="AC662" s="31">
        <v>43110</v>
      </c>
      <c r="AD662" s="108">
        <v>31724000</v>
      </c>
      <c r="AE662" s="109">
        <f t="shared" si="58"/>
        <v>0</v>
      </c>
      <c r="AF662" s="20">
        <v>398</v>
      </c>
      <c r="AG662" s="31">
        <v>43124</v>
      </c>
      <c r="AH662" s="108">
        <v>31724000</v>
      </c>
      <c r="AI662" s="1" t="s">
        <v>2799</v>
      </c>
      <c r="AJ662" s="1">
        <v>319</v>
      </c>
      <c r="AK662" s="109">
        <f t="shared" si="59"/>
        <v>0</v>
      </c>
      <c r="AL662" s="108">
        <v>23566400</v>
      </c>
      <c r="AM662" s="108">
        <f t="shared" si="60"/>
        <v>8157600</v>
      </c>
      <c r="AN662" s="1" t="s">
        <v>2308</v>
      </c>
      <c r="AO662" s="108">
        <f t="shared" si="61"/>
        <v>0</v>
      </c>
      <c r="AP662" s="1"/>
      <c r="AQ662" s="1"/>
      <c r="AR662" s="1"/>
      <c r="AS662" s="1"/>
      <c r="AT662" s="1"/>
      <c r="AU662" s="211"/>
    </row>
    <row r="663" spans="1:47" ht="306" x14ac:dyDescent="0.2">
      <c r="A663" s="1">
        <v>173</v>
      </c>
      <c r="B663" s="1" t="str">
        <f t="shared" si="57"/>
        <v>3075-173</v>
      </c>
      <c r="C663" s="99" t="s">
        <v>2294</v>
      </c>
      <c r="D663" s="100" t="s">
        <v>2295</v>
      </c>
      <c r="E663" s="100" t="s">
        <v>2296</v>
      </c>
      <c r="F663" s="99" t="s">
        <v>2366</v>
      </c>
      <c r="G663" s="117" t="s">
        <v>2367</v>
      </c>
      <c r="H663" s="102" t="s">
        <v>2368</v>
      </c>
      <c r="I663" s="100" t="s">
        <v>2300</v>
      </c>
      <c r="J663" s="100" t="s">
        <v>2301</v>
      </c>
      <c r="K663" s="100">
        <v>801116</v>
      </c>
      <c r="L663" s="1" t="s">
        <v>2302</v>
      </c>
      <c r="M663" s="1" t="s">
        <v>493</v>
      </c>
      <c r="N663" s="1" t="s">
        <v>494</v>
      </c>
      <c r="O663" s="100" t="s">
        <v>2369</v>
      </c>
      <c r="P663" s="100" t="s">
        <v>2800</v>
      </c>
      <c r="Q663" s="106">
        <v>8240000</v>
      </c>
      <c r="R663" s="1">
        <v>1</v>
      </c>
      <c r="S663" s="104">
        <v>82400000</v>
      </c>
      <c r="T663" s="1" t="s">
        <v>1619</v>
      </c>
      <c r="U663" s="1" t="s">
        <v>2361</v>
      </c>
      <c r="V663" s="31" t="s">
        <v>516</v>
      </c>
      <c r="W663" s="105">
        <v>10.333333333333334</v>
      </c>
      <c r="X663" s="1" t="s">
        <v>2801</v>
      </c>
      <c r="Y663" s="31">
        <v>43103</v>
      </c>
      <c r="Z663" s="106">
        <v>82400000</v>
      </c>
      <c r="AA663" s="107" t="s">
        <v>2789</v>
      </c>
      <c r="AB663" s="20">
        <v>356</v>
      </c>
      <c r="AC663" s="31">
        <v>43110</v>
      </c>
      <c r="AD663" s="108">
        <v>82400000</v>
      </c>
      <c r="AE663" s="109">
        <f t="shared" si="58"/>
        <v>0</v>
      </c>
      <c r="AF663" s="20">
        <v>347</v>
      </c>
      <c r="AG663" s="31">
        <v>43123</v>
      </c>
      <c r="AH663" s="108">
        <v>82400000</v>
      </c>
      <c r="AI663" s="1" t="s">
        <v>2802</v>
      </c>
      <c r="AJ663" s="1">
        <v>349</v>
      </c>
      <c r="AK663" s="109">
        <f t="shared" si="59"/>
        <v>0</v>
      </c>
      <c r="AL663" s="108">
        <v>40101333</v>
      </c>
      <c r="AM663" s="108">
        <f t="shared" si="60"/>
        <v>42298667</v>
      </c>
      <c r="AN663" s="1" t="s">
        <v>2308</v>
      </c>
      <c r="AO663" s="108">
        <f t="shared" si="61"/>
        <v>0</v>
      </c>
      <c r="AP663" s="1"/>
      <c r="AQ663" s="1"/>
      <c r="AR663" s="1"/>
      <c r="AS663" s="1"/>
      <c r="AT663" s="1"/>
      <c r="AU663" s="211"/>
    </row>
    <row r="664" spans="1:47" ht="255" x14ac:dyDescent="0.2">
      <c r="A664" s="1">
        <v>174</v>
      </c>
      <c r="B664" s="1" t="str">
        <f t="shared" si="57"/>
        <v>3075-174</v>
      </c>
      <c r="C664" s="99" t="s">
        <v>2294</v>
      </c>
      <c r="D664" s="100" t="s">
        <v>2295</v>
      </c>
      <c r="E664" s="100" t="s">
        <v>2296</v>
      </c>
      <c r="F664" s="99" t="s">
        <v>2366</v>
      </c>
      <c r="G664" s="117" t="s">
        <v>2367</v>
      </c>
      <c r="H664" s="102" t="s">
        <v>2368</v>
      </c>
      <c r="I664" s="100" t="s">
        <v>2300</v>
      </c>
      <c r="J664" s="100" t="s">
        <v>2301</v>
      </c>
      <c r="K664" s="100">
        <v>801116</v>
      </c>
      <c r="L664" s="1" t="s">
        <v>2302</v>
      </c>
      <c r="M664" s="1" t="s">
        <v>493</v>
      </c>
      <c r="N664" s="1" t="s">
        <v>494</v>
      </c>
      <c r="O664" s="100" t="s">
        <v>2369</v>
      </c>
      <c r="P664" s="100" t="s">
        <v>2803</v>
      </c>
      <c r="Q664" s="106">
        <v>8240000</v>
      </c>
      <c r="R664" s="1">
        <v>1</v>
      </c>
      <c r="S664" s="104">
        <v>90640000</v>
      </c>
      <c r="T664" s="1" t="s">
        <v>1619</v>
      </c>
      <c r="U664" s="1" t="s">
        <v>2361</v>
      </c>
      <c r="V664" s="31" t="s">
        <v>516</v>
      </c>
      <c r="W664" s="105">
        <v>10.5</v>
      </c>
      <c r="X664" s="1" t="s">
        <v>2804</v>
      </c>
      <c r="Y664" s="31">
        <v>43103</v>
      </c>
      <c r="Z664" s="106">
        <v>90640000</v>
      </c>
      <c r="AA664" s="107" t="s">
        <v>2685</v>
      </c>
      <c r="AB664" s="20">
        <v>320</v>
      </c>
      <c r="AC664" s="31">
        <v>43110</v>
      </c>
      <c r="AD664" s="108">
        <v>90640000</v>
      </c>
      <c r="AE664" s="109">
        <f t="shared" si="58"/>
        <v>0</v>
      </c>
      <c r="AF664" s="20">
        <v>380</v>
      </c>
      <c r="AG664" s="31">
        <v>43124</v>
      </c>
      <c r="AH664" s="108">
        <v>90640000</v>
      </c>
      <c r="AI664" s="1" t="s">
        <v>2805</v>
      </c>
      <c r="AJ664" s="1">
        <v>306</v>
      </c>
      <c r="AK664" s="109">
        <f t="shared" si="59"/>
        <v>0</v>
      </c>
      <c r="AL664" s="108">
        <v>43122667</v>
      </c>
      <c r="AM664" s="108">
        <f t="shared" si="60"/>
        <v>47517333</v>
      </c>
      <c r="AN664" s="1" t="s">
        <v>2308</v>
      </c>
      <c r="AO664" s="108">
        <f t="shared" si="61"/>
        <v>0</v>
      </c>
      <c r="AP664" s="1"/>
      <c r="AQ664" s="1"/>
      <c r="AR664" s="1"/>
      <c r="AS664" s="1"/>
      <c r="AT664" s="1"/>
      <c r="AU664" s="211"/>
    </row>
    <row r="665" spans="1:47" ht="395.25" x14ac:dyDescent="0.2">
      <c r="A665" s="1">
        <v>175</v>
      </c>
      <c r="B665" s="1" t="str">
        <f t="shared" si="57"/>
        <v>3075-175</v>
      </c>
      <c r="C665" s="99" t="s">
        <v>2294</v>
      </c>
      <c r="D665" s="100" t="s">
        <v>2295</v>
      </c>
      <c r="E665" s="100" t="s">
        <v>2296</v>
      </c>
      <c r="F665" s="99" t="s">
        <v>2366</v>
      </c>
      <c r="G665" s="117" t="s">
        <v>2367</v>
      </c>
      <c r="H665" s="102" t="s">
        <v>2368</v>
      </c>
      <c r="I665" s="100" t="s">
        <v>2300</v>
      </c>
      <c r="J665" s="100" t="s">
        <v>2301</v>
      </c>
      <c r="K665" s="100">
        <v>801116</v>
      </c>
      <c r="L665" s="1" t="s">
        <v>2302</v>
      </c>
      <c r="M665" s="1" t="s">
        <v>493</v>
      </c>
      <c r="N665" s="1" t="s">
        <v>494</v>
      </c>
      <c r="O665" s="100" t="s">
        <v>2369</v>
      </c>
      <c r="P665" s="100" t="s">
        <v>2806</v>
      </c>
      <c r="Q665" s="106">
        <v>5036700</v>
      </c>
      <c r="R665" s="1">
        <v>1</v>
      </c>
      <c r="S665" s="104">
        <v>50367000</v>
      </c>
      <c r="T665" s="1" t="s">
        <v>1619</v>
      </c>
      <c r="U665" s="1" t="s">
        <v>2361</v>
      </c>
      <c r="V665" s="31" t="s">
        <v>516</v>
      </c>
      <c r="W665" s="105">
        <v>10</v>
      </c>
      <c r="X665" s="1" t="s">
        <v>2807</v>
      </c>
      <c r="Y665" s="31">
        <v>43103</v>
      </c>
      <c r="Z665" s="106">
        <v>50367000</v>
      </c>
      <c r="AA665" s="107" t="s">
        <v>2785</v>
      </c>
      <c r="AB665" s="20">
        <v>347</v>
      </c>
      <c r="AC665" s="31">
        <v>43110</v>
      </c>
      <c r="AD665" s="108">
        <v>50367000</v>
      </c>
      <c r="AE665" s="109">
        <f t="shared" si="58"/>
        <v>0</v>
      </c>
      <c r="AF665" s="20">
        <v>402</v>
      </c>
      <c r="AG665" s="31">
        <v>43124</v>
      </c>
      <c r="AH665" s="108">
        <v>50367000</v>
      </c>
      <c r="AI665" s="1" t="s">
        <v>2808</v>
      </c>
      <c r="AJ665" s="1">
        <v>301</v>
      </c>
      <c r="AK665" s="109">
        <f t="shared" si="59"/>
        <v>0</v>
      </c>
      <c r="AL665" s="108">
        <v>26190840</v>
      </c>
      <c r="AM665" s="108">
        <f t="shared" si="60"/>
        <v>24176160</v>
      </c>
      <c r="AN665" s="1" t="s">
        <v>2308</v>
      </c>
      <c r="AO665" s="108">
        <f t="shared" si="61"/>
        <v>0</v>
      </c>
      <c r="AP665" s="1"/>
      <c r="AQ665" s="1"/>
      <c r="AR665" s="1"/>
      <c r="AS665" s="1"/>
      <c r="AT665" s="1"/>
      <c r="AU665" s="211"/>
    </row>
    <row r="666" spans="1:47" ht="255" x14ac:dyDescent="0.2">
      <c r="A666" s="1">
        <v>176</v>
      </c>
      <c r="B666" s="1" t="str">
        <f t="shared" si="57"/>
        <v>3075-176</v>
      </c>
      <c r="C666" s="99" t="s">
        <v>2294</v>
      </c>
      <c r="D666" s="100" t="s">
        <v>2295</v>
      </c>
      <c r="E666" s="100" t="s">
        <v>2296</v>
      </c>
      <c r="F666" s="99" t="s">
        <v>2366</v>
      </c>
      <c r="G666" s="117" t="s">
        <v>2367</v>
      </c>
      <c r="H666" s="102" t="s">
        <v>2368</v>
      </c>
      <c r="I666" s="100" t="s">
        <v>2300</v>
      </c>
      <c r="J666" s="100" t="s">
        <v>2301</v>
      </c>
      <c r="K666" s="100">
        <v>801116</v>
      </c>
      <c r="L666" s="1" t="s">
        <v>2302</v>
      </c>
      <c r="M666" s="1" t="s">
        <v>493</v>
      </c>
      <c r="N666" s="1" t="s">
        <v>494</v>
      </c>
      <c r="O666" s="100" t="s">
        <v>2369</v>
      </c>
      <c r="P666" s="100" t="s">
        <v>2809</v>
      </c>
      <c r="Q666" s="106">
        <v>2472000</v>
      </c>
      <c r="R666" s="1">
        <v>1</v>
      </c>
      <c r="S666" s="104">
        <v>27192000</v>
      </c>
      <c r="T666" s="1" t="s">
        <v>1634</v>
      </c>
      <c r="U666" s="1" t="s">
        <v>2361</v>
      </c>
      <c r="V666" s="31" t="s">
        <v>516</v>
      </c>
      <c r="W666" s="105">
        <v>11</v>
      </c>
      <c r="X666" s="1" t="s">
        <v>2810</v>
      </c>
      <c r="Y666" s="31">
        <v>43103</v>
      </c>
      <c r="Z666" s="106">
        <v>27192000</v>
      </c>
      <c r="AA666" s="107" t="s">
        <v>2714</v>
      </c>
      <c r="AB666" s="20">
        <v>365</v>
      </c>
      <c r="AC666" s="31">
        <v>43110</v>
      </c>
      <c r="AD666" s="108">
        <v>27192000</v>
      </c>
      <c r="AE666" s="109">
        <f t="shared" si="58"/>
        <v>0</v>
      </c>
      <c r="AF666" s="20">
        <v>341</v>
      </c>
      <c r="AG666" s="31">
        <v>43123</v>
      </c>
      <c r="AH666" s="108">
        <v>27192000</v>
      </c>
      <c r="AI666" s="1" t="s">
        <v>2811</v>
      </c>
      <c r="AJ666" s="1">
        <v>292</v>
      </c>
      <c r="AK666" s="109">
        <f t="shared" si="59"/>
        <v>0</v>
      </c>
      <c r="AL666" s="108">
        <v>12936800</v>
      </c>
      <c r="AM666" s="108">
        <f t="shared" si="60"/>
        <v>14255200</v>
      </c>
      <c r="AN666" s="1" t="s">
        <v>2308</v>
      </c>
      <c r="AO666" s="108">
        <f t="shared" si="61"/>
        <v>0</v>
      </c>
      <c r="AP666" s="1"/>
      <c r="AQ666" s="1"/>
      <c r="AR666" s="1"/>
      <c r="AS666" s="1"/>
      <c r="AT666" s="1"/>
      <c r="AU666" s="211"/>
    </row>
    <row r="667" spans="1:47" ht="409.5" x14ac:dyDescent="0.2">
      <c r="A667" s="1">
        <v>177</v>
      </c>
      <c r="B667" s="1" t="str">
        <f t="shared" si="57"/>
        <v>3075-177</v>
      </c>
      <c r="C667" s="99" t="s">
        <v>2294</v>
      </c>
      <c r="D667" s="100" t="s">
        <v>2295</v>
      </c>
      <c r="E667" s="100" t="s">
        <v>2578</v>
      </c>
      <c r="F667" s="99" t="s">
        <v>2366</v>
      </c>
      <c r="G667" s="117" t="s">
        <v>2367</v>
      </c>
      <c r="H667" s="102" t="s">
        <v>2368</v>
      </c>
      <c r="I667" s="100" t="s">
        <v>2300</v>
      </c>
      <c r="J667" s="100" t="s">
        <v>2301</v>
      </c>
      <c r="K667" s="100">
        <v>801116</v>
      </c>
      <c r="L667" s="1" t="s">
        <v>2302</v>
      </c>
      <c r="M667" s="1" t="s">
        <v>493</v>
      </c>
      <c r="N667" s="1" t="s">
        <v>494</v>
      </c>
      <c r="O667" s="100" t="s">
        <v>2369</v>
      </c>
      <c r="P667" s="100" t="s">
        <v>2812</v>
      </c>
      <c r="Q667" s="106">
        <v>4120000</v>
      </c>
      <c r="R667" s="1">
        <v>1</v>
      </c>
      <c r="S667" s="104">
        <v>24720000</v>
      </c>
      <c r="T667" s="1" t="s">
        <v>1619</v>
      </c>
      <c r="U667" s="1" t="s">
        <v>2361</v>
      </c>
      <c r="V667" s="31" t="s">
        <v>516</v>
      </c>
      <c r="W667" s="105">
        <v>6</v>
      </c>
      <c r="X667" s="1" t="s">
        <v>2813</v>
      </c>
      <c r="Y667" s="31">
        <v>43103</v>
      </c>
      <c r="Z667" s="106">
        <v>24720000</v>
      </c>
      <c r="AA667" s="107" t="s">
        <v>2814</v>
      </c>
      <c r="AB667" s="20">
        <v>366</v>
      </c>
      <c r="AC667" s="31">
        <v>43110</v>
      </c>
      <c r="AD667" s="108">
        <v>24720000</v>
      </c>
      <c r="AE667" s="108">
        <f t="shared" si="58"/>
        <v>0</v>
      </c>
      <c r="AF667" s="20">
        <v>286</v>
      </c>
      <c r="AG667" s="31">
        <v>43122</v>
      </c>
      <c r="AH667" s="108">
        <v>24720000</v>
      </c>
      <c r="AI667" s="1" t="s">
        <v>2815</v>
      </c>
      <c r="AJ667" s="1">
        <v>256</v>
      </c>
      <c r="AK667" s="109">
        <f t="shared" si="59"/>
        <v>0</v>
      </c>
      <c r="AL667" s="108">
        <v>21836000</v>
      </c>
      <c r="AM667" s="108">
        <f t="shared" si="60"/>
        <v>2884000</v>
      </c>
      <c r="AN667" s="1" t="s">
        <v>2308</v>
      </c>
      <c r="AO667" s="108">
        <f t="shared" si="61"/>
        <v>0</v>
      </c>
      <c r="AP667" s="1"/>
      <c r="AQ667" s="1"/>
      <c r="AR667" s="1"/>
      <c r="AS667" s="1"/>
      <c r="AT667" s="1"/>
      <c r="AU667" s="211"/>
    </row>
    <row r="668" spans="1:47" ht="306" x14ac:dyDescent="0.2">
      <c r="A668" s="1">
        <v>178</v>
      </c>
      <c r="B668" s="1" t="str">
        <f t="shared" si="57"/>
        <v>3075-178</v>
      </c>
      <c r="C668" s="99" t="s">
        <v>2294</v>
      </c>
      <c r="D668" s="100" t="s">
        <v>2295</v>
      </c>
      <c r="E668" s="100" t="s">
        <v>2296</v>
      </c>
      <c r="F668" s="99" t="s">
        <v>2366</v>
      </c>
      <c r="G668" s="117" t="s">
        <v>2367</v>
      </c>
      <c r="H668" s="102" t="s">
        <v>2368</v>
      </c>
      <c r="I668" s="100" t="s">
        <v>2300</v>
      </c>
      <c r="J668" s="100" t="s">
        <v>2301</v>
      </c>
      <c r="K668" s="100">
        <v>801116</v>
      </c>
      <c r="L668" s="1" t="s">
        <v>2302</v>
      </c>
      <c r="M668" s="1" t="s">
        <v>493</v>
      </c>
      <c r="N668" s="1" t="s">
        <v>494</v>
      </c>
      <c r="O668" s="100" t="s">
        <v>2369</v>
      </c>
      <c r="P668" s="100" t="s">
        <v>2816</v>
      </c>
      <c r="Q668" s="106">
        <v>7210000</v>
      </c>
      <c r="R668" s="1">
        <v>1</v>
      </c>
      <c r="S668" s="104">
        <v>43260000</v>
      </c>
      <c r="T668" s="1" t="s">
        <v>1619</v>
      </c>
      <c r="U668" s="1" t="s">
        <v>2361</v>
      </c>
      <c r="V668" s="31" t="s">
        <v>516</v>
      </c>
      <c r="W668" s="105">
        <v>6</v>
      </c>
      <c r="X668" s="1" t="s">
        <v>2817</v>
      </c>
      <c r="Y668" s="31">
        <v>43195</v>
      </c>
      <c r="Z668" s="106">
        <v>43260000</v>
      </c>
      <c r="AA668" s="107" t="s">
        <v>2390</v>
      </c>
      <c r="AB668" s="20">
        <v>393</v>
      </c>
      <c r="AC668" s="31">
        <v>43110</v>
      </c>
      <c r="AD668" s="108">
        <v>43260000</v>
      </c>
      <c r="AE668" s="109">
        <f t="shared" si="58"/>
        <v>0</v>
      </c>
      <c r="AF668" s="20">
        <v>90</v>
      </c>
      <c r="AG668" s="31">
        <v>43116</v>
      </c>
      <c r="AH668" s="108">
        <v>43260000</v>
      </c>
      <c r="AI668" s="1" t="s">
        <v>2818</v>
      </c>
      <c r="AJ668" s="1">
        <v>78</v>
      </c>
      <c r="AK668" s="109">
        <f t="shared" si="59"/>
        <v>0</v>
      </c>
      <c r="AL668" s="108">
        <v>39414667</v>
      </c>
      <c r="AM668" s="108">
        <f t="shared" si="60"/>
        <v>3845333</v>
      </c>
      <c r="AN668" s="1" t="s">
        <v>2308</v>
      </c>
      <c r="AO668" s="108">
        <f t="shared" si="61"/>
        <v>0</v>
      </c>
      <c r="AP668" s="1"/>
      <c r="AQ668" s="1"/>
      <c r="AR668" s="1"/>
      <c r="AS668" s="1"/>
      <c r="AT668" s="1"/>
      <c r="AU668" s="211"/>
    </row>
    <row r="669" spans="1:47" ht="409.5" x14ac:dyDescent="0.2">
      <c r="A669" s="1">
        <v>179</v>
      </c>
      <c r="B669" s="1" t="str">
        <f t="shared" si="57"/>
        <v>3075-179</v>
      </c>
      <c r="C669" s="99" t="s">
        <v>2294</v>
      </c>
      <c r="D669" s="100" t="s">
        <v>2295</v>
      </c>
      <c r="E669" s="100" t="s">
        <v>2578</v>
      </c>
      <c r="F669" s="99" t="s">
        <v>2366</v>
      </c>
      <c r="G669" s="117" t="s">
        <v>2367</v>
      </c>
      <c r="H669" s="124" t="s">
        <v>2368</v>
      </c>
      <c r="I669" s="100" t="s">
        <v>2300</v>
      </c>
      <c r="J669" s="100" t="s">
        <v>2301</v>
      </c>
      <c r="K669" s="100">
        <v>801116</v>
      </c>
      <c r="L669" s="1" t="s">
        <v>2302</v>
      </c>
      <c r="M669" s="1" t="s">
        <v>493</v>
      </c>
      <c r="N669" s="1" t="s">
        <v>494</v>
      </c>
      <c r="O669" s="100" t="s">
        <v>2369</v>
      </c>
      <c r="P669" s="65" t="s">
        <v>2819</v>
      </c>
      <c r="Q669" s="106">
        <v>3399000</v>
      </c>
      <c r="R669" s="1">
        <v>1</v>
      </c>
      <c r="S669" s="104">
        <v>16995000</v>
      </c>
      <c r="T669" s="1" t="s">
        <v>1619</v>
      </c>
      <c r="U669" s="1" t="s">
        <v>2361</v>
      </c>
      <c r="V669" s="31" t="s">
        <v>516</v>
      </c>
      <c r="W669" s="105">
        <v>5</v>
      </c>
      <c r="X669" s="65" t="s">
        <v>2820</v>
      </c>
      <c r="Y669" s="31">
        <v>43104</v>
      </c>
      <c r="Z669" s="106">
        <v>16995000</v>
      </c>
      <c r="AA669" s="107" t="s">
        <v>2821</v>
      </c>
      <c r="AB669" s="20">
        <v>369</v>
      </c>
      <c r="AC669" s="31">
        <v>43110</v>
      </c>
      <c r="AD669" s="108">
        <v>16995000</v>
      </c>
      <c r="AE669" s="108">
        <f t="shared" si="58"/>
        <v>0</v>
      </c>
      <c r="AF669" s="20">
        <v>336</v>
      </c>
      <c r="AG669" s="31">
        <v>43123</v>
      </c>
      <c r="AH669" s="108">
        <v>16995000</v>
      </c>
      <c r="AI669" s="1" t="s">
        <v>2822</v>
      </c>
      <c r="AJ669" s="1">
        <v>341</v>
      </c>
      <c r="AK669" s="109">
        <f t="shared" si="59"/>
        <v>0</v>
      </c>
      <c r="AL669" s="108">
        <v>16995000</v>
      </c>
      <c r="AM669" s="108">
        <f t="shared" si="60"/>
        <v>0</v>
      </c>
      <c r="AN669" s="1" t="s">
        <v>2308</v>
      </c>
      <c r="AO669" s="108">
        <f t="shared" si="61"/>
        <v>0</v>
      </c>
      <c r="AP669" s="1"/>
      <c r="AQ669" s="1"/>
      <c r="AR669" s="1"/>
      <c r="AS669" s="1"/>
      <c r="AT669" s="1"/>
      <c r="AU669" s="211"/>
    </row>
    <row r="670" spans="1:47" ht="409.5" x14ac:dyDescent="0.2">
      <c r="A670" s="1">
        <v>180</v>
      </c>
      <c r="B670" s="1" t="str">
        <f t="shared" si="57"/>
        <v>3075-180</v>
      </c>
      <c r="C670" s="99" t="s">
        <v>2294</v>
      </c>
      <c r="D670" s="100" t="s">
        <v>2295</v>
      </c>
      <c r="E670" s="100" t="s">
        <v>2578</v>
      </c>
      <c r="F670" s="99" t="s">
        <v>2366</v>
      </c>
      <c r="G670" s="117" t="s">
        <v>2367</v>
      </c>
      <c r="H670" s="124" t="s">
        <v>2368</v>
      </c>
      <c r="I670" s="100" t="s">
        <v>2300</v>
      </c>
      <c r="J670" s="100" t="s">
        <v>2301</v>
      </c>
      <c r="K670" s="100">
        <v>801116</v>
      </c>
      <c r="L670" s="1" t="s">
        <v>2302</v>
      </c>
      <c r="M670" s="1" t="s">
        <v>493</v>
      </c>
      <c r="N670" s="1" t="s">
        <v>494</v>
      </c>
      <c r="O670" s="100" t="s">
        <v>2369</v>
      </c>
      <c r="P670" s="65" t="s">
        <v>2823</v>
      </c>
      <c r="Q670" s="106">
        <v>1751000</v>
      </c>
      <c r="R670" s="122">
        <v>1</v>
      </c>
      <c r="S670" s="104">
        <v>10506000</v>
      </c>
      <c r="T670" s="1" t="s">
        <v>1634</v>
      </c>
      <c r="U670" s="1" t="s">
        <v>2361</v>
      </c>
      <c r="V670" s="31" t="s">
        <v>516</v>
      </c>
      <c r="W670" s="105">
        <v>6</v>
      </c>
      <c r="X670" s="65" t="s">
        <v>2824</v>
      </c>
      <c r="Y670" s="31">
        <v>43104</v>
      </c>
      <c r="Z670" s="106">
        <v>10506000</v>
      </c>
      <c r="AA670" s="107" t="s">
        <v>2825</v>
      </c>
      <c r="AB670" s="20">
        <v>449</v>
      </c>
      <c r="AC670" s="31">
        <v>43111</v>
      </c>
      <c r="AD670" s="108">
        <v>10506000</v>
      </c>
      <c r="AE670" s="108">
        <f t="shared" si="58"/>
        <v>0</v>
      </c>
      <c r="AF670" s="20">
        <v>503</v>
      </c>
      <c r="AG670" s="31">
        <v>43126</v>
      </c>
      <c r="AH670" s="108">
        <v>10506000</v>
      </c>
      <c r="AI670" s="1" t="s">
        <v>2826</v>
      </c>
      <c r="AJ670" s="1">
        <v>412</v>
      </c>
      <c r="AK670" s="109">
        <f t="shared" si="59"/>
        <v>0</v>
      </c>
      <c r="AL670" s="108">
        <v>8871733</v>
      </c>
      <c r="AM670" s="108">
        <f t="shared" si="60"/>
        <v>1634267</v>
      </c>
      <c r="AN670" s="1" t="s">
        <v>2308</v>
      </c>
      <c r="AO670" s="108">
        <f t="shared" si="61"/>
        <v>0</v>
      </c>
      <c r="AP670" s="1"/>
      <c r="AQ670" s="1"/>
      <c r="AR670" s="1"/>
      <c r="AS670" s="1"/>
      <c r="AT670" s="1"/>
      <c r="AU670" s="211"/>
    </row>
    <row r="671" spans="1:47" ht="409.5" x14ac:dyDescent="0.2">
      <c r="A671" s="1">
        <v>181</v>
      </c>
      <c r="B671" s="1" t="str">
        <f t="shared" si="57"/>
        <v>3075-181</v>
      </c>
      <c r="C671" s="99" t="s">
        <v>2294</v>
      </c>
      <c r="D671" s="100" t="s">
        <v>2295</v>
      </c>
      <c r="E671" s="100" t="s">
        <v>2578</v>
      </c>
      <c r="F671" s="99" t="s">
        <v>2366</v>
      </c>
      <c r="G671" s="117" t="s">
        <v>2367</v>
      </c>
      <c r="H671" s="124" t="s">
        <v>2368</v>
      </c>
      <c r="I671" s="100" t="s">
        <v>2300</v>
      </c>
      <c r="J671" s="100" t="s">
        <v>2301</v>
      </c>
      <c r="K671" s="100">
        <v>801116</v>
      </c>
      <c r="L671" s="1" t="s">
        <v>2302</v>
      </c>
      <c r="M671" s="1" t="s">
        <v>493</v>
      </c>
      <c r="N671" s="1" t="s">
        <v>494</v>
      </c>
      <c r="O671" s="100" t="s">
        <v>2369</v>
      </c>
      <c r="P671" s="65" t="s">
        <v>2827</v>
      </c>
      <c r="Q671" s="106">
        <v>1751000</v>
      </c>
      <c r="R671" s="122">
        <v>1</v>
      </c>
      <c r="S671" s="104">
        <v>10506000</v>
      </c>
      <c r="T671" s="1" t="s">
        <v>1634</v>
      </c>
      <c r="U671" s="1" t="s">
        <v>2361</v>
      </c>
      <c r="V671" s="31" t="s">
        <v>516</v>
      </c>
      <c r="W671" s="105">
        <v>6</v>
      </c>
      <c r="X671" s="65" t="s">
        <v>2828</v>
      </c>
      <c r="Y671" s="31">
        <v>43104</v>
      </c>
      <c r="Z671" s="106">
        <v>10506000</v>
      </c>
      <c r="AA671" s="107" t="s">
        <v>2825</v>
      </c>
      <c r="AB671" s="20">
        <v>371</v>
      </c>
      <c r="AC671" s="31">
        <v>43110</v>
      </c>
      <c r="AD671" s="108">
        <v>10506000</v>
      </c>
      <c r="AE671" s="108">
        <f t="shared" si="58"/>
        <v>0</v>
      </c>
      <c r="AF671" s="20">
        <v>455</v>
      </c>
      <c r="AG671" s="31">
        <v>43126</v>
      </c>
      <c r="AH671" s="108">
        <v>10506000</v>
      </c>
      <c r="AI671" s="1" t="s">
        <v>2829</v>
      </c>
      <c r="AJ671" s="1">
        <v>353</v>
      </c>
      <c r="AK671" s="109">
        <f t="shared" si="59"/>
        <v>0</v>
      </c>
      <c r="AL671" s="108">
        <v>9046833</v>
      </c>
      <c r="AM671" s="108">
        <f t="shared" si="60"/>
        <v>1459167</v>
      </c>
      <c r="AN671" s="1" t="s">
        <v>2308</v>
      </c>
      <c r="AO671" s="108">
        <f t="shared" si="61"/>
        <v>0</v>
      </c>
      <c r="AP671" s="1"/>
      <c r="AQ671" s="1"/>
      <c r="AR671" s="1"/>
      <c r="AS671" s="1"/>
      <c r="AT671" s="1"/>
      <c r="AU671" s="211"/>
    </row>
    <row r="672" spans="1:47" ht="409.5" x14ac:dyDescent="0.2">
      <c r="A672" s="1">
        <v>182</v>
      </c>
      <c r="B672" s="1" t="str">
        <f t="shared" si="57"/>
        <v>3075-182</v>
      </c>
      <c r="C672" s="99" t="s">
        <v>2294</v>
      </c>
      <c r="D672" s="100" t="s">
        <v>2295</v>
      </c>
      <c r="E672" s="100" t="s">
        <v>2578</v>
      </c>
      <c r="F672" s="99" t="s">
        <v>2366</v>
      </c>
      <c r="G672" s="117" t="s">
        <v>2367</v>
      </c>
      <c r="H672" s="124" t="s">
        <v>2368</v>
      </c>
      <c r="I672" s="100" t="s">
        <v>2300</v>
      </c>
      <c r="J672" s="100" t="s">
        <v>2301</v>
      </c>
      <c r="K672" s="100">
        <v>801116</v>
      </c>
      <c r="L672" s="1" t="s">
        <v>2302</v>
      </c>
      <c r="M672" s="1" t="s">
        <v>493</v>
      </c>
      <c r="N672" s="1" t="s">
        <v>494</v>
      </c>
      <c r="O672" s="100" t="s">
        <v>2369</v>
      </c>
      <c r="P672" s="65" t="s">
        <v>2819</v>
      </c>
      <c r="Q672" s="106">
        <v>3399000</v>
      </c>
      <c r="R672" s="1">
        <v>1</v>
      </c>
      <c r="S672" s="104">
        <v>20394000</v>
      </c>
      <c r="T672" s="1" t="s">
        <v>1619</v>
      </c>
      <c r="U672" s="1" t="s">
        <v>2361</v>
      </c>
      <c r="V672" s="31" t="s">
        <v>516</v>
      </c>
      <c r="W672" s="105">
        <v>6</v>
      </c>
      <c r="X672" s="65" t="s">
        <v>2830</v>
      </c>
      <c r="Y672" s="31">
        <v>43104</v>
      </c>
      <c r="Z672" s="106">
        <v>20394000</v>
      </c>
      <c r="AA672" s="107" t="s">
        <v>2821</v>
      </c>
      <c r="AB672" s="20">
        <v>372</v>
      </c>
      <c r="AC672" s="31">
        <v>43110</v>
      </c>
      <c r="AD672" s="108">
        <v>20394000</v>
      </c>
      <c r="AE672" s="108">
        <f t="shared" si="58"/>
        <v>0</v>
      </c>
      <c r="AF672" s="20">
        <v>282</v>
      </c>
      <c r="AG672" s="31">
        <v>43122</v>
      </c>
      <c r="AH672" s="108">
        <v>20394000</v>
      </c>
      <c r="AI672" s="1" t="s">
        <v>2831</v>
      </c>
      <c r="AJ672" s="1">
        <v>252</v>
      </c>
      <c r="AK672" s="109">
        <f t="shared" si="59"/>
        <v>0</v>
      </c>
      <c r="AL672" s="108">
        <v>18014700</v>
      </c>
      <c r="AM672" s="108">
        <f t="shared" si="60"/>
        <v>2379300</v>
      </c>
      <c r="AN672" s="1" t="s">
        <v>2308</v>
      </c>
      <c r="AO672" s="108">
        <f t="shared" si="61"/>
        <v>0</v>
      </c>
      <c r="AP672" s="1"/>
      <c r="AQ672" s="1"/>
      <c r="AR672" s="1"/>
      <c r="AS672" s="1"/>
      <c r="AT672" s="1"/>
      <c r="AU672" s="211"/>
    </row>
    <row r="673" spans="1:47" ht="409.5" x14ac:dyDescent="0.2">
      <c r="A673" s="1">
        <v>183</v>
      </c>
      <c r="B673" s="1" t="str">
        <f t="shared" si="57"/>
        <v>3075-183</v>
      </c>
      <c r="C673" s="99" t="s">
        <v>2294</v>
      </c>
      <c r="D673" s="100" t="s">
        <v>2295</v>
      </c>
      <c r="E673" s="100" t="s">
        <v>2578</v>
      </c>
      <c r="F673" s="99" t="s">
        <v>2366</v>
      </c>
      <c r="G673" s="117" t="s">
        <v>2367</v>
      </c>
      <c r="H673" s="124" t="s">
        <v>2368</v>
      </c>
      <c r="I673" s="100" t="s">
        <v>2300</v>
      </c>
      <c r="J673" s="100" t="s">
        <v>2301</v>
      </c>
      <c r="K673" s="100">
        <v>801116</v>
      </c>
      <c r="L673" s="1" t="s">
        <v>2302</v>
      </c>
      <c r="M673" s="1" t="s">
        <v>493</v>
      </c>
      <c r="N673" s="1" t="s">
        <v>494</v>
      </c>
      <c r="O673" s="100" t="s">
        <v>2369</v>
      </c>
      <c r="P673" s="65" t="s">
        <v>2832</v>
      </c>
      <c r="Q673" s="106">
        <v>5665000</v>
      </c>
      <c r="R673" s="122">
        <v>1</v>
      </c>
      <c r="S673" s="104">
        <v>33990000</v>
      </c>
      <c r="T673" s="1" t="s">
        <v>1619</v>
      </c>
      <c r="U673" s="1" t="s">
        <v>2361</v>
      </c>
      <c r="V673" s="31" t="s">
        <v>516</v>
      </c>
      <c r="W673" s="105">
        <v>6</v>
      </c>
      <c r="X673" s="65" t="s">
        <v>2833</v>
      </c>
      <c r="Y673" s="31">
        <v>43104</v>
      </c>
      <c r="Z673" s="106">
        <v>33990000</v>
      </c>
      <c r="AA673" s="107" t="s">
        <v>2834</v>
      </c>
      <c r="AB673" s="20">
        <v>454</v>
      </c>
      <c r="AC673" s="31">
        <v>43111</v>
      </c>
      <c r="AD673" s="108">
        <v>33990000</v>
      </c>
      <c r="AE673" s="108">
        <f t="shared" si="58"/>
        <v>0</v>
      </c>
      <c r="AF673" s="20">
        <v>321</v>
      </c>
      <c r="AG673" s="31">
        <v>43123</v>
      </c>
      <c r="AH673" s="108">
        <v>33990000</v>
      </c>
      <c r="AI673" s="1" t="s">
        <v>2835</v>
      </c>
      <c r="AJ673" s="1">
        <v>262</v>
      </c>
      <c r="AK673" s="109">
        <f t="shared" si="59"/>
        <v>0</v>
      </c>
      <c r="AL673" s="108">
        <v>29646833</v>
      </c>
      <c r="AM673" s="108">
        <f t="shared" si="60"/>
        <v>4343167</v>
      </c>
      <c r="AN673" s="1" t="s">
        <v>2308</v>
      </c>
      <c r="AO673" s="108">
        <f t="shared" si="61"/>
        <v>0</v>
      </c>
      <c r="AP673" s="1"/>
      <c r="AQ673" s="1"/>
      <c r="AR673" s="1"/>
      <c r="AS673" s="1"/>
      <c r="AT673" s="1"/>
      <c r="AU673" s="211"/>
    </row>
    <row r="674" spans="1:47" ht="242.25" x14ac:dyDescent="0.2">
      <c r="A674" s="1">
        <v>184</v>
      </c>
      <c r="B674" s="1" t="str">
        <f t="shared" si="57"/>
        <v>3075-184</v>
      </c>
      <c r="C674" s="99" t="s">
        <v>2294</v>
      </c>
      <c r="D674" s="100" t="s">
        <v>2295</v>
      </c>
      <c r="E674" s="100" t="s">
        <v>2578</v>
      </c>
      <c r="F674" s="99" t="s">
        <v>2366</v>
      </c>
      <c r="G674" s="117" t="s">
        <v>2367</v>
      </c>
      <c r="H674" s="124" t="s">
        <v>2368</v>
      </c>
      <c r="I674" s="100" t="s">
        <v>2300</v>
      </c>
      <c r="J674" s="100" t="s">
        <v>2301</v>
      </c>
      <c r="K674" s="100">
        <v>80111600</v>
      </c>
      <c r="L674" s="1" t="s">
        <v>2302</v>
      </c>
      <c r="M674" s="1" t="s">
        <v>493</v>
      </c>
      <c r="N674" s="1" t="s">
        <v>494</v>
      </c>
      <c r="O674" s="100" t="s">
        <v>2369</v>
      </c>
      <c r="P674" s="65" t="s">
        <v>2644</v>
      </c>
      <c r="Q674" s="106">
        <v>5665000</v>
      </c>
      <c r="R674" s="122">
        <v>1</v>
      </c>
      <c r="S674" s="104">
        <f>47277000-22660000-1957000</f>
        <v>22660000</v>
      </c>
      <c r="T674" s="1"/>
      <c r="U674" s="1" t="s">
        <v>2361</v>
      </c>
      <c r="V674" s="31" t="s">
        <v>510</v>
      </c>
      <c r="W674" s="105">
        <v>4</v>
      </c>
      <c r="X674" s="65" t="s">
        <v>2836</v>
      </c>
      <c r="Y674" s="31">
        <v>43321</v>
      </c>
      <c r="Z674" s="106">
        <v>22660000</v>
      </c>
      <c r="AA674" s="107" t="s">
        <v>2837</v>
      </c>
      <c r="AB674" s="20"/>
      <c r="AC674" s="31"/>
      <c r="AD674" s="108"/>
      <c r="AE674" s="108">
        <f t="shared" si="58"/>
        <v>0</v>
      </c>
      <c r="AF674" s="20"/>
      <c r="AG674" s="31"/>
      <c r="AH674" s="108"/>
      <c r="AI674" s="1"/>
      <c r="AJ674" s="1"/>
      <c r="AK674" s="109">
        <f t="shared" si="59"/>
        <v>0</v>
      </c>
      <c r="AL674" s="108"/>
      <c r="AM674" s="108">
        <f t="shared" si="60"/>
        <v>0</v>
      </c>
      <c r="AN674" s="1" t="s">
        <v>2308</v>
      </c>
      <c r="AO674" s="108">
        <f t="shared" si="61"/>
        <v>22660000</v>
      </c>
      <c r="AP674" s="1" t="s">
        <v>2838</v>
      </c>
      <c r="AQ674" s="31">
        <v>43320</v>
      </c>
      <c r="AR674" s="1" t="s">
        <v>2326</v>
      </c>
      <c r="AS674" s="31">
        <v>43321</v>
      </c>
      <c r="AT674" s="1" t="s">
        <v>2607</v>
      </c>
      <c r="AU674" s="211"/>
    </row>
    <row r="675" spans="1:47" ht="409.5" x14ac:dyDescent="0.2">
      <c r="A675" s="1">
        <v>185</v>
      </c>
      <c r="B675" s="1" t="str">
        <f t="shared" si="57"/>
        <v>3075-185</v>
      </c>
      <c r="C675" s="99" t="s">
        <v>2294</v>
      </c>
      <c r="D675" s="100" t="s">
        <v>2295</v>
      </c>
      <c r="E675" s="100" t="s">
        <v>2578</v>
      </c>
      <c r="F675" s="99" t="s">
        <v>2366</v>
      </c>
      <c r="G675" s="117" t="s">
        <v>2367</v>
      </c>
      <c r="H675" s="124" t="s">
        <v>2368</v>
      </c>
      <c r="I675" s="100" t="s">
        <v>2300</v>
      </c>
      <c r="J675" s="100" t="s">
        <v>2301</v>
      </c>
      <c r="K675" s="100">
        <v>801116</v>
      </c>
      <c r="L675" s="1" t="s">
        <v>2302</v>
      </c>
      <c r="M675" s="1" t="s">
        <v>493</v>
      </c>
      <c r="N675" s="1" t="s">
        <v>494</v>
      </c>
      <c r="O675" s="100" t="s">
        <v>2369</v>
      </c>
      <c r="P675" s="65" t="s">
        <v>2625</v>
      </c>
      <c r="Q675" s="106">
        <v>1545000</v>
      </c>
      <c r="R675" s="122">
        <v>1</v>
      </c>
      <c r="S675" s="104">
        <v>9270000</v>
      </c>
      <c r="T675" s="1" t="s">
        <v>1634</v>
      </c>
      <c r="U675" s="1" t="s">
        <v>2361</v>
      </c>
      <c r="V675" s="31" t="s">
        <v>516</v>
      </c>
      <c r="W675" s="105">
        <v>6</v>
      </c>
      <c r="X675" s="65" t="s">
        <v>2839</v>
      </c>
      <c r="Y675" s="31">
        <v>43104</v>
      </c>
      <c r="Z675" s="106">
        <v>9270000</v>
      </c>
      <c r="AA675" s="107" t="s">
        <v>2840</v>
      </c>
      <c r="AB675" s="20">
        <v>435</v>
      </c>
      <c r="AC675" s="31">
        <v>43111</v>
      </c>
      <c r="AD675" s="108">
        <v>9270000</v>
      </c>
      <c r="AE675" s="108">
        <f t="shared" si="58"/>
        <v>0</v>
      </c>
      <c r="AF675" s="20">
        <v>409</v>
      </c>
      <c r="AG675" s="31">
        <v>43124</v>
      </c>
      <c r="AH675" s="108">
        <v>9270000</v>
      </c>
      <c r="AI675" s="1" t="s">
        <v>2841</v>
      </c>
      <c r="AJ675" s="1">
        <v>358</v>
      </c>
      <c r="AK675" s="109">
        <f t="shared" si="59"/>
        <v>0</v>
      </c>
      <c r="AL675" s="108">
        <v>8034000</v>
      </c>
      <c r="AM675" s="108">
        <f t="shared" si="60"/>
        <v>1236000</v>
      </c>
      <c r="AN675" s="1" t="s">
        <v>2308</v>
      </c>
      <c r="AO675" s="108">
        <f t="shared" si="61"/>
        <v>0</v>
      </c>
      <c r="AP675" s="1"/>
      <c r="AQ675" s="1"/>
      <c r="AR675" s="1"/>
      <c r="AS675" s="1"/>
      <c r="AT675" s="1"/>
      <c r="AU675" s="211"/>
    </row>
    <row r="676" spans="1:47" ht="409.5" x14ac:dyDescent="0.2">
      <c r="A676" s="1">
        <v>186</v>
      </c>
      <c r="B676" s="1" t="str">
        <f t="shared" si="57"/>
        <v>3075-186</v>
      </c>
      <c r="C676" s="99" t="s">
        <v>2294</v>
      </c>
      <c r="D676" s="100" t="s">
        <v>2295</v>
      </c>
      <c r="E676" s="100" t="s">
        <v>2578</v>
      </c>
      <c r="F676" s="99" t="s">
        <v>2366</v>
      </c>
      <c r="G676" s="117" t="s">
        <v>2367</v>
      </c>
      <c r="H676" s="124" t="s">
        <v>2368</v>
      </c>
      <c r="I676" s="100" t="s">
        <v>2300</v>
      </c>
      <c r="J676" s="100" t="s">
        <v>2301</v>
      </c>
      <c r="K676" s="100">
        <v>801116</v>
      </c>
      <c r="L676" s="1" t="s">
        <v>2302</v>
      </c>
      <c r="M676" s="1" t="s">
        <v>493</v>
      </c>
      <c r="N676" s="1" t="s">
        <v>494</v>
      </c>
      <c r="O676" s="100" t="s">
        <v>2369</v>
      </c>
      <c r="P676" s="65" t="s">
        <v>2640</v>
      </c>
      <c r="Q676" s="106">
        <v>3399000</v>
      </c>
      <c r="R676" s="122">
        <v>1</v>
      </c>
      <c r="S676" s="104">
        <v>20394000</v>
      </c>
      <c r="T676" s="1" t="s">
        <v>1619</v>
      </c>
      <c r="U676" s="1" t="s">
        <v>2361</v>
      </c>
      <c r="V676" s="31" t="s">
        <v>516</v>
      </c>
      <c r="W676" s="105">
        <v>6</v>
      </c>
      <c r="X676" s="65" t="s">
        <v>2842</v>
      </c>
      <c r="Y676" s="31">
        <v>43104</v>
      </c>
      <c r="Z676" s="106">
        <v>20394000</v>
      </c>
      <c r="AA676" s="107" t="s">
        <v>2843</v>
      </c>
      <c r="AB676" s="20">
        <v>438</v>
      </c>
      <c r="AC676" s="31">
        <v>43111</v>
      </c>
      <c r="AD676" s="108">
        <v>20394000</v>
      </c>
      <c r="AE676" s="108">
        <f t="shared" si="58"/>
        <v>0</v>
      </c>
      <c r="AF676" s="20">
        <v>322</v>
      </c>
      <c r="AG676" s="31">
        <v>43123</v>
      </c>
      <c r="AH676" s="108">
        <v>20394000</v>
      </c>
      <c r="AI676" s="1" t="s">
        <v>2844</v>
      </c>
      <c r="AJ676" s="1">
        <v>260</v>
      </c>
      <c r="AK676" s="109">
        <f t="shared" si="59"/>
        <v>0</v>
      </c>
      <c r="AL676" s="108">
        <v>17901400</v>
      </c>
      <c r="AM676" s="108">
        <f t="shared" si="60"/>
        <v>2492600</v>
      </c>
      <c r="AN676" s="1" t="s">
        <v>2308</v>
      </c>
      <c r="AO676" s="108">
        <f t="shared" si="61"/>
        <v>0</v>
      </c>
      <c r="AP676" s="1"/>
      <c r="AQ676" s="1"/>
      <c r="AR676" s="1"/>
      <c r="AS676" s="1"/>
      <c r="AT676" s="1"/>
      <c r="AU676" s="211"/>
    </row>
    <row r="677" spans="1:47" ht="409.5" x14ac:dyDescent="0.2">
      <c r="A677" s="1">
        <v>187</v>
      </c>
      <c r="B677" s="1" t="str">
        <f t="shared" si="57"/>
        <v>3075-187</v>
      </c>
      <c r="C677" s="99" t="s">
        <v>2294</v>
      </c>
      <c r="D677" s="100" t="s">
        <v>2295</v>
      </c>
      <c r="E677" s="100" t="s">
        <v>2578</v>
      </c>
      <c r="F677" s="99" t="s">
        <v>2366</v>
      </c>
      <c r="G677" s="117" t="s">
        <v>2367</v>
      </c>
      <c r="H677" s="124" t="s">
        <v>2368</v>
      </c>
      <c r="I677" s="100" t="s">
        <v>2300</v>
      </c>
      <c r="J677" s="100" t="s">
        <v>2301</v>
      </c>
      <c r="K677" s="100">
        <v>801116</v>
      </c>
      <c r="L677" s="1" t="s">
        <v>2302</v>
      </c>
      <c r="M677" s="1" t="s">
        <v>493</v>
      </c>
      <c r="N677" s="1" t="s">
        <v>494</v>
      </c>
      <c r="O677" s="100" t="s">
        <v>2369</v>
      </c>
      <c r="P677" s="65" t="s">
        <v>2640</v>
      </c>
      <c r="Q677" s="106">
        <v>3399000</v>
      </c>
      <c r="R677" s="122">
        <v>1</v>
      </c>
      <c r="S677" s="104">
        <v>20394000</v>
      </c>
      <c r="T677" s="1" t="s">
        <v>1619</v>
      </c>
      <c r="U677" s="1" t="s">
        <v>2361</v>
      </c>
      <c r="V677" s="31" t="s">
        <v>516</v>
      </c>
      <c r="W677" s="105">
        <v>6</v>
      </c>
      <c r="X677" s="65" t="s">
        <v>2845</v>
      </c>
      <c r="Y677" s="31">
        <v>43104</v>
      </c>
      <c r="Z677" s="106">
        <v>20394000</v>
      </c>
      <c r="AA677" s="107" t="s">
        <v>2843</v>
      </c>
      <c r="AB677" s="20">
        <v>440</v>
      </c>
      <c r="AC677" s="31">
        <v>43111</v>
      </c>
      <c r="AD677" s="108">
        <v>20394000</v>
      </c>
      <c r="AE677" s="108">
        <f t="shared" si="58"/>
        <v>0</v>
      </c>
      <c r="AF677" s="20">
        <v>242</v>
      </c>
      <c r="AG677" s="31">
        <v>43119</v>
      </c>
      <c r="AH677" s="108">
        <v>20394000</v>
      </c>
      <c r="AI677" s="1" t="s">
        <v>2846</v>
      </c>
      <c r="AJ677" s="1">
        <v>219</v>
      </c>
      <c r="AK677" s="109">
        <f t="shared" si="59"/>
        <v>0</v>
      </c>
      <c r="AL677" s="108">
        <v>18354600</v>
      </c>
      <c r="AM677" s="108">
        <f t="shared" si="60"/>
        <v>2039400</v>
      </c>
      <c r="AN677" s="1" t="s">
        <v>2308</v>
      </c>
      <c r="AO677" s="108">
        <f t="shared" si="61"/>
        <v>0</v>
      </c>
      <c r="AP677" s="1"/>
      <c r="AQ677" s="1"/>
      <c r="AR677" s="1"/>
      <c r="AS677" s="1"/>
      <c r="AT677" s="1"/>
      <c r="AU677" s="211"/>
    </row>
    <row r="678" spans="1:47" ht="409.5" x14ac:dyDescent="0.2">
      <c r="A678" s="1">
        <v>188</v>
      </c>
      <c r="B678" s="1" t="str">
        <f t="shared" si="57"/>
        <v>3075-188</v>
      </c>
      <c r="C678" s="99" t="s">
        <v>2294</v>
      </c>
      <c r="D678" s="100" t="s">
        <v>2295</v>
      </c>
      <c r="E678" s="100" t="s">
        <v>2578</v>
      </c>
      <c r="F678" s="99" t="s">
        <v>2366</v>
      </c>
      <c r="G678" s="117" t="s">
        <v>2367</v>
      </c>
      <c r="H678" s="124" t="s">
        <v>2368</v>
      </c>
      <c r="I678" s="100" t="s">
        <v>2300</v>
      </c>
      <c r="J678" s="100" t="s">
        <v>2301</v>
      </c>
      <c r="K678" s="100">
        <v>801116</v>
      </c>
      <c r="L678" s="1" t="s">
        <v>2302</v>
      </c>
      <c r="M678" s="1" t="s">
        <v>493</v>
      </c>
      <c r="N678" s="1" t="s">
        <v>494</v>
      </c>
      <c r="O678" s="100" t="s">
        <v>2369</v>
      </c>
      <c r="P678" s="65" t="s">
        <v>2657</v>
      </c>
      <c r="Q678" s="106">
        <v>3553500</v>
      </c>
      <c r="R678" s="122">
        <v>1</v>
      </c>
      <c r="S678" s="104">
        <v>21321000</v>
      </c>
      <c r="T678" s="1" t="s">
        <v>1619</v>
      </c>
      <c r="U678" s="1" t="s">
        <v>2361</v>
      </c>
      <c r="V678" s="31" t="s">
        <v>516</v>
      </c>
      <c r="W678" s="105">
        <v>6</v>
      </c>
      <c r="X678" s="65" t="s">
        <v>2847</v>
      </c>
      <c r="Y678" s="31">
        <v>43104</v>
      </c>
      <c r="Z678" s="106">
        <v>21321000</v>
      </c>
      <c r="AA678" s="107" t="s">
        <v>2848</v>
      </c>
      <c r="AB678" s="20">
        <v>461</v>
      </c>
      <c r="AC678" s="31">
        <v>43111</v>
      </c>
      <c r="AD678" s="108">
        <v>21321000</v>
      </c>
      <c r="AE678" s="108">
        <f t="shared" si="58"/>
        <v>0</v>
      </c>
      <c r="AF678" s="20">
        <v>405</v>
      </c>
      <c r="AG678" s="31">
        <v>43124</v>
      </c>
      <c r="AH678" s="108">
        <v>21321000</v>
      </c>
      <c r="AI678" s="1" t="s">
        <v>2849</v>
      </c>
      <c r="AJ678" s="1">
        <v>333</v>
      </c>
      <c r="AK678" s="109">
        <f t="shared" si="59"/>
        <v>0</v>
      </c>
      <c r="AL678" s="108">
        <v>18478200</v>
      </c>
      <c r="AM678" s="108">
        <f t="shared" si="60"/>
        <v>2842800</v>
      </c>
      <c r="AN678" s="1" t="s">
        <v>2308</v>
      </c>
      <c r="AO678" s="108">
        <f t="shared" si="61"/>
        <v>0</v>
      </c>
      <c r="AP678" s="1"/>
      <c r="AQ678" s="1"/>
      <c r="AR678" s="1"/>
      <c r="AS678" s="1"/>
      <c r="AT678" s="1"/>
      <c r="AU678" s="211"/>
    </row>
    <row r="679" spans="1:47" ht="409.5" x14ac:dyDescent="0.2">
      <c r="A679" s="1">
        <v>189</v>
      </c>
      <c r="B679" s="1" t="str">
        <f t="shared" si="57"/>
        <v>3075-189</v>
      </c>
      <c r="C679" s="99" t="s">
        <v>2294</v>
      </c>
      <c r="D679" s="100" t="s">
        <v>2295</v>
      </c>
      <c r="E679" s="100" t="s">
        <v>2578</v>
      </c>
      <c r="F679" s="99" t="s">
        <v>2366</v>
      </c>
      <c r="G679" s="117" t="s">
        <v>2367</v>
      </c>
      <c r="H679" s="124" t="s">
        <v>2368</v>
      </c>
      <c r="I679" s="100" t="s">
        <v>2300</v>
      </c>
      <c r="J679" s="100" t="s">
        <v>2301</v>
      </c>
      <c r="K679" s="100">
        <v>801116</v>
      </c>
      <c r="L679" s="1" t="s">
        <v>2302</v>
      </c>
      <c r="M679" s="1" t="s">
        <v>493</v>
      </c>
      <c r="N679" s="1" t="s">
        <v>494</v>
      </c>
      <c r="O679" s="100" t="s">
        <v>2369</v>
      </c>
      <c r="P679" s="65" t="s">
        <v>2850</v>
      </c>
      <c r="Q679" s="106">
        <v>3553500</v>
      </c>
      <c r="R679" s="122">
        <v>1</v>
      </c>
      <c r="S679" s="104">
        <v>21321000</v>
      </c>
      <c r="T679" s="1" t="s">
        <v>1619</v>
      </c>
      <c r="U679" s="1" t="s">
        <v>2361</v>
      </c>
      <c r="V679" s="31" t="s">
        <v>516</v>
      </c>
      <c r="W679" s="105">
        <v>6</v>
      </c>
      <c r="X679" s="65" t="s">
        <v>2851</v>
      </c>
      <c r="Y679" s="31">
        <v>43104</v>
      </c>
      <c r="Z679" s="106">
        <v>21321000</v>
      </c>
      <c r="AA679" s="107" t="s">
        <v>2848</v>
      </c>
      <c r="AB679" s="20">
        <v>462</v>
      </c>
      <c r="AC679" s="31">
        <v>43112</v>
      </c>
      <c r="AD679" s="108">
        <v>21321000</v>
      </c>
      <c r="AE679" s="108">
        <f t="shared" si="58"/>
        <v>0</v>
      </c>
      <c r="AF679" s="20">
        <v>505</v>
      </c>
      <c r="AG679" s="31">
        <v>43126</v>
      </c>
      <c r="AH679" s="108">
        <v>21321000</v>
      </c>
      <c r="AI679" s="1" t="s">
        <v>2852</v>
      </c>
      <c r="AJ679" s="1">
        <v>415</v>
      </c>
      <c r="AK679" s="109">
        <f t="shared" si="59"/>
        <v>0</v>
      </c>
      <c r="AL679" s="108">
        <v>18004400</v>
      </c>
      <c r="AM679" s="108">
        <f t="shared" si="60"/>
        <v>3316600</v>
      </c>
      <c r="AN679" s="1" t="s">
        <v>2308</v>
      </c>
      <c r="AO679" s="108">
        <f t="shared" si="61"/>
        <v>0</v>
      </c>
      <c r="AP679" s="1"/>
      <c r="AQ679" s="1"/>
      <c r="AR679" s="1"/>
      <c r="AS679" s="1"/>
      <c r="AT679" s="1"/>
      <c r="AU679" s="211"/>
    </row>
    <row r="680" spans="1:47" ht="409.5" x14ac:dyDescent="0.2">
      <c r="A680" s="1">
        <v>190</v>
      </c>
      <c r="B680" s="1" t="str">
        <f t="shared" si="57"/>
        <v>3075-190</v>
      </c>
      <c r="C680" s="99" t="s">
        <v>2294</v>
      </c>
      <c r="D680" s="100" t="s">
        <v>2295</v>
      </c>
      <c r="E680" s="100" t="s">
        <v>2578</v>
      </c>
      <c r="F680" s="99" t="s">
        <v>2366</v>
      </c>
      <c r="G680" s="117" t="s">
        <v>2367</v>
      </c>
      <c r="H680" s="124" t="s">
        <v>2368</v>
      </c>
      <c r="I680" s="100" t="s">
        <v>2300</v>
      </c>
      <c r="J680" s="100" t="s">
        <v>2301</v>
      </c>
      <c r="K680" s="100">
        <v>801116</v>
      </c>
      <c r="L680" s="1" t="s">
        <v>2302</v>
      </c>
      <c r="M680" s="1" t="s">
        <v>493</v>
      </c>
      <c r="N680" s="1" t="s">
        <v>494</v>
      </c>
      <c r="O680" s="100" t="s">
        <v>2369</v>
      </c>
      <c r="P680" s="65" t="s">
        <v>2660</v>
      </c>
      <c r="Q680" s="106">
        <v>5253000</v>
      </c>
      <c r="R680" s="122">
        <v>1</v>
      </c>
      <c r="S680" s="104">
        <v>31518000</v>
      </c>
      <c r="T680" s="1" t="s">
        <v>1619</v>
      </c>
      <c r="U680" s="1" t="s">
        <v>2361</v>
      </c>
      <c r="V680" s="31" t="s">
        <v>516</v>
      </c>
      <c r="W680" s="105">
        <v>6</v>
      </c>
      <c r="X680" s="65" t="s">
        <v>2853</v>
      </c>
      <c r="Y680" s="31">
        <v>43104</v>
      </c>
      <c r="Z680" s="106">
        <v>31518000</v>
      </c>
      <c r="AA680" s="107" t="s">
        <v>2837</v>
      </c>
      <c r="AB680" s="20">
        <v>491</v>
      </c>
      <c r="AC680" s="31">
        <v>43116</v>
      </c>
      <c r="AD680" s="108">
        <v>31518000</v>
      </c>
      <c r="AE680" s="108">
        <f t="shared" si="58"/>
        <v>0</v>
      </c>
      <c r="AF680" s="20">
        <v>265</v>
      </c>
      <c r="AG680" s="31">
        <v>43119</v>
      </c>
      <c r="AH680" s="108">
        <v>31518000</v>
      </c>
      <c r="AI680" s="1" t="s">
        <v>2854</v>
      </c>
      <c r="AJ680" s="1">
        <v>235</v>
      </c>
      <c r="AK680" s="109">
        <f t="shared" si="59"/>
        <v>0</v>
      </c>
      <c r="AL680" s="108">
        <v>26615200</v>
      </c>
      <c r="AM680" s="108">
        <f t="shared" si="60"/>
        <v>4902800</v>
      </c>
      <c r="AN680" s="1" t="s">
        <v>2308</v>
      </c>
      <c r="AO680" s="108">
        <f t="shared" si="61"/>
        <v>0</v>
      </c>
      <c r="AP680" s="1"/>
      <c r="AQ680" s="1"/>
      <c r="AR680" s="1"/>
      <c r="AS680" s="1"/>
      <c r="AT680" s="1"/>
      <c r="AU680" s="211"/>
    </row>
    <row r="681" spans="1:47" ht="409.5" x14ac:dyDescent="0.2">
      <c r="A681" s="1">
        <v>191</v>
      </c>
      <c r="B681" s="1" t="str">
        <f t="shared" si="57"/>
        <v>3075-191</v>
      </c>
      <c r="C681" s="99" t="s">
        <v>2294</v>
      </c>
      <c r="D681" s="100" t="s">
        <v>2295</v>
      </c>
      <c r="E681" s="100" t="s">
        <v>2578</v>
      </c>
      <c r="F681" s="99" t="s">
        <v>2366</v>
      </c>
      <c r="G681" s="117" t="s">
        <v>2367</v>
      </c>
      <c r="H681" s="124" t="s">
        <v>2368</v>
      </c>
      <c r="I681" s="100" t="s">
        <v>2300</v>
      </c>
      <c r="J681" s="100" t="s">
        <v>2301</v>
      </c>
      <c r="K681" s="100">
        <v>801116</v>
      </c>
      <c r="L681" s="1" t="s">
        <v>2302</v>
      </c>
      <c r="M681" s="1" t="s">
        <v>493</v>
      </c>
      <c r="N681" s="1" t="s">
        <v>494</v>
      </c>
      <c r="O681" s="100" t="s">
        <v>2369</v>
      </c>
      <c r="P681" s="65" t="s">
        <v>2657</v>
      </c>
      <c r="Q681" s="106">
        <v>3553500</v>
      </c>
      <c r="R681" s="122">
        <v>1</v>
      </c>
      <c r="S681" s="104">
        <v>21321000</v>
      </c>
      <c r="T681" s="1" t="s">
        <v>1619</v>
      </c>
      <c r="U681" s="1" t="s">
        <v>2361</v>
      </c>
      <c r="V681" s="31" t="s">
        <v>516</v>
      </c>
      <c r="W681" s="105">
        <v>6</v>
      </c>
      <c r="X681" s="65" t="s">
        <v>2855</v>
      </c>
      <c r="Y681" s="31">
        <v>43104</v>
      </c>
      <c r="Z681" s="106">
        <v>21321000</v>
      </c>
      <c r="AA681" s="107" t="s">
        <v>2848</v>
      </c>
      <c r="AB681" s="20">
        <v>414</v>
      </c>
      <c r="AC681" s="31">
        <v>43111</v>
      </c>
      <c r="AD681" s="108">
        <v>21321000</v>
      </c>
      <c r="AE681" s="108">
        <f t="shared" si="58"/>
        <v>0</v>
      </c>
      <c r="AF681" s="20">
        <v>340</v>
      </c>
      <c r="AG681" s="31">
        <v>43123</v>
      </c>
      <c r="AH681" s="108">
        <v>21321000</v>
      </c>
      <c r="AI681" s="1" t="s">
        <v>2856</v>
      </c>
      <c r="AJ681" s="1">
        <v>345</v>
      </c>
      <c r="AK681" s="109">
        <f t="shared" si="59"/>
        <v>0</v>
      </c>
      <c r="AL681" s="108">
        <v>18241300</v>
      </c>
      <c r="AM681" s="108">
        <f t="shared" si="60"/>
        <v>3079700</v>
      </c>
      <c r="AN681" s="1" t="s">
        <v>2308</v>
      </c>
      <c r="AO681" s="108">
        <f t="shared" si="61"/>
        <v>0</v>
      </c>
      <c r="AP681" s="1"/>
      <c r="AQ681" s="1"/>
      <c r="AR681" s="1"/>
      <c r="AS681" s="1"/>
      <c r="AT681" s="1"/>
      <c r="AU681" s="211"/>
    </row>
    <row r="682" spans="1:47" ht="409.5" x14ac:dyDescent="0.2">
      <c r="A682" s="1">
        <v>192</v>
      </c>
      <c r="B682" s="1" t="str">
        <f t="shared" si="57"/>
        <v>3075-192</v>
      </c>
      <c r="C682" s="99" t="s">
        <v>2294</v>
      </c>
      <c r="D682" s="100" t="s">
        <v>2295</v>
      </c>
      <c r="E682" s="100" t="s">
        <v>2578</v>
      </c>
      <c r="F682" s="99" t="s">
        <v>2366</v>
      </c>
      <c r="G682" s="117" t="s">
        <v>2367</v>
      </c>
      <c r="H682" s="124" t="s">
        <v>2368</v>
      </c>
      <c r="I682" s="100" t="s">
        <v>2300</v>
      </c>
      <c r="J682" s="100" t="s">
        <v>2301</v>
      </c>
      <c r="K682" s="100">
        <v>801116</v>
      </c>
      <c r="L682" s="1" t="s">
        <v>2302</v>
      </c>
      <c r="M682" s="1" t="s">
        <v>493</v>
      </c>
      <c r="N682" s="1" t="s">
        <v>494</v>
      </c>
      <c r="O682" s="100" t="s">
        <v>2369</v>
      </c>
      <c r="P682" s="65" t="s">
        <v>2819</v>
      </c>
      <c r="Q682" s="106">
        <v>3553500</v>
      </c>
      <c r="R682" s="122">
        <v>1</v>
      </c>
      <c r="S682" s="104">
        <v>21321000</v>
      </c>
      <c r="T682" s="1" t="s">
        <v>1619</v>
      </c>
      <c r="U682" s="1" t="s">
        <v>2361</v>
      </c>
      <c r="V682" s="31" t="s">
        <v>516</v>
      </c>
      <c r="W682" s="105">
        <v>6</v>
      </c>
      <c r="X682" s="65" t="s">
        <v>2857</v>
      </c>
      <c r="Y682" s="31">
        <v>43104</v>
      </c>
      <c r="Z682" s="106">
        <v>21321000</v>
      </c>
      <c r="AA682" s="107" t="s">
        <v>2858</v>
      </c>
      <c r="AB682" s="20">
        <v>415</v>
      </c>
      <c r="AC682" s="31">
        <v>43111</v>
      </c>
      <c r="AD682" s="108">
        <v>21321000</v>
      </c>
      <c r="AE682" s="108">
        <f t="shared" si="58"/>
        <v>0</v>
      </c>
      <c r="AF682" s="20">
        <v>337</v>
      </c>
      <c r="AG682" s="31">
        <v>43123</v>
      </c>
      <c r="AH682" s="108">
        <v>21321000</v>
      </c>
      <c r="AI682" s="1" t="s">
        <v>2859</v>
      </c>
      <c r="AJ682" s="1">
        <v>342</v>
      </c>
      <c r="AK682" s="109">
        <f t="shared" si="59"/>
        <v>0</v>
      </c>
      <c r="AL682" s="108">
        <v>18478200</v>
      </c>
      <c r="AM682" s="108">
        <f t="shared" si="60"/>
        <v>2842800</v>
      </c>
      <c r="AN682" s="1" t="s">
        <v>2308</v>
      </c>
      <c r="AO682" s="108">
        <f t="shared" si="61"/>
        <v>0</v>
      </c>
      <c r="AP682" s="1"/>
      <c r="AQ682" s="1"/>
      <c r="AR682" s="1"/>
      <c r="AS682" s="1"/>
      <c r="AT682" s="1"/>
      <c r="AU682" s="211"/>
    </row>
    <row r="683" spans="1:47" ht="409.5" x14ac:dyDescent="0.2">
      <c r="A683" s="1">
        <v>193</v>
      </c>
      <c r="B683" s="1" t="str">
        <f t="shared" ref="B683:B746" si="62">CONCATENATE("3075","-",A683)</f>
        <v>3075-193</v>
      </c>
      <c r="C683" s="99" t="s">
        <v>2294</v>
      </c>
      <c r="D683" s="100" t="s">
        <v>2295</v>
      </c>
      <c r="E683" s="100" t="s">
        <v>2578</v>
      </c>
      <c r="F683" s="99" t="s">
        <v>2366</v>
      </c>
      <c r="G683" s="117" t="s">
        <v>2367</v>
      </c>
      <c r="H683" s="124" t="s">
        <v>2368</v>
      </c>
      <c r="I683" s="100" t="s">
        <v>2300</v>
      </c>
      <c r="J683" s="100" t="s">
        <v>2301</v>
      </c>
      <c r="K683" s="100">
        <v>801116</v>
      </c>
      <c r="L683" s="1" t="s">
        <v>2302</v>
      </c>
      <c r="M683" s="1" t="s">
        <v>493</v>
      </c>
      <c r="N683" s="1" t="s">
        <v>494</v>
      </c>
      <c r="O683" s="100" t="s">
        <v>2369</v>
      </c>
      <c r="P683" s="65" t="s">
        <v>2597</v>
      </c>
      <c r="Q683" s="106">
        <v>5253000</v>
      </c>
      <c r="R683" s="122">
        <v>1</v>
      </c>
      <c r="S683" s="104">
        <v>31518000</v>
      </c>
      <c r="T683" s="1" t="s">
        <v>1619</v>
      </c>
      <c r="U683" s="1" t="s">
        <v>2361</v>
      </c>
      <c r="V683" s="31" t="s">
        <v>516</v>
      </c>
      <c r="W683" s="105">
        <v>6</v>
      </c>
      <c r="X683" s="65" t="s">
        <v>2860</v>
      </c>
      <c r="Y683" s="31">
        <v>43104</v>
      </c>
      <c r="Z683" s="106">
        <v>31518000</v>
      </c>
      <c r="AA683" s="107" t="s">
        <v>2861</v>
      </c>
      <c r="AB683" s="20">
        <v>416</v>
      </c>
      <c r="AC683" s="31">
        <v>43111</v>
      </c>
      <c r="AD683" s="108">
        <v>31518000</v>
      </c>
      <c r="AE683" s="108">
        <f t="shared" ref="AE683:AE746" si="63">S683-Z683</f>
        <v>0</v>
      </c>
      <c r="AF683" s="20">
        <v>408</v>
      </c>
      <c r="AG683" s="31">
        <v>43124</v>
      </c>
      <c r="AH683" s="108">
        <v>31518000</v>
      </c>
      <c r="AI683" s="1" t="s">
        <v>2862</v>
      </c>
      <c r="AJ683" s="1">
        <v>357</v>
      </c>
      <c r="AK683" s="109">
        <f t="shared" ref="AK683:AK746" si="64">AD683-AH683</f>
        <v>0</v>
      </c>
      <c r="AL683" s="108">
        <v>27315600</v>
      </c>
      <c r="AM683" s="108">
        <f t="shared" ref="AM683:AM746" si="65">AH683-AL683</f>
        <v>4202400</v>
      </c>
      <c r="AN683" s="1" t="s">
        <v>2308</v>
      </c>
      <c r="AO683" s="108">
        <f t="shared" ref="AO683:AO746" si="66">S683-AH683</f>
        <v>0</v>
      </c>
      <c r="AP683" s="1"/>
      <c r="AQ683" s="1"/>
      <c r="AR683" s="1"/>
      <c r="AS683" s="1"/>
      <c r="AT683" s="1"/>
      <c r="AU683" s="211"/>
    </row>
    <row r="684" spans="1:47" ht="409.5" x14ac:dyDescent="0.2">
      <c r="A684" s="1">
        <v>194</v>
      </c>
      <c r="B684" s="1" t="str">
        <f t="shared" si="62"/>
        <v>3075-194</v>
      </c>
      <c r="C684" s="99" t="s">
        <v>2294</v>
      </c>
      <c r="D684" s="100" t="s">
        <v>2295</v>
      </c>
      <c r="E684" s="100" t="s">
        <v>2578</v>
      </c>
      <c r="F684" s="99" t="s">
        <v>2366</v>
      </c>
      <c r="G684" s="117" t="s">
        <v>2367</v>
      </c>
      <c r="H684" s="124" t="s">
        <v>2368</v>
      </c>
      <c r="I684" s="100" t="s">
        <v>2300</v>
      </c>
      <c r="J684" s="100" t="s">
        <v>2301</v>
      </c>
      <c r="K684" s="100">
        <v>801116</v>
      </c>
      <c r="L684" s="1" t="s">
        <v>2302</v>
      </c>
      <c r="M684" s="1" t="s">
        <v>493</v>
      </c>
      <c r="N684" s="1" t="s">
        <v>494</v>
      </c>
      <c r="O684" s="100" t="s">
        <v>2369</v>
      </c>
      <c r="P684" s="65" t="s">
        <v>2660</v>
      </c>
      <c r="Q684" s="106">
        <v>5253000</v>
      </c>
      <c r="R684" s="122">
        <v>1</v>
      </c>
      <c r="S684" s="104">
        <v>31518000</v>
      </c>
      <c r="T684" s="1" t="s">
        <v>1619</v>
      </c>
      <c r="U684" s="1" t="s">
        <v>2361</v>
      </c>
      <c r="V684" s="31" t="s">
        <v>516</v>
      </c>
      <c r="W684" s="105">
        <v>6.444444444444442</v>
      </c>
      <c r="X684" s="65" t="s">
        <v>2863</v>
      </c>
      <c r="Y684" s="31">
        <v>43104</v>
      </c>
      <c r="Z684" s="106">
        <v>31518000</v>
      </c>
      <c r="AA684" s="107" t="s">
        <v>2837</v>
      </c>
      <c r="AB684" s="20">
        <v>418</v>
      </c>
      <c r="AC684" s="31">
        <v>43111</v>
      </c>
      <c r="AD684" s="108">
        <v>31518000</v>
      </c>
      <c r="AE684" s="108">
        <f t="shared" si="63"/>
        <v>0</v>
      </c>
      <c r="AF684" s="20">
        <v>501</v>
      </c>
      <c r="AG684" s="31">
        <v>43126</v>
      </c>
      <c r="AH684" s="108">
        <v>31518000</v>
      </c>
      <c r="AI684" s="1" t="s">
        <v>2864</v>
      </c>
      <c r="AJ684" s="1">
        <v>411</v>
      </c>
      <c r="AK684" s="109">
        <f t="shared" si="64"/>
        <v>0</v>
      </c>
      <c r="AL684" s="108">
        <v>26615200</v>
      </c>
      <c r="AM684" s="108">
        <f t="shared" si="65"/>
        <v>4902800</v>
      </c>
      <c r="AN684" s="1" t="s">
        <v>2308</v>
      </c>
      <c r="AO684" s="108">
        <f t="shared" si="66"/>
        <v>0</v>
      </c>
      <c r="AP684" s="1"/>
      <c r="AQ684" s="1"/>
      <c r="AR684" s="1"/>
      <c r="AS684" s="1"/>
      <c r="AT684" s="1"/>
      <c r="AU684" s="211"/>
    </row>
    <row r="685" spans="1:47" ht="409.5" x14ac:dyDescent="0.2">
      <c r="A685" s="1">
        <v>195</v>
      </c>
      <c r="B685" s="1" t="str">
        <f t="shared" si="62"/>
        <v>3075-195</v>
      </c>
      <c r="C685" s="99" t="s">
        <v>2294</v>
      </c>
      <c r="D685" s="100" t="s">
        <v>2295</v>
      </c>
      <c r="E685" s="100" t="s">
        <v>2578</v>
      </c>
      <c r="F685" s="99" t="s">
        <v>2366</v>
      </c>
      <c r="G685" s="117" t="s">
        <v>2367</v>
      </c>
      <c r="H685" s="124" t="s">
        <v>2368</v>
      </c>
      <c r="I685" s="100" t="s">
        <v>2300</v>
      </c>
      <c r="J685" s="100" t="s">
        <v>2301</v>
      </c>
      <c r="K685" s="100">
        <v>801116</v>
      </c>
      <c r="L685" s="1" t="s">
        <v>2302</v>
      </c>
      <c r="M685" s="1" t="s">
        <v>493</v>
      </c>
      <c r="N685" s="1" t="s">
        <v>494</v>
      </c>
      <c r="O685" s="100" t="s">
        <v>2369</v>
      </c>
      <c r="P685" s="65" t="s">
        <v>2625</v>
      </c>
      <c r="Q685" s="106">
        <v>1751000</v>
      </c>
      <c r="R685" s="122">
        <v>1</v>
      </c>
      <c r="S685" s="104">
        <v>10506000</v>
      </c>
      <c r="T685" s="1" t="s">
        <v>1634</v>
      </c>
      <c r="U685" s="1" t="s">
        <v>2361</v>
      </c>
      <c r="V685" s="31" t="s">
        <v>516</v>
      </c>
      <c r="W685" s="105">
        <v>6</v>
      </c>
      <c r="X685" s="65" t="s">
        <v>2865</v>
      </c>
      <c r="Y685" s="31">
        <v>43104</v>
      </c>
      <c r="Z685" s="106">
        <v>10506000</v>
      </c>
      <c r="AA685" s="107" t="s">
        <v>2825</v>
      </c>
      <c r="AB685" s="20">
        <v>419</v>
      </c>
      <c r="AC685" s="31">
        <v>43111</v>
      </c>
      <c r="AD685" s="108">
        <v>10506000</v>
      </c>
      <c r="AE685" s="108">
        <f t="shared" si="63"/>
        <v>0</v>
      </c>
      <c r="AF685" s="20">
        <v>407</v>
      </c>
      <c r="AG685" s="31">
        <v>43124</v>
      </c>
      <c r="AH685" s="108">
        <v>10506000</v>
      </c>
      <c r="AI685" s="1" t="s">
        <v>2866</v>
      </c>
      <c r="AJ685" s="1">
        <v>356</v>
      </c>
      <c r="AK685" s="109">
        <f t="shared" si="64"/>
        <v>0</v>
      </c>
      <c r="AL685" s="108">
        <v>9105200</v>
      </c>
      <c r="AM685" s="108">
        <f t="shared" si="65"/>
        <v>1400800</v>
      </c>
      <c r="AN685" s="1" t="s">
        <v>2308</v>
      </c>
      <c r="AO685" s="108">
        <f t="shared" si="66"/>
        <v>0</v>
      </c>
      <c r="AP685" s="1"/>
      <c r="AQ685" s="1"/>
      <c r="AR685" s="1"/>
      <c r="AS685" s="1"/>
      <c r="AT685" s="1"/>
      <c r="AU685" s="211"/>
    </row>
    <row r="686" spans="1:47" ht="409.5" x14ac:dyDescent="0.2">
      <c r="A686" s="1">
        <v>196</v>
      </c>
      <c r="B686" s="1" t="str">
        <f t="shared" si="62"/>
        <v>3075-196</v>
      </c>
      <c r="C686" s="99" t="s">
        <v>2294</v>
      </c>
      <c r="D686" s="100" t="s">
        <v>2295</v>
      </c>
      <c r="E686" s="100" t="s">
        <v>2578</v>
      </c>
      <c r="F686" s="99" t="s">
        <v>2366</v>
      </c>
      <c r="G686" s="117" t="s">
        <v>2367</v>
      </c>
      <c r="H686" s="124" t="s">
        <v>2368</v>
      </c>
      <c r="I686" s="100" t="s">
        <v>2300</v>
      </c>
      <c r="J686" s="100" t="s">
        <v>2301</v>
      </c>
      <c r="K686" s="100">
        <v>801116</v>
      </c>
      <c r="L686" s="1" t="s">
        <v>2302</v>
      </c>
      <c r="M686" s="1" t="s">
        <v>493</v>
      </c>
      <c r="N686" s="1" t="s">
        <v>494</v>
      </c>
      <c r="O686" s="100" t="s">
        <v>2369</v>
      </c>
      <c r="P686" s="65" t="s">
        <v>2660</v>
      </c>
      <c r="Q686" s="106">
        <v>4120000</v>
      </c>
      <c r="R686" s="122">
        <v>1</v>
      </c>
      <c r="S686" s="104">
        <v>24720000</v>
      </c>
      <c r="T686" s="1" t="s">
        <v>1619</v>
      </c>
      <c r="U686" s="1" t="s">
        <v>2361</v>
      </c>
      <c r="V686" s="31" t="s">
        <v>516</v>
      </c>
      <c r="W686" s="105">
        <v>6</v>
      </c>
      <c r="X686" s="65" t="s">
        <v>2867</v>
      </c>
      <c r="Y686" s="31">
        <v>43104</v>
      </c>
      <c r="Z686" s="106">
        <v>24720000</v>
      </c>
      <c r="AA686" s="107" t="s">
        <v>2868</v>
      </c>
      <c r="AB686" s="20">
        <v>420</v>
      </c>
      <c r="AC686" s="31">
        <v>43111</v>
      </c>
      <c r="AD686" s="108">
        <v>24720000</v>
      </c>
      <c r="AE686" s="108">
        <f t="shared" si="63"/>
        <v>0</v>
      </c>
      <c r="AF686" s="20">
        <v>320</v>
      </c>
      <c r="AG686" s="31">
        <v>43123</v>
      </c>
      <c r="AH686" s="108">
        <v>24720000</v>
      </c>
      <c r="AI686" s="1" t="s">
        <v>2869</v>
      </c>
      <c r="AJ686" s="1">
        <v>272</v>
      </c>
      <c r="AK686" s="109">
        <f t="shared" si="64"/>
        <v>0</v>
      </c>
      <c r="AL686" s="108">
        <v>21698667</v>
      </c>
      <c r="AM686" s="108">
        <f t="shared" si="65"/>
        <v>3021333</v>
      </c>
      <c r="AN686" s="1" t="s">
        <v>2308</v>
      </c>
      <c r="AO686" s="108">
        <f t="shared" si="66"/>
        <v>0</v>
      </c>
      <c r="AP686" s="1"/>
      <c r="AQ686" s="1"/>
      <c r="AR686" s="1"/>
      <c r="AS686" s="1"/>
      <c r="AT686" s="1"/>
      <c r="AU686" s="211"/>
    </row>
    <row r="687" spans="1:47" ht="409.5" x14ac:dyDescent="0.2">
      <c r="A687" s="1">
        <v>197</v>
      </c>
      <c r="B687" s="1" t="str">
        <f t="shared" si="62"/>
        <v>3075-197</v>
      </c>
      <c r="C687" s="99" t="s">
        <v>2294</v>
      </c>
      <c r="D687" s="100" t="s">
        <v>2295</v>
      </c>
      <c r="E687" s="100" t="s">
        <v>2578</v>
      </c>
      <c r="F687" s="99" t="s">
        <v>2366</v>
      </c>
      <c r="G687" s="117" t="s">
        <v>2367</v>
      </c>
      <c r="H687" s="124" t="s">
        <v>2368</v>
      </c>
      <c r="I687" s="100" t="s">
        <v>2300</v>
      </c>
      <c r="J687" s="100" t="s">
        <v>2301</v>
      </c>
      <c r="K687" s="100">
        <v>801116</v>
      </c>
      <c r="L687" s="1" t="s">
        <v>2302</v>
      </c>
      <c r="M687" s="1" t="s">
        <v>493</v>
      </c>
      <c r="N687" s="1" t="s">
        <v>494</v>
      </c>
      <c r="O687" s="100" t="s">
        <v>2369</v>
      </c>
      <c r="P687" s="65" t="s">
        <v>2657</v>
      </c>
      <c r="Q687" s="106">
        <v>5036700</v>
      </c>
      <c r="R687" s="122">
        <v>1</v>
      </c>
      <c r="S687" s="104">
        <v>30220200</v>
      </c>
      <c r="T687" s="1" t="s">
        <v>1619</v>
      </c>
      <c r="U687" s="1" t="s">
        <v>2361</v>
      </c>
      <c r="V687" s="31" t="s">
        <v>516</v>
      </c>
      <c r="W687" s="105">
        <v>6</v>
      </c>
      <c r="X687" s="65" t="s">
        <v>2870</v>
      </c>
      <c r="Y687" s="31">
        <v>43104</v>
      </c>
      <c r="Z687" s="106">
        <v>30220200</v>
      </c>
      <c r="AA687" s="107" t="s">
        <v>2871</v>
      </c>
      <c r="AB687" s="20">
        <v>421</v>
      </c>
      <c r="AC687" s="31">
        <v>43111</v>
      </c>
      <c r="AD687" s="108">
        <v>30220200</v>
      </c>
      <c r="AE687" s="108">
        <f t="shared" si="63"/>
        <v>0</v>
      </c>
      <c r="AF687" s="20">
        <v>269</v>
      </c>
      <c r="AG687" s="31">
        <v>43119</v>
      </c>
      <c r="AH687" s="108">
        <v>30220200</v>
      </c>
      <c r="AI687" s="1" t="s">
        <v>2872</v>
      </c>
      <c r="AJ687" s="1">
        <v>239</v>
      </c>
      <c r="AK687" s="109">
        <f t="shared" si="64"/>
        <v>0</v>
      </c>
      <c r="AL687" s="108">
        <v>26694510</v>
      </c>
      <c r="AM687" s="108">
        <f t="shared" si="65"/>
        <v>3525690</v>
      </c>
      <c r="AN687" s="1" t="s">
        <v>2308</v>
      </c>
      <c r="AO687" s="108">
        <f t="shared" si="66"/>
        <v>0</v>
      </c>
      <c r="AP687" s="1"/>
      <c r="AQ687" s="1"/>
      <c r="AR687" s="1"/>
      <c r="AS687" s="1"/>
      <c r="AT687" s="1"/>
      <c r="AU687" s="211"/>
    </row>
    <row r="688" spans="1:47" ht="409.5" x14ac:dyDescent="0.2">
      <c r="A688" s="1">
        <v>198</v>
      </c>
      <c r="B688" s="1" t="str">
        <f t="shared" si="62"/>
        <v>3075-198</v>
      </c>
      <c r="C688" s="99" t="s">
        <v>2294</v>
      </c>
      <c r="D688" s="100" t="s">
        <v>2295</v>
      </c>
      <c r="E688" s="100" t="s">
        <v>2578</v>
      </c>
      <c r="F688" s="99" t="s">
        <v>2366</v>
      </c>
      <c r="G688" s="117" t="s">
        <v>2367</v>
      </c>
      <c r="H688" s="124" t="s">
        <v>2368</v>
      </c>
      <c r="I688" s="100" t="s">
        <v>2300</v>
      </c>
      <c r="J688" s="100" t="s">
        <v>2301</v>
      </c>
      <c r="K688" s="100">
        <v>801116</v>
      </c>
      <c r="L688" s="1" t="s">
        <v>2302</v>
      </c>
      <c r="M688" s="1" t="s">
        <v>493</v>
      </c>
      <c r="N688" s="1" t="s">
        <v>494</v>
      </c>
      <c r="O688" s="100" t="s">
        <v>2369</v>
      </c>
      <c r="P688" s="65" t="s">
        <v>2657</v>
      </c>
      <c r="Q688" s="106">
        <v>4120000</v>
      </c>
      <c r="R688" s="122">
        <v>1</v>
      </c>
      <c r="S688" s="104">
        <v>24720000</v>
      </c>
      <c r="T688" s="1" t="s">
        <v>1619</v>
      </c>
      <c r="U688" s="1" t="s">
        <v>2361</v>
      </c>
      <c r="V688" s="31" t="s">
        <v>516</v>
      </c>
      <c r="W688" s="105">
        <v>6</v>
      </c>
      <c r="X688" s="65" t="s">
        <v>2873</v>
      </c>
      <c r="Y688" s="31">
        <v>43104</v>
      </c>
      <c r="Z688" s="106">
        <v>24720000</v>
      </c>
      <c r="AA688" s="107" t="s">
        <v>2814</v>
      </c>
      <c r="AB688" s="20">
        <v>422</v>
      </c>
      <c r="AC688" s="31">
        <v>43111</v>
      </c>
      <c r="AD688" s="108">
        <v>24720000</v>
      </c>
      <c r="AE688" s="108">
        <f t="shared" si="63"/>
        <v>0</v>
      </c>
      <c r="AF688" s="20">
        <v>381</v>
      </c>
      <c r="AG688" s="31">
        <v>43124</v>
      </c>
      <c r="AH688" s="108">
        <v>24720000</v>
      </c>
      <c r="AI688" s="1" t="s">
        <v>2874</v>
      </c>
      <c r="AJ688" s="1">
        <v>359</v>
      </c>
      <c r="AK688" s="109">
        <f t="shared" si="64"/>
        <v>0</v>
      </c>
      <c r="AL688" s="108">
        <v>21424000</v>
      </c>
      <c r="AM688" s="108">
        <f t="shared" si="65"/>
        <v>3296000</v>
      </c>
      <c r="AN688" s="1" t="s">
        <v>2308</v>
      </c>
      <c r="AO688" s="108">
        <f t="shared" si="66"/>
        <v>0</v>
      </c>
      <c r="AP688" s="1"/>
      <c r="AQ688" s="1"/>
      <c r="AR688" s="1"/>
      <c r="AS688" s="1"/>
      <c r="AT688" s="1"/>
      <c r="AU688" s="211"/>
    </row>
    <row r="689" spans="1:47" ht="409.5" x14ac:dyDescent="0.2">
      <c r="A689" s="1">
        <v>199</v>
      </c>
      <c r="B689" s="1" t="str">
        <f t="shared" si="62"/>
        <v>3075-199</v>
      </c>
      <c r="C689" s="99" t="s">
        <v>2294</v>
      </c>
      <c r="D689" s="100" t="s">
        <v>2295</v>
      </c>
      <c r="E689" s="100" t="s">
        <v>2578</v>
      </c>
      <c r="F689" s="99" t="s">
        <v>2366</v>
      </c>
      <c r="G689" s="117" t="s">
        <v>2367</v>
      </c>
      <c r="H689" s="124" t="s">
        <v>2368</v>
      </c>
      <c r="I689" s="100" t="s">
        <v>2300</v>
      </c>
      <c r="J689" s="100" t="s">
        <v>2301</v>
      </c>
      <c r="K689" s="100">
        <v>801116</v>
      </c>
      <c r="L689" s="1" t="s">
        <v>2302</v>
      </c>
      <c r="M689" s="1" t="s">
        <v>493</v>
      </c>
      <c r="N689" s="1" t="s">
        <v>494</v>
      </c>
      <c r="O689" s="100" t="s">
        <v>2369</v>
      </c>
      <c r="P689" s="65" t="s">
        <v>2611</v>
      </c>
      <c r="Q689" s="106">
        <v>5665000</v>
      </c>
      <c r="R689" s="122">
        <v>1</v>
      </c>
      <c r="S689" s="104">
        <v>33990000</v>
      </c>
      <c r="T689" s="1" t="s">
        <v>1619</v>
      </c>
      <c r="U689" s="1" t="s">
        <v>2361</v>
      </c>
      <c r="V689" s="31" t="s">
        <v>516</v>
      </c>
      <c r="W689" s="105">
        <v>6</v>
      </c>
      <c r="X689" s="65" t="s">
        <v>2875</v>
      </c>
      <c r="Y689" s="31">
        <v>43104</v>
      </c>
      <c r="Z689" s="106">
        <v>33990000</v>
      </c>
      <c r="AA689" s="107" t="s">
        <v>2834</v>
      </c>
      <c r="AB689" s="20">
        <v>423</v>
      </c>
      <c r="AC689" s="31">
        <v>43111</v>
      </c>
      <c r="AD689" s="108">
        <v>33990000</v>
      </c>
      <c r="AE689" s="108">
        <f t="shared" si="63"/>
        <v>0</v>
      </c>
      <c r="AF689" s="20">
        <v>428</v>
      </c>
      <c r="AG689" s="31">
        <v>43124</v>
      </c>
      <c r="AH689" s="108">
        <v>33990000</v>
      </c>
      <c r="AI689" s="1" t="s">
        <v>2876</v>
      </c>
      <c r="AJ689" s="1">
        <v>363</v>
      </c>
      <c r="AK689" s="109">
        <f t="shared" si="64"/>
        <v>0</v>
      </c>
      <c r="AL689" s="108">
        <v>28702667</v>
      </c>
      <c r="AM689" s="108">
        <f t="shared" si="65"/>
        <v>5287333</v>
      </c>
      <c r="AN689" s="1" t="s">
        <v>2308</v>
      </c>
      <c r="AO689" s="108">
        <f t="shared" si="66"/>
        <v>0</v>
      </c>
      <c r="AP689" s="1"/>
      <c r="AQ689" s="1"/>
      <c r="AR689" s="1"/>
      <c r="AS689" s="1"/>
      <c r="AT689" s="1"/>
      <c r="AU689" s="211"/>
    </row>
    <row r="690" spans="1:47" ht="409.5" x14ac:dyDescent="0.2">
      <c r="A690" s="1">
        <v>200</v>
      </c>
      <c r="B690" s="1" t="str">
        <f t="shared" si="62"/>
        <v>3075-200</v>
      </c>
      <c r="C690" s="99" t="s">
        <v>2294</v>
      </c>
      <c r="D690" s="100" t="s">
        <v>2295</v>
      </c>
      <c r="E690" s="100" t="s">
        <v>2578</v>
      </c>
      <c r="F690" s="99" t="s">
        <v>2366</v>
      </c>
      <c r="G690" s="117" t="s">
        <v>2367</v>
      </c>
      <c r="H690" s="124" t="s">
        <v>2368</v>
      </c>
      <c r="I690" s="100" t="s">
        <v>2300</v>
      </c>
      <c r="J690" s="100" t="s">
        <v>2301</v>
      </c>
      <c r="K690" s="100">
        <v>801116</v>
      </c>
      <c r="L690" s="1" t="s">
        <v>2302</v>
      </c>
      <c r="M690" s="1" t="s">
        <v>493</v>
      </c>
      <c r="N690" s="1" t="s">
        <v>494</v>
      </c>
      <c r="O690" s="100" t="s">
        <v>2369</v>
      </c>
      <c r="P690" s="65" t="s">
        <v>2611</v>
      </c>
      <c r="Q690" s="106">
        <v>7210000</v>
      </c>
      <c r="R690" s="122">
        <v>1</v>
      </c>
      <c r="S690" s="104">
        <v>43260000</v>
      </c>
      <c r="T690" s="1" t="s">
        <v>1619</v>
      </c>
      <c r="U690" s="1" t="s">
        <v>2361</v>
      </c>
      <c r="V690" s="31" t="s">
        <v>516</v>
      </c>
      <c r="W690" s="105">
        <v>6</v>
      </c>
      <c r="X690" s="65" t="s">
        <v>2877</v>
      </c>
      <c r="Y690" s="31">
        <v>43104</v>
      </c>
      <c r="Z690" s="106">
        <v>43260000</v>
      </c>
      <c r="AA690" s="107" t="s">
        <v>2878</v>
      </c>
      <c r="AB690" s="20">
        <v>424</v>
      </c>
      <c r="AC690" s="31">
        <v>43111</v>
      </c>
      <c r="AD690" s="108">
        <v>43260000</v>
      </c>
      <c r="AE690" s="108">
        <f t="shared" si="63"/>
        <v>0</v>
      </c>
      <c r="AF690" s="20">
        <v>371</v>
      </c>
      <c r="AG690" s="31">
        <v>43124</v>
      </c>
      <c r="AH690" s="108">
        <v>43260000</v>
      </c>
      <c r="AI690" s="1" t="s">
        <v>2879</v>
      </c>
      <c r="AJ690" s="1">
        <v>325</v>
      </c>
      <c r="AK690" s="109">
        <f t="shared" si="64"/>
        <v>0</v>
      </c>
      <c r="AL690" s="108">
        <v>37732333</v>
      </c>
      <c r="AM690" s="108">
        <f t="shared" si="65"/>
        <v>5527667</v>
      </c>
      <c r="AN690" s="1" t="s">
        <v>2308</v>
      </c>
      <c r="AO690" s="108">
        <f t="shared" si="66"/>
        <v>0</v>
      </c>
      <c r="AP690" s="1"/>
      <c r="AQ690" s="1"/>
      <c r="AR690" s="1"/>
      <c r="AS690" s="1"/>
      <c r="AT690" s="1"/>
      <c r="AU690" s="211"/>
    </row>
    <row r="691" spans="1:47" ht="409.5" x14ac:dyDescent="0.2">
      <c r="A691" s="1">
        <v>201</v>
      </c>
      <c r="B691" s="1" t="str">
        <f t="shared" si="62"/>
        <v>3075-201</v>
      </c>
      <c r="C691" s="99" t="s">
        <v>2294</v>
      </c>
      <c r="D691" s="100" t="s">
        <v>2295</v>
      </c>
      <c r="E691" s="100" t="s">
        <v>2578</v>
      </c>
      <c r="F691" s="99" t="s">
        <v>2366</v>
      </c>
      <c r="G691" s="117" t="s">
        <v>2367</v>
      </c>
      <c r="H691" s="124" t="s">
        <v>2368</v>
      </c>
      <c r="I691" s="100" t="s">
        <v>2300</v>
      </c>
      <c r="J691" s="100" t="s">
        <v>2301</v>
      </c>
      <c r="K691" s="100">
        <v>801116</v>
      </c>
      <c r="L691" s="1" t="s">
        <v>2302</v>
      </c>
      <c r="M691" s="1" t="s">
        <v>493</v>
      </c>
      <c r="N691" s="1" t="s">
        <v>494</v>
      </c>
      <c r="O691" s="100" t="s">
        <v>2369</v>
      </c>
      <c r="P691" s="65" t="s">
        <v>2611</v>
      </c>
      <c r="Q691" s="106">
        <v>7210000</v>
      </c>
      <c r="R691" s="122">
        <v>1</v>
      </c>
      <c r="S691" s="104">
        <v>43260000</v>
      </c>
      <c r="T691" s="1" t="s">
        <v>1619</v>
      </c>
      <c r="U691" s="1" t="s">
        <v>2361</v>
      </c>
      <c r="V691" s="31" t="s">
        <v>516</v>
      </c>
      <c r="W691" s="105">
        <v>6</v>
      </c>
      <c r="X691" s="65" t="s">
        <v>2880</v>
      </c>
      <c r="Y691" s="31">
        <v>43104</v>
      </c>
      <c r="Z691" s="106">
        <v>43260000</v>
      </c>
      <c r="AA691" s="107" t="s">
        <v>2878</v>
      </c>
      <c r="AB691" s="20">
        <v>465</v>
      </c>
      <c r="AC691" s="31">
        <v>43112</v>
      </c>
      <c r="AD691" s="108">
        <v>43260000</v>
      </c>
      <c r="AE691" s="108">
        <f t="shared" si="63"/>
        <v>0</v>
      </c>
      <c r="AF691" s="20">
        <v>423</v>
      </c>
      <c r="AG691" s="31">
        <v>43124</v>
      </c>
      <c r="AH691" s="108">
        <v>43260000</v>
      </c>
      <c r="AI691" s="1" t="s">
        <v>2881</v>
      </c>
      <c r="AJ691" s="1">
        <v>366</v>
      </c>
      <c r="AK691" s="109">
        <f t="shared" si="64"/>
        <v>0</v>
      </c>
      <c r="AL691" s="108">
        <v>37492000</v>
      </c>
      <c r="AM691" s="108">
        <f t="shared" si="65"/>
        <v>5768000</v>
      </c>
      <c r="AN691" s="1" t="s">
        <v>2308</v>
      </c>
      <c r="AO691" s="108">
        <f t="shared" si="66"/>
        <v>0</v>
      </c>
      <c r="AP691" s="1"/>
      <c r="AQ691" s="1"/>
      <c r="AR691" s="1"/>
      <c r="AS691" s="1"/>
      <c r="AT691" s="1"/>
      <c r="AU691" s="211"/>
    </row>
    <row r="692" spans="1:47" ht="409.5" x14ac:dyDescent="0.2">
      <c r="A692" s="1">
        <v>202</v>
      </c>
      <c r="B692" s="1" t="str">
        <f t="shared" si="62"/>
        <v>3075-202</v>
      </c>
      <c r="C692" s="99" t="s">
        <v>2294</v>
      </c>
      <c r="D692" s="100" t="s">
        <v>2295</v>
      </c>
      <c r="E692" s="100" t="s">
        <v>2578</v>
      </c>
      <c r="F692" s="99" t="s">
        <v>2366</v>
      </c>
      <c r="G692" s="117" t="s">
        <v>2367</v>
      </c>
      <c r="H692" s="124" t="s">
        <v>2368</v>
      </c>
      <c r="I692" s="100" t="s">
        <v>2300</v>
      </c>
      <c r="J692" s="100" t="s">
        <v>2301</v>
      </c>
      <c r="K692" s="100">
        <v>801116</v>
      </c>
      <c r="L692" s="1" t="s">
        <v>2302</v>
      </c>
      <c r="M692" s="1" t="s">
        <v>493</v>
      </c>
      <c r="N692" s="1" t="s">
        <v>494</v>
      </c>
      <c r="O692" s="100" t="s">
        <v>2369</v>
      </c>
      <c r="P692" s="65" t="s">
        <v>2611</v>
      </c>
      <c r="Q692" s="106">
        <v>7210000</v>
      </c>
      <c r="R692" s="122">
        <v>1</v>
      </c>
      <c r="S692" s="104">
        <f>43260000-743160-6466840</f>
        <v>36050000</v>
      </c>
      <c r="T692" s="1" t="s">
        <v>1619</v>
      </c>
      <c r="U692" s="1" t="s">
        <v>2361</v>
      </c>
      <c r="V692" s="31" t="s">
        <v>516</v>
      </c>
      <c r="W692" s="105">
        <v>5</v>
      </c>
      <c r="X692" s="65" t="s">
        <v>2882</v>
      </c>
      <c r="Y692" s="31">
        <v>43104</v>
      </c>
      <c r="Z692" s="106">
        <v>36050000</v>
      </c>
      <c r="AA692" s="107" t="s">
        <v>2878</v>
      </c>
      <c r="AB692" s="20">
        <v>466</v>
      </c>
      <c r="AC692" s="31">
        <v>43112</v>
      </c>
      <c r="AD692" s="108">
        <v>36050000</v>
      </c>
      <c r="AE692" s="108">
        <f t="shared" si="63"/>
        <v>0</v>
      </c>
      <c r="AF692" s="20">
        <v>334</v>
      </c>
      <c r="AG692" s="31">
        <v>43123</v>
      </c>
      <c r="AH692" s="108">
        <v>36050000</v>
      </c>
      <c r="AI692" s="1" t="s">
        <v>2883</v>
      </c>
      <c r="AJ692" s="1">
        <v>339</v>
      </c>
      <c r="AK692" s="109">
        <f t="shared" si="64"/>
        <v>0</v>
      </c>
      <c r="AL692" s="108">
        <v>36050000</v>
      </c>
      <c r="AM692" s="108">
        <f t="shared" si="65"/>
        <v>0</v>
      </c>
      <c r="AN692" s="1" t="s">
        <v>2308</v>
      </c>
      <c r="AO692" s="108">
        <f t="shared" si="66"/>
        <v>0</v>
      </c>
      <c r="AP692" s="1"/>
      <c r="AQ692" s="1"/>
      <c r="AR692" s="1"/>
      <c r="AS692" s="1"/>
      <c r="AT692" s="1"/>
      <c r="AU692" s="211"/>
    </row>
    <row r="693" spans="1:47" ht="409.5" x14ac:dyDescent="0.2">
      <c r="A693" s="1">
        <v>203</v>
      </c>
      <c r="B693" s="1" t="str">
        <f t="shared" si="62"/>
        <v>3075-203</v>
      </c>
      <c r="C693" s="99" t="s">
        <v>2294</v>
      </c>
      <c r="D693" s="100" t="s">
        <v>2295</v>
      </c>
      <c r="E693" s="100" t="s">
        <v>2578</v>
      </c>
      <c r="F693" s="99" t="s">
        <v>2366</v>
      </c>
      <c r="G693" s="117" t="s">
        <v>2367</v>
      </c>
      <c r="H693" s="124" t="s">
        <v>2368</v>
      </c>
      <c r="I693" s="100" t="s">
        <v>2300</v>
      </c>
      <c r="J693" s="100" t="s">
        <v>2301</v>
      </c>
      <c r="K693" s="100">
        <v>801116</v>
      </c>
      <c r="L693" s="1" t="s">
        <v>2302</v>
      </c>
      <c r="M693" s="1" t="s">
        <v>493</v>
      </c>
      <c r="N693" s="1" t="s">
        <v>494</v>
      </c>
      <c r="O693" s="100" t="s">
        <v>2369</v>
      </c>
      <c r="P693" s="65" t="s">
        <v>2611</v>
      </c>
      <c r="Q693" s="106">
        <v>6180000</v>
      </c>
      <c r="R693" s="122">
        <v>1</v>
      </c>
      <c r="S693" s="104">
        <v>37080000</v>
      </c>
      <c r="T693" s="1" t="s">
        <v>1619</v>
      </c>
      <c r="U693" s="1" t="s">
        <v>2361</v>
      </c>
      <c r="V693" s="31" t="s">
        <v>516</v>
      </c>
      <c r="W693" s="105">
        <v>6</v>
      </c>
      <c r="X693" s="65" t="s">
        <v>2884</v>
      </c>
      <c r="Y693" s="31">
        <v>43104</v>
      </c>
      <c r="Z693" s="106">
        <v>37080000</v>
      </c>
      <c r="AA693" s="107" t="s">
        <v>2885</v>
      </c>
      <c r="AB693" s="20">
        <v>455</v>
      </c>
      <c r="AC693" s="31">
        <v>43111</v>
      </c>
      <c r="AD693" s="108">
        <v>37080000</v>
      </c>
      <c r="AE693" s="108">
        <f t="shared" si="63"/>
        <v>0</v>
      </c>
      <c r="AF693" s="20">
        <v>268</v>
      </c>
      <c r="AG693" s="31">
        <v>43119</v>
      </c>
      <c r="AH693" s="108">
        <v>37080000</v>
      </c>
      <c r="AI693" s="1" t="s">
        <v>2886</v>
      </c>
      <c r="AJ693" s="1">
        <v>238</v>
      </c>
      <c r="AK693" s="109">
        <f t="shared" si="64"/>
        <v>0</v>
      </c>
      <c r="AL693" s="108">
        <v>32754000</v>
      </c>
      <c r="AM693" s="108">
        <f t="shared" si="65"/>
        <v>4326000</v>
      </c>
      <c r="AN693" s="1" t="s">
        <v>2308</v>
      </c>
      <c r="AO693" s="108">
        <f t="shared" si="66"/>
        <v>0</v>
      </c>
      <c r="AP693" s="1"/>
      <c r="AQ693" s="1"/>
      <c r="AR693" s="1"/>
      <c r="AS693" s="1"/>
      <c r="AT693" s="1"/>
      <c r="AU693" s="211"/>
    </row>
    <row r="694" spans="1:47" ht="293.25" x14ac:dyDescent="0.2">
      <c r="A694" s="1">
        <v>204</v>
      </c>
      <c r="B694" s="1" t="str">
        <f t="shared" si="62"/>
        <v>3075-204</v>
      </c>
      <c r="C694" s="99" t="s">
        <v>2294</v>
      </c>
      <c r="D694" s="100" t="s">
        <v>2295</v>
      </c>
      <c r="E694" s="100" t="s">
        <v>2578</v>
      </c>
      <c r="F694" s="99" t="s">
        <v>2328</v>
      </c>
      <c r="G694" s="117" t="s">
        <v>2329</v>
      </c>
      <c r="H694" s="102" t="s">
        <v>2579</v>
      </c>
      <c r="I694" s="100" t="s">
        <v>2300</v>
      </c>
      <c r="J694" s="100" t="s">
        <v>2301</v>
      </c>
      <c r="K694" s="100" t="s">
        <v>50</v>
      </c>
      <c r="L694" s="1" t="s">
        <v>2302</v>
      </c>
      <c r="M694" s="1" t="s">
        <v>493</v>
      </c>
      <c r="N694" s="1" t="s">
        <v>494</v>
      </c>
      <c r="O694" s="100" t="s">
        <v>2369</v>
      </c>
      <c r="P694" s="1" t="s">
        <v>2887</v>
      </c>
      <c r="Q694" s="106">
        <v>54686940</v>
      </c>
      <c r="R694" s="122">
        <v>1</v>
      </c>
      <c r="S694" s="104">
        <v>54686940</v>
      </c>
      <c r="T694" s="1" t="s">
        <v>2323</v>
      </c>
      <c r="U694" s="1" t="s">
        <v>2323</v>
      </c>
      <c r="V694" s="31" t="s">
        <v>516</v>
      </c>
      <c r="W694" s="105" t="s">
        <v>50</v>
      </c>
      <c r="X694" s="123" t="s">
        <v>2888</v>
      </c>
      <c r="Y694" s="31">
        <v>43109</v>
      </c>
      <c r="Z694" s="106">
        <v>54686940</v>
      </c>
      <c r="AA694" s="107" t="s">
        <v>2889</v>
      </c>
      <c r="AB694" s="20">
        <v>370</v>
      </c>
      <c r="AC694" s="31">
        <v>43110</v>
      </c>
      <c r="AD694" s="108">
        <v>54686940</v>
      </c>
      <c r="AE694" s="109">
        <f t="shared" si="63"/>
        <v>0</v>
      </c>
      <c r="AF694" s="20">
        <v>511</v>
      </c>
      <c r="AG694" s="31">
        <v>43129</v>
      </c>
      <c r="AH694" s="108">
        <v>54686940</v>
      </c>
      <c r="AI694" s="1" t="s">
        <v>2890</v>
      </c>
      <c r="AJ694" s="1">
        <v>201</v>
      </c>
      <c r="AK694" s="109">
        <f t="shared" si="64"/>
        <v>0</v>
      </c>
      <c r="AL694" s="108">
        <v>54686940</v>
      </c>
      <c r="AM694" s="108">
        <f t="shared" si="65"/>
        <v>0</v>
      </c>
      <c r="AN694" s="1" t="s">
        <v>2308</v>
      </c>
      <c r="AO694" s="108">
        <f t="shared" si="66"/>
        <v>0</v>
      </c>
      <c r="AP694" s="1"/>
      <c r="AQ694" s="1"/>
      <c r="AR694" s="1"/>
      <c r="AS694" s="1"/>
      <c r="AT694" s="1"/>
      <c r="AU694" s="211"/>
    </row>
    <row r="695" spans="1:47" ht="293.25" x14ac:dyDescent="0.2">
      <c r="A695" s="1">
        <v>205</v>
      </c>
      <c r="B695" s="1" t="str">
        <f t="shared" si="62"/>
        <v>3075-205</v>
      </c>
      <c r="C695" s="99" t="s">
        <v>2294</v>
      </c>
      <c r="D695" s="100" t="s">
        <v>2295</v>
      </c>
      <c r="E695" s="100" t="s">
        <v>2578</v>
      </c>
      <c r="F695" s="99" t="s">
        <v>2328</v>
      </c>
      <c r="G695" s="117" t="s">
        <v>2329</v>
      </c>
      <c r="H695" s="102" t="s">
        <v>2579</v>
      </c>
      <c r="I695" s="100" t="s">
        <v>2300</v>
      </c>
      <c r="J695" s="100" t="s">
        <v>2301</v>
      </c>
      <c r="K695" s="100" t="s">
        <v>50</v>
      </c>
      <c r="L695" s="1" t="s">
        <v>2302</v>
      </c>
      <c r="M695" s="1" t="s">
        <v>493</v>
      </c>
      <c r="N695" s="1" t="s">
        <v>494</v>
      </c>
      <c r="O695" s="100" t="s">
        <v>2369</v>
      </c>
      <c r="P695" s="1" t="s">
        <v>2891</v>
      </c>
      <c r="Q695" s="106">
        <v>54686940</v>
      </c>
      <c r="R695" s="122">
        <v>1</v>
      </c>
      <c r="S695" s="104">
        <v>54686940</v>
      </c>
      <c r="T695" s="1" t="s">
        <v>2323</v>
      </c>
      <c r="U695" s="1" t="s">
        <v>2323</v>
      </c>
      <c r="V695" s="31" t="s">
        <v>516</v>
      </c>
      <c r="W695" s="105" t="s">
        <v>50</v>
      </c>
      <c r="X695" s="123" t="s">
        <v>2892</v>
      </c>
      <c r="Y695" s="31">
        <v>43109</v>
      </c>
      <c r="Z695" s="106">
        <v>54686940</v>
      </c>
      <c r="AA695" s="107" t="s">
        <v>2889</v>
      </c>
      <c r="AB695" s="20">
        <v>400</v>
      </c>
      <c r="AC695" s="31">
        <v>43110</v>
      </c>
      <c r="AD695" s="108">
        <v>54686940</v>
      </c>
      <c r="AE695" s="109">
        <f t="shared" si="63"/>
        <v>0</v>
      </c>
      <c r="AF695" s="20">
        <v>311</v>
      </c>
      <c r="AG695" s="31">
        <v>43122</v>
      </c>
      <c r="AH695" s="108">
        <v>54686940</v>
      </c>
      <c r="AI695" s="1" t="s">
        <v>2893</v>
      </c>
      <c r="AJ695" s="1">
        <v>34</v>
      </c>
      <c r="AK695" s="109">
        <f t="shared" si="64"/>
        <v>0</v>
      </c>
      <c r="AL695" s="108">
        <v>54686940</v>
      </c>
      <c r="AM695" s="108">
        <f t="shared" si="65"/>
        <v>0</v>
      </c>
      <c r="AN695" s="1" t="s">
        <v>2308</v>
      </c>
      <c r="AO695" s="108">
        <f t="shared" si="66"/>
        <v>0</v>
      </c>
      <c r="AP695" s="1"/>
      <c r="AQ695" s="1"/>
      <c r="AR695" s="1"/>
      <c r="AS695" s="1"/>
      <c r="AT695" s="1"/>
      <c r="AU695" s="211"/>
    </row>
    <row r="696" spans="1:47" ht="293.25" x14ac:dyDescent="0.2">
      <c r="A696" s="1">
        <v>206</v>
      </c>
      <c r="B696" s="1" t="str">
        <f t="shared" si="62"/>
        <v>3075-206</v>
      </c>
      <c r="C696" s="99" t="s">
        <v>2294</v>
      </c>
      <c r="D696" s="100" t="s">
        <v>2295</v>
      </c>
      <c r="E696" s="100" t="s">
        <v>2578</v>
      </c>
      <c r="F696" s="99" t="s">
        <v>2328</v>
      </c>
      <c r="G696" s="117" t="s">
        <v>2329</v>
      </c>
      <c r="H696" s="102" t="s">
        <v>2579</v>
      </c>
      <c r="I696" s="100" t="s">
        <v>2300</v>
      </c>
      <c r="J696" s="100" t="s">
        <v>2301</v>
      </c>
      <c r="K696" s="100" t="s">
        <v>50</v>
      </c>
      <c r="L696" s="1" t="s">
        <v>2302</v>
      </c>
      <c r="M696" s="1" t="s">
        <v>493</v>
      </c>
      <c r="N696" s="1" t="s">
        <v>494</v>
      </c>
      <c r="O696" s="100" t="s">
        <v>2369</v>
      </c>
      <c r="P696" s="1" t="s">
        <v>2894</v>
      </c>
      <c r="Q696" s="106">
        <v>54686940</v>
      </c>
      <c r="R696" s="122">
        <v>1</v>
      </c>
      <c r="S696" s="104">
        <v>54686940</v>
      </c>
      <c r="T696" s="1" t="s">
        <v>2323</v>
      </c>
      <c r="U696" s="1" t="s">
        <v>2323</v>
      </c>
      <c r="V696" s="31" t="s">
        <v>516</v>
      </c>
      <c r="W696" s="105" t="s">
        <v>50</v>
      </c>
      <c r="X696" s="123" t="s">
        <v>2895</v>
      </c>
      <c r="Y696" s="31">
        <v>43109</v>
      </c>
      <c r="Z696" s="106">
        <v>54686940</v>
      </c>
      <c r="AA696" s="107" t="s">
        <v>2889</v>
      </c>
      <c r="AB696" s="20">
        <v>377</v>
      </c>
      <c r="AC696" s="31">
        <v>43110</v>
      </c>
      <c r="AD696" s="108">
        <v>54686940</v>
      </c>
      <c r="AE696" s="109">
        <f t="shared" si="63"/>
        <v>0</v>
      </c>
      <c r="AF696" s="20">
        <v>327</v>
      </c>
      <c r="AG696" s="31">
        <v>43123</v>
      </c>
      <c r="AH696" s="108">
        <v>54686940</v>
      </c>
      <c r="AI696" s="1" t="s">
        <v>2896</v>
      </c>
      <c r="AJ696" s="1">
        <v>35</v>
      </c>
      <c r="AK696" s="109">
        <f t="shared" si="64"/>
        <v>0</v>
      </c>
      <c r="AL696" s="108">
        <v>54686940</v>
      </c>
      <c r="AM696" s="108">
        <f t="shared" si="65"/>
        <v>0</v>
      </c>
      <c r="AN696" s="1" t="s">
        <v>2308</v>
      </c>
      <c r="AO696" s="108">
        <f t="shared" si="66"/>
        <v>0</v>
      </c>
      <c r="AP696" s="1"/>
      <c r="AQ696" s="1"/>
      <c r="AR696" s="1"/>
      <c r="AS696" s="1"/>
      <c r="AT696" s="1"/>
      <c r="AU696" s="211"/>
    </row>
    <row r="697" spans="1:47" ht="293.25" x14ac:dyDescent="0.2">
      <c r="A697" s="1">
        <v>207</v>
      </c>
      <c r="B697" s="1" t="str">
        <f t="shared" si="62"/>
        <v>3075-207</v>
      </c>
      <c r="C697" s="99" t="s">
        <v>2294</v>
      </c>
      <c r="D697" s="100" t="s">
        <v>2295</v>
      </c>
      <c r="E697" s="100" t="s">
        <v>2578</v>
      </c>
      <c r="F697" s="99" t="s">
        <v>2328</v>
      </c>
      <c r="G697" s="117" t="s">
        <v>2329</v>
      </c>
      <c r="H697" s="102" t="s">
        <v>2579</v>
      </c>
      <c r="I697" s="100" t="s">
        <v>2300</v>
      </c>
      <c r="J697" s="100" t="s">
        <v>2301</v>
      </c>
      <c r="K697" s="100" t="s">
        <v>50</v>
      </c>
      <c r="L697" s="1" t="s">
        <v>2302</v>
      </c>
      <c r="M697" s="1" t="s">
        <v>493</v>
      </c>
      <c r="N697" s="1" t="s">
        <v>494</v>
      </c>
      <c r="O697" s="100" t="s">
        <v>2369</v>
      </c>
      <c r="P697" s="1" t="s">
        <v>2897</v>
      </c>
      <c r="Q697" s="106">
        <v>54686940</v>
      </c>
      <c r="R697" s="122">
        <v>1</v>
      </c>
      <c r="S697" s="104">
        <v>54686940</v>
      </c>
      <c r="T697" s="1" t="s">
        <v>2323</v>
      </c>
      <c r="U697" s="1" t="s">
        <v>2323</v>
      </c>
      <c r="V697" s="31" t="s">
        <v>620</v>
      </c>
      <c r="W697" s="105" t="s">
        <v>50</v>
      </c>
      <c r="X697" s="123" t="s">
        <v>2898</v>
      </c>
      <c r="Y697" s="31">
        <v>43109</v>
      </c>
      <c r="Z697" s="106">
        <v>54686940</v>
      </c>
      <c r="AA697" s="107" t="s">
        <v>2889</v>
      </c>
      <c r="AB697" s="20">
        <v>397</v>
      </c>
      <c r="AC697" s="31">
        <v>43110</v>
      </c>
      <c r="AD697" s="108">
        <v>54686940</v>
      </c>
      <c r="AE697" s="109">
        <f t="shared" si="63"/>
        <v>0</v>
      </c>
      <c r="AF697" s="20">
        <v>1332</v>
      </c>
      <c r="AG697" s="31">
        <v>43144</v>
      </c>
      <c r="AH697" s="108">
        <v>54686940</v>
      </c>
      <c r="AI697" s="1" t="s">
        <v>2899</v>
      </c>
      <c r="AJ697" s="1">
        <v>1102</v>
      </c>
      <c r="AK697" s="109">
        <f t="shared" si="64"/>
        <v>0</v>
      </c>
      <c r="AL697" s="108">
        <v>54686940</v>
      </c>
      <c r="AM697" s="108">
        <f t="shared" si="65"/>
        <v>0</v>
      </c>
      <c r="AN697" s="1" t="s">
        <v>2308</v>
      </c>
      <c r="AO697" s="108">
        <f t="shared" si="66"/>
        <v>0</v>
      </c>
      <c r="AP697" s="1"/>
      <c r="AQ697" s="1"/>
      <c r="AR697" s="1"/>
      <c r="AS697" s="1"/>
      <c r="AT697" s="1"/>
      <c r="AU697" s="211"/>
    </row>
    <row r="698" spans="1:47" ht="293.25" x14ac:dyDescent="0.2">
      <c r="A698" s="1">
        <v>208</v>
      </c>
      <c r="B698" s="1" t="str">
        <f t="shared" si="62"/>
        <v>3075-208</v>
      </c>
      <c r="C698" s="99" t="s">
        <v>2294</v>
      </c>
      <c r="D698" s="100" t="s">
        <v>2295</v>
      </c>
      <c r="E698" s="100" t="s">
        <v>2578</v>
      </c>
      <c r="F698" s="99" t="s">
        <v>2328</v>
      </c>
      <c r="G698" s="117" t="s">
        <v>2329</v>
      </c>
      <c r="H698" s="102" t="s">
        <v>2579</v>
      </c>
      <c r="I698" s="100" t="s">
        <v>2300</v>
      </c>
      <c r="J698" s="100" t="s">
        <v>2301</v>
      </c>
      <c r="K698" s="100" t="s">
        <v>50</v>
      </c>
      <c r="L698" s="1" t="s">
        <v>2302</v>
      </c>
      <c r="M698" s="1" t="s">
        <v>493</v>
      </c>
      <c r="N698" s="1" t="s">
        <v>494</v>
      </c>
      <c r="O698" s="100" t="s">
        <v>2369</v>
      </c>
      <c r="P698" s="1" t="s">
        <v>2900</v>
      </c>
      <c r="Q698" s="106">
        <v>54686940</v>
      </c>
      <c r="R698" s="122">
        <v>1</v>
      </c>
      <c r="S698" s="104">
        <v>54686940</v>
      </c>
      <c r="T698" s="1" t="s">
        <v>2323</v>
      </c>
      <c r="U698" s="1" t="s">
        <v>2323</v>
      </c>
      <c r="V698" s="31" t="s">
        <v>516</v>
      </c>
      <c r="W698" s="105" t="s">
        <v>50</v>
      </c>
      <c r="X698" s="123" t="s">
        <v>2901</v>
      </c>
      <c r="Y698" s="31">
        <v>43109</v>
      </c>
      <c r="Z698" s="106">
        <v>54686940</v>
      </c>
      <c r="AA698" s="107" t="s">
        <v>2889</v>
      </c>
      <c r="AB698" s="20">
        <v>426</v>
      </c>
      <c r="AC698" s="31">
        <v>43111</v>
      </c>
      <c r="AD698" s="108">
        <v>54686940</v>
      </c>
      <c r="AE698" s="109">
        <f t="shared" si="63"/>
        <v>0</v>
      </c>
      <c r="AF698" s="20">
        <v>509</v>
      </c>
      <c r="AG698" s="31">
        <v>43129</v>
      </c>
      <c r="AH698" s="108">
        <v>54686940</v>
      </c>
      <c r="AI698" s="1" t="s">
        <v>2902</v>
      </c>
      <c r="AJ698" s="1">
        <v>202</v>
      </c>
      <c r="AK698" s="109">
        <f t="shared" si="64"/>
        <v>0</v>
      </c>
      <c r="AL698" s="108">
        <v>54686940</v>
      </c>
      <c r="AM698" s="108">
        <f t="shared" si="65"/>
        <v>0</v>
      </c>
      <c r="AN698" s="1" t="s">
        <v>2308</v>
      </c>
      <c r="AO698" s="108">
        <f t="shared" si="66"/>
        <v>0</v>
      </c>
      <c r="AP698" s="1"/>
      <c r="AQ698" s="1"/>
      <c r="AR698" s="1"/>
      <c r="AS698" s="1"/>
      <c r="AT698" s="1"/>
      <c r="AU698" s="211"/>
    </row>
    <row r="699" spans="1:47" ht="293.25" x14ac:dyDescent="0.2">
      <c r="A699" s="1">
        <v>209</v>
      </c>
      <c r="B699" s="1" t="str">
        <f t="shared" si="62"/>
        <v>3075-209</v>
      </c>
      <c r="C699" s="99" t="s">
        <v>2294</v>
      </c>
      <c r="D699" s="100" t="s">
        <v>2295</v>
      </c>
      <c r="E699" s="100" t="s">
        <v>2578</v>
      </c>
      <c r="F699" s="99" t="s">
        <v>2328</v>
      </c>
      <c r="G699" s="117" t="s">
        <v>2329</v>
      </c>
      <c r="H699" s="102" t="s">
        <v>2579</v>
      </c>
      <c r="I699" s="100" t="s">
        <v>2300</v>
      </c>
      <c r="J699" s="100" t="s">
        <v>2301</v>
      </c>
      <c r="K699" s="100" t="s">
        <v>50</v>
      </c>
      <c r="L699" s="1" t="s">
        <v>2302</v>
      </c>
      <c r="M699" s="1" t="s">
        <v>493</v>
      </c>
      <c r="N699" s="1" t="s">
        <v>494</v>
      </c>
      <c r="O699" s="100" t="s">
        <v>2369</v>
      </c>
      <c r="P699" s="1" t="s">
        <v>2903</v>
      </c>
      <c r="Q699" s="106">
        <v>54686940</v>
      </c>
      <c r="R699" s="122">
        <v>1</v>
      </c>
      <c r="S699" s="104">
        <v>54686940</v>
      </c>
      <c r="T699" s="1" t="s">
        <v>2323</v>
      </c>
      <c r="U699" s="1" t="s">
        <v>2323</v>
      </c>
      <c r="V699" s="31" t="s">
        <v>516</v>
      </c>
      <c r="W699" s="105" t="s">
        <v>50</v>
      </c>
      <c r="X699" s="123" t="s">
        <v>2904</v>
      </c>
      <c r="Y699" s="31">
        <v>43109</v>
      </c>
      <c r="Z699" s="106">
        <v>54686940</v>
      </c>
      <c r="AA699" s="107" t="s">
        <v>2889</v>
      </c>
      <c r="AB699" s="20">
        <v>428</v>
      </c>
      <c r="AC699" s="31">
        <v>43111</v>
      </c>
      <c r="AD699" s="108">
        <v>54686940</v>
      </c>
      <c r="AE699" s="109">
        <f t="shared" si="63"/>
        <v>0</v>
      </c>
      <c r="AF699" s="20">
        <v>328</v>
      </c>
      <c r="AG699" s="31">
        <v>43123</v>
      </c>
      <c r="AH699" s="108">
        <v>54686940</v>
      </c>
      <c r="AI699" s="1" t="s">
        <v>2905</v>
      </c>
      <c r="AJ699" s="1">
        <v>33</v>
      </c>
      <c r="AK699" s="109">
        <f t="shared" si="64"/>
        <v>0</v>
      </c>
      <c r="AL699" s="108">
        <v>54686940</v>
      </c>
      <c r="AM699" s="108">
        <f t="shared" si="65"/>
        <v>0</v>
      </c>
      <c r="AN699" s="1" t="s">
        <v>2308</v>
      </c>
      <c r="AO699" s="108">
        <f t="shared" si="66"/>
        <v>0</v>
      </c>
      <c r="AP699" s="1"/>
      <c r="AQ699" s="1"/>
      <c r="AR699" s="1"/>
      <c r="AS699" s="1"/>
      <c r="AT699" s="1"/>
      <c r="AU699" s="211"/>
    </row>
    <row r="700" spans="1:47" ht="293.25" x14ac:dyDescent="0.2">
      <c r="A700" s="1">
        <v>210</v>
      </c>
      <c r="B700" s="1" t="str">
        <f t="shared" si="62"/>
        <v>3075-210</v>
      </c>
      <c r="C700" s="99" t="s">
        <v>2294</v>
      </c>
      <c r="D700" s="100" t="s">
        <v>2295</v>
      </c>
      <c r="E700" s="100" t="s">
        <v>2578</v>
      </c>
      <c r="F700" s="99" t="s">
        <v>2328</v>
      </c>
      <c r="G700" s="117" t="s">
        <v>2329</v>
      </c>
      <c r="H700" s="102" t="s">
        <v>2579</v>
      </c>
      <c r="I700" s="100" t="s">
        <v>2300</v>
      </c>
      <c r="J700" s="100" t="s">
        <v>2301</v>
      </c>
      <c r="K700" s="100" t="s">
        <v>50</v>
      </c>
      <c r="L700" s="1" t="s">
        <v>2302</v>
      </c>
      <c r="M700" s="1" t="s">
        <v>493</v>
      </c>
      <c r="N700" s="1" t="s">
        <v>494</v>
      </c>
      <c r="O700" s="100" t="s">
        <v>2369</v>
      </c>
      <c r="P700" s="1" t="s">
        <v>2906</v>
      </c>
      <c r="Q700" s="106">
        <v>54686940</v>
      </c>
      <c r="R700" s="122">
        <v>1</v>
      </c>
      <c r="S700" s="104">
        <v>54686940</v>
      </c>
      <c r="T700" s="1" t="s">
        <v>2323</v>
      </c>
      <c r="U700" s="1" t="s">
        <v>2323</v>
      </c>
      <c r="V700" s="31" t="s">
        <v>516</v>
      </c>
      <c r="W700" s="105" t="s">
        <v>50</v>
      </c>
      <c r="X700" s="123" t="s">
        <v>2907</v>
      </c>
      <c r="Y700" s="31">
        <v>43109</v>
      </c>
      <c r="Z700" s="106">
        <v>54686940</v>
      </c>
      <c r="AA700" s="107" t="s">
        <v>2889</v>
      </c>
      <c r="AB700" s="20">
        <v>427</v>
      </c>
      <c r="AC700" s="31">
        <v>43111</v>
      </c>
      <c r="AD700" s="108">
        <v>54686940</v>
      </c>
      <c r="AE700" s="109">
        <f t="shared" si="63"/>
        <v>0</v>
      </c>
      <c r="AF700" s="20">
        <v>305</v>
      </c>
      <c r="AG700" s="31">
        <v>43122</v>
      </c>
      <c r="AH700" s="108">
        <v>54686940</v>
      </c>
      <c r="AI700" s="1" t="s">
        <v>2908</v>
      </c>
      <c r="AJ700" s="1">
        <v>36</v>
      </c>
      <c r="AK700" s="109">
        <f t="shared" si="64"/>
        <v>0</v>
      </c>
      <c r="AL700" s="108">
        <v>54686940</v>
      </c>
      <c r="AM700" s="108">
        <f t="shared" si="65"/>
        <v>0</v>
      </c>
      <c r="AN700" s="1" t="s">
        <v>2308</v>
      </c>
      <c r="AO700" s="108">
        <f t="shared" si="66"/>
        <v>0</v>
      </c>
      <c r="AP700" s="1"/>
      <c r="AQ700" s="1"/>
      <c r="AR700" s="1"/>
      <c r="AS700" s="1"/>
      <c r="AT700" s="1"/>
      <c r="AU700" s="211"/>
    </row>
    <row r="701" spans="1:47" ht="293.25" x14ac:dyDescent="0.2">
      <c r="A701" s="1">
        <v>211</v>
      </c>
      <c r="B701" s="1" t="str">
        <f t="shared" si="62"/>
        <v>3075-211</v>
      </c>
      <c r="C701" s="99" t="s">
        <v>2294</v>
      </c>
      <c r="D701" s="100" t="s">
        <v>2295</v>
      </c>
      <c r="E701" s="100" t="s">
        <v>2578</v>
      </c>
      <c r="F701" s="99" t="s">
        <v>2328</v>
      </c>
      <c r="G701" s="117" t="s">
        <v>2329</v>
      </c>
      <c r="H701" s="102" t="s">
        <v>2579</v>
      </c>
      <c r="I701" s="100" t="s">
        <v>2300</v>
      </c>
      <c r="J701" s="100" t="s">
        <v>2301</v>
      </c>
      <c r="K701" s="100" t="s">
        <v>50</v>
      </c>
      <c r="L701" s="1" t="s">
        <v>2302</v>
      </c>
      <c r="M701" s="1" t="s">
        <v>493</v>
      </c>
      <c r="N701" s="1" t="s">
        <v>494</v>
      </c>
      <c r="O701" s="100" t="s">
        <v>2369</v>
      </c>
      <c r="P701" s="1" t="s">
        <v>2909</v>
      </c>
      <c r="Q701" s="106">
        <v>54686940</v>
      </c>
      <c r="R701" s="122">
        <v>1</v>
      </c>
      <c r="S701" s="104">
        <v>54686940</v>
      </c>
      <c r="T701" s="1" t="s">
        <v>2323</v>
      </c>
      <c r="U701" s="1" t="s">
        <v>2323</v>
      </c>
      <c r="V701" s="31" t="s">
        <v>516</v>
      </c>
      <c r="W701" s="105" t="s">
        <v>50</v>
      </c>
      <c r="X701" s="123" t="s">
        <v>2910</v>
      </c>
      <c r="Y701" s="31">
        <v>43109</v>
      </c>
      <c r="Z701" s="106">
        <v>54686940</v>
      </c>
      <c r="AA701" s="107" t="s">
        <v>2889</v>
      </c>
      <c r="AB701" s="20">
        <v>373</v>
      </c>
      <c r="AC701" s="31">
        <v>43110</v>
      </c>
      <c r="AD701" s="108">
        <v>54686940</v>
      </c>
      <c r="AE701" s="109">
        <f t="shared" si="63"/>
        <v>0</v>
      </c>
      <c r="AF701" s="20">
        <v>422</v>
      </c>
      <c r="AG701" s="31">
        <v>43124</v>
      </c>
      <c r="AH701" s="108">
        <v>54686940</v>
      </c>
      <c r="AI701" s="1" t="s">
        <v>2911</v>
      </c>
      <c r="AJ701" s="1">
        <v>100</v>
      </c>
      <c r="AK701" s="109">
        <f t="shared" si="64"/>
        <v>0</v>
      </c>
      <c r="AL701" s="108">
        <v>54686940</v>
      </c>
      <c r="AM701" s="108">
        <f t="shared" si="65"/>
        <v>0</v>
      </c>
      <c r="AN701" s="1" t="s">
        <v>2308</v>
      </c>
      <c r="AO701" s="108">
        <f t="shared" si="66"/>
        <v>0</v>
      </c>
      <c r="AP701" s="1"/>
      <c r="AQ701" s="1"/>
      <c r="AR701" s="1"/>
      <c r="AS701" s="1"/>
      <c r="AT701" s="1"/>
      <c r="AU701" s="211"/>
    </row>
    <row r="702" spans="1:47" ht="293.25" x14ac:dyDescent="0.2">
      <c r="A702" s="1">
        <v>212</v>
      </c>
      <c r="B702" s="1" t="str">
        <f t="shared" si="62"/>
        <v>3075-212</v>
      </c>
      <c r="C702" s="99" t="s">
        <v>2294</v>
      </c>
      <c r="D702" s="100" t="s">
        <v>2295</v>
      </c>
      <c r="E702" s="100" t="s">
        <v>2578</v>
      </c>
      <c r="F702" s="99" t="s">
        <v>2328</v>
      </c>
      <c r="G702" s="117" t="s">
        <v>2329</v>
      </c>
      <c r="H702" s="102" t="s">
        <v>2579</v>
      </c>
      <c r="I702" s="100" t="s">
        <v>2300</v>
      </c>
      <c r="J702" s="100" t="s">
        <v>2301</v>
      </c>
      <c r="K702" s="100" t="s">
        <v>50</v>
      </c>
      <c r="L702" s="1" t="s">
        <v>2302</v>
      </c>
      <c r="M702" s="1" t="s">
        <v>493</v>
      </c>
      <c r="N702" s="1" t="s">
        <v>494</v>
      </c>
      <c r="O702" s="100" t="s">
        <v>2369</v>
      </c>
      <c r="P702" s="1" t="s">
        <v>2912</v>
      </c>
      <c r="Q702" s="106">
        <v>54686940</v>
      </c>
      <c r="R702" s="122">
        <v>1</v>
      </c>
      <c r="S702" s="104">
        <v>54686940</v>
      </c>
      <c r="T702" s="1" t="s">
        <v>2323</v>
      </c>
      <c r="U702" s="1" t="s">
        <v>2323</v>
      </c>
      <c r="V702" s="31" t="s">
        <v>516</v>
      </c>
      <c r="W702" s="105" t="s">
        <v>50</v>
      </c>
      <c r="X702" s="123" t="s">
        <v>2913</v>
      </c>
      <c r="Y702" s="31">
        <v>43109</v>
      </c>
      <c r="Z702" s="106">
        <v>54686940</v>
      </c>
      <c r="AA702" s="107" t="s">
        <v>2889</v>
      </c>
      <c r="AB702" s="20">
        <v>378</v>
      </c>
      <c r="AC702" s="31">
        <v>43110</v>
      </c>
      <c r="AD702" s="108">
        <v>54686940</v>
      </c>
      <c r="AE702" s="109">
        <f t="shared" si="63"/>
        <v>0</v>
      </c>
      <c r="AF702" s="20">
        <v>424</v>
      </c>
      <c r="AG702" s="31">
        <v>43124</v>
      </c>
      <c r="AH702" s="108">
        <v>54686940</v>
      </c>
      <c r="AI702" s="1" t="s">
        <v>2914</v>
      </c>
      <c r="AJ702" s="1">
        <v>101</v>
      </c>
      <c r="AK702" s="109">
        <f t="shared" si="64"/>
        <v>0</v>
      </c>
      <c r="AL702" s="108">
        <v>54686940</v>
      </c>
      <c r="AM702" s="108">
        <f t="shared" si="65"/>
        <v>0</v>
      </c>
      <c r="AN702" s="1" t="s">
        <v>2308</v>
      </c>
      <c r="AO702" s="108">
        <f t="shared" si="66"/>
        <v>0</v>
      </c>
      <c r="AP702" s="1"/>
      <c r="AQ702" s="1"/>
      <c r="AR702" s="1"/>
      <c r="AS702" s="1"/>
      <c r="AT702" s="1"/>
      <c r="AU702" s="211"/>
    </row>
    <row r="703" spans="1:47" ht="293.25" x14ac:dyDescent="0.2">
      <c r="A703" s="1">
        <v>213</v>
      </c>
      <c r="B703" s="1" t="str">
        <f t="shared" si="62"/>
        <v>3075-213</v>
      </c>
      <c r="C703" s="99" t="s">
        <v>2294</v>
      </c>
      <c r="D703" s="100" t="s">
        <v>2295</v>
      </c>
      <c r="E703" s="100" t="s">
        <v>2578</v>
      </c>
      <c r="F703" s="99" t="s">
        <v>2328</v>
      </c>
      <c r="G703" s="117" t="s">
        <v>2329</v>
      </c>
      <c r="H703" s="102" t="s">
        <v>2579</v>
      </c>
      <c r="I703" s="100" t="s">
        <v>2300</v>
      </c>
      <c r="J703" s="100" t="s">
        <v>2301</v>
      </c>
      <c r="K703" s="100" t="s">
        <v>50</v>
      </c>
      <c r="L703" s="1" t="s">
        <v>2302</v>
      </c>
      <c r="M703" s="1" t="s">
        <v>493</v>
      </c>
      <c r="N703" s="1" t="s">
        <v>494</v>
      </c>
      <c r="O703" s="100" t="s">
        <v>2369</v>
      </c>
      <c r="P703" s="1" t="s">
        <v>2915</v>
      </c>
      <c r="Q703" s="106">
        <v>54686940</v>
      </c>
      <c r="R703" s="122">
        <v>1</v>
      </c>
      <c r="S703" s="104">
        <v>54686940</v>
      </c>
      <c r="T703" s="1" t="s">
        <v>2323</v>
      </c>
      <c r="U703" s="1" t="s">
        <v>2323</v>
      </c>
      <c r="V703" s="31" t="s">
        <v>516</v>
      </c>
      <c r="W703" s="105" t="s">
        <v>50</v>
      </c>
      <c r="X703" s="123" t="s">
        <v>2916</v>
      </c>
      <c r="Y703" s="31">
        <v>43111</v>
      </c>
      <c r="Z703" s="106">
        <v>54686940</v>
      </c>
      <c r="AA703" s="107" t="s">
        <v>2889</v>
      </c>
      <c r="AB703" s="20">
        <v>474</v>
      </c>
      <c r="AC703" s="31">
        <v>43112</v>
      </c>
      <c r="AD703" s="108">
        <v>54686940</v>
      </c>
      <c r="AE703" s="109">
        <f t="shared" si="63"/>
        <v>0</v>
      </c>
      <c r="AF703" s="20">
        <v>510</v>
      </c>
      <c r="AG703" s="31">
        <v>43129</v>
      </c>
      <c r="AH703" s="108">
        <v>54686940</v>
      </c>
      <c r="AI703" s="1" t="s">
        <v>2917</v>
      </c>
      <c r="AJ703" s="1">
        <v>203</v>
      </c>
      <c r="AK703" s="109">
        <f t="shared" si="64"/>
        <v>0</v>
      </c>
      <c r="AL703" s="108">
        <v>54686940</v>
      </c>
      <c r="AM703" s="108">
        <f t="shared" si="65"/>
        <v>0</v>
      </c>
      <c r="AN703" s="1" t="s">
        <v>2308</v>
      </c>
      <c r="AO703" s="108">
        <f t="shared" si="66"/>
        <v>0</v>
      </c>
      <c r="AP703" s="1"/>
      <c r="AQ703" s="1"/>
      <c r="AR703" s="1"/>
      <c r="AS703" s="1"/>
      <c r="AT703" s="1"/>
      <c r="AU703" s="211"/>
    </row>
    <row r="704" spans="1:47" ht="293.25" x14ac:dyDescent="0.2">
      <c r="A704" s="1">
        <v>214</v>
      </c>
      <c r="B704" s="1" t="str">
        <f t="shared" si="62"/>
        <v>3075-214</v>
      </c>
      <c r="C704" s="99" t="s">
        <v>2294</v>
      </c>
      <c r="D704" s="100" t="s">
        <v>2295</v>
      </c>
      <c r="E704" s="100" t="s">
        <v>2578</v>
      </c>
      <c r="F704" s="99" t="s">
        <v>2328</v>
      </c>
      <c r="G704" s="117" t="s">
        <v>2329</v>
      </c>
      <c r="H704" s="102" t="s">
        <v>2579</v>
      </c>
      <c r="I704" s="100" t="s">
        <v>2300</v>
      </c>
      <c r="J704" s="100" t="s">
        <v>2301</v>
      </c>
      <c r="K704" s="100" t="s">
        <v>50</v>
      </c>
      <c r="L704" s="1" t="s">
        <v>2302</v>
      </c>
      <c r="M704" s="1" t="s">
        <v>493</v>
      </c>
      <c r="N704" s="1" t="s">
        <v>494</v>
      </c>
      <c r="O704" s="100" t="s">
        <v>2369</v>
      </c>
      <c r="P704" s="1" t="s">
        <v>2918</v>
      </c>
      <c r="Q704" s="106">
        <v>54686940</v>
      </c>
      <c r="R704" s="122">
        <v>1</v>
      </c>
      <c r="S704" s="104">
        <v>54686940</v>
      </c>
      <c r="T704" s="1" t="s">
        <v>2323</v>
      </c>
      <c r="U704" s="1" t="s">
        <v>2323</v>
      </c>
      <c r="V704" s="31" t="s">
        <v>620</v>
      </c>
      <c r="W704" s="105" t="s">
        <v>50</v>
      </c>
      <c r="X704" s="123" t="s">
        <v>2919</v>
      </c>
      <c r="Y704" s="31">
        <v>43111</v>
      </c>
      <c r="Z704" s="106">
        <v>54686940</v>
      </c>
      <c r="AA704" s="107" t="s">
        <v>2889</v>
      </c>
      <c r="AB704" s="20">
        <v>475</v>
      </c>
      <c r="AC704" s="31">
        <v>43112</v>
      </c>
      <c r="AD704" s="108">
        <v>54686940</v>
      </c>
      <c r="AE704" s="109">
        <f t="shared" si="63"/>
        <v>0</v>
      </c>
      <c r="AF704" s="20">
        <v>522</v>
      </c>
      <c r="AG704" s="31">
        <v>43132</v>
      </c>
      <c r="AH704" s="108">
        <v>54686940</v>
      </c>
      <c r="AI704" s="1" t="s">
        <v>2920</v>
      </c>
      <c r="AJ704" s="1">
        <v>339</v>
      </c>
      <c r="AK704" s="109">
        <f t="shared" si="64"/>
        <v>0</v>
      </c>
      <c r="AL704" s="108">
        <v>54686940</v>
      </c>
      <c r="AM704" s="108">
        <f t="shared" si="65"/>
        <v>0</v>
      </c>
      <c r="AN704" s="1" t="s">
        <v>2308</v>
      </c>
      <c r="AO704" s="108">
        <f t="shared" si="66"/>
        <v>0</v>
      </c>
      <c r="AP704" s="1"/>
      <c r="AQ704" s="1"/>
      <c r="AR704" s="1"/>
      <c r="AS704" s="1"/>
      <c r="AT704" s="1"/>
      <c r="AU704" s="211"/>
    </row>
    <row r="705" spans="1:47" ht="293.25" x14ac:dyDescent="0.2">
      <c r="A705" s="1">
        <v>215</v>
      </c>
      <c r="B705" s="1" t="str">
        <f t="shared" si="62"/>
        <v>3075-215</v>
      </c>
      <c r="C705" s="99" t="s">
        <v>2294</v>
      </c>
      <c r="D705" s="100" t="s">
        <v>2295</v>
      </c>
      <c r="E705" s="100" t="s">
        <v>2578</v>
      </c>
      <c r="F705" s="99" t="s">
        <v>2328</v>
      </c>
      <c r="G705" s="117" t="s">
        <v>2329</v>
      </c>
      <c r="H705" s="102" t="s">
        <v>2579</v>
      </c>
      <c r="I705" s="100" t="s">
        <v>2300</v>
      </c>
      <c r="J705" s="100" t="s">
        <v>2301</v>
      </c>
      <c r="K705" s="100" t="s">
        <v>50</v>
      </c>
      <c r="L705" s="1" t="s">
        <v>2302</v>
      </c>
      <c r="M705" s="1" t="s">
        <v>493</v>
      </c>
      <c r="N705" s="1" t="s">
        <v>494</v>
      </c>
      <c r="O705" s="100" t="s">
        <v>2369</v>
      </c>
      <c r="P705" s="1" t="s">
        <v>2921</v>
      </c>
      <c r="Q705" s="106">
        <v>54686940</v>
      </c>
      <c r="R705" s="122">
        <v>1</v>
      </c>
      <c r="S705" s="104">
        <v>54686940</v>
      </c>
      <c r="T705" s="1" t="s">
        <v>2323</v>
      </c>
      <c r="U705" s="1" t="s">
        <v>2323</v>
      </c>
      <c r="V705" s="31" t="s">
        <v>620</v>
      </c>
      <c r="W705" s="105" t="s">
        <v>50</v>
      </c>
      <c r="X705" s="123" t="s">
        <v>2922</v>
      </c>
      <c r="Y705" s="31">
        <v>43111</v>
      </c>
      <c r="Z705" s="106">
        <v>54686940</v>
      </c>
      <c r="AA705" s="107" t="s">
        <v>2889</v>
      </c>
      <c r="AB705" s="20">
        <v>478</v>
      </c>
      <c r="AC705" s="31">
        <v>43112</v>
      </c>
      <c r="AD705" s="108">
        <v>54686940</v>
      </c>
      <c r="AE705" s="109">
        <f t="shared" si="63"/>
        <v>0</v>
      </c>
      <c r="AF705" s="20">
        <v>520</v>
      </c>
      <c r="AG705" s="31">
        <v>43132</v>
      </c>
      <c r="AH705" s="108">
        <v>54686940</v>
      </c>
      <c r="AI705" s="1" t="s">
        <v>2923</v>
      </c>
      <c r="AJ705" s="1">
        <v>335</v>
      </c>
      <c r="AK705" s="109">
        <f t="shared" si="64"/>
        <v>0</v>
      </c>
      <c r="AL705" s="108">
        <v>54686940</v>
      </c>
      <c r="AM705" s="108">
        <f t="shared" si="65"/>
        <v>0</v>
      </c>
      <c r="AN705" s="1" t="s">
        <v>2308</v>
      </c>
      <c r="AO705" s="108">
        <f t="shared" si="66"/>
        <v>0</v>
      </c>
      <c r="AP705" s="1"/>
      <c r="AQ705" s="1"/>
      <c r="AR705" s="1"/>
      <c r="AS705" s="1"/>
      <c r="AT705" s="1"/>
      <c r="AU705" s="211"/>
    </row>
    <row r="706" spans="1:47" ht="293.25" x14ac:dyDescent="0.2">
      <c r="A706" s="1">
        <v>216</v>
      </c>
      <c r="B706" s="1" t="str">
        <f t="shared" si="62"/>
        <v>3075-216</v>
      </c>
      <c r="C706" s="99" t="s">
        <v>2294</v>
      </c>
      <c r="D706" s="100" t="s">
        <v>2295</v>
      </c>
      <c r="E706" s="100" t="s">
        <v>2578</v>
      </c>
      <c r="F706" s="99" t="s">
        <v>2328</v>
      </c>
      <c r="G706" s="117" t="s">
        <v>2329</v>
      </c>
      <c r="H706" s="102" t="s">
        <v>2579</v>
      </c>
      <c r="I706" s="100" t="s">
        <v>2300</v>
      </c>
      <c r="J706" s="100" t="s">
        <v>2301</v>
      </c>
      <c r="K706" s="100" t="s">
        <v>50</v>
      </c>
      <c r="L706" s="1" t="s">
        <v>2302</v>
      </c>
      <c r="M706" s="1" t="s">
        <v>493</v>
      </c>
      <c r="N706" s="1" t="s">
        <v>494</v>
      </c>
      <c r="O706" s="100" t="s">
        <v>2369</v>
      </c>
      <c r="P706" s="1" t="s">
        <v>2924</v>
      </c>
      <c r="Q706" s="106">
        <v>54686940</v>
      </c>
      <c r="R706" s="122">
        <v>1</v>
      </c>
      <c r="S706" s="104">
        <v>54686940</v>
      </c>
      <c r="T706" s="1" t="s">
        <v>2323</v>
      </c>
      <c r="U706" s="1" t="s">
        <v>2323</v>
      </c>
      <c r="V706" s="31" t="s">
        <v>516</v>
      </c>
      <c r="W706" s="105" t="s">
        <v>50</v>
      </c>
      <c r="X706" s="123" t="s">
        <v>2925</v>
      </c>
      <c r="Y706" s="31">
        <v>43111</v>
      </c>
      <c r="Z706" s="106">
        <v>54686940</v>
      </c>
      <c r="AA706" s="107" t="s">
        <v>2889</v>
      </c>
      <c r="AB706" s="20">
        <v>477</v>
      </c>
      <c r="AC706" s="31">
        <v>43112</v>
      </c>
      <c r="AD706" s="108">
        <v>54686940</v>
      </c>
      <c r="AE706" s="109">
        <f t="shared" si="63"/>
        <v>0</v>
      </c>
      <c r="AF706" s="20">
        <v>513</v>
      </c>
      <c r="AG706" s="31">
        <v>43129</v>
      </c>
      <c r="AH706" s="108">
        <v>54686940</v>
      </c>
      <c r="AI706" s="1" t="s">
        <v>2926</v>
      </c>
      <c r="AJ706" s="1">
        <v>204</v>
      </c>
      <c r="AK706" s="109">
        <f t="shared" si="64"/>
        <v>0</v>
      </c>
      <c r="AL706" s="108">
        <v>54686940</v>
      </c>
      <c r="AM706" s="108">
        <f t="shared" si="65"/>
        <v>0</v>
      </c>
      <c r="AN706" s="1" t="s">
        <v>2308</v>
      </c>
      <c r="AO706" s="108">
        <f t="shared" si="66"/>
        <v>0</v>
      </c>
      <c r="AP706" s="1"/>
      <c r="AQ706" s="1"/>
      <c r="AR706" s="1"/>
      <c r="AS706" s="1"/>
      <c r="AT706" s="1"/>
      <c r="AU706" s="211"/>
    </row>
    <row r="707" spans="1:47" ht="191.25" x14ac:dyDescent="0.2">
      <c r="A707" s="1">
        <v>217</v>
      </c>
      <c r="B707" s="1" t="str">
        <f t="shared" si="62"/>
        <v>3075-217</v>
      </c>
      <c r="C707" s="99" t="s">
        <v>2294</v>
      </c>
      <c r="D707" s="100" t="s">
        <v>2295</v>
      </c>
      <c r="E707" s="99" t="s">
        <v>2317</v>
      </c>
      <c r="F707" s="99" t="s">
        <v>2318</v>
      </c>
      <c r="G707" s="101" t="s">
        <v>2319</v>
      </c>
      <c r="H707" s="102" t="s">
        <v>2320</v>
      </c>
      <c r="I707" s="100" t="s">
        <v>2300</v>
      </c>
      <c r="J707" s="100" t="s">
        <v>2301</v>
      </c>
      <c r="K707" s="100" t="s">
        <v>50</v>
      </c>
      <c r="L707" s="1" t="s">
        <v>2302</v>
      </c>
      <c r="M707" s="1" t="s">
        <v>493</v>
      </c>
      <c r="N707" s="1" t="s">
        <v>494</v>
      </c>
      <c r="O707" s="100" t="s">
        <v>2321</v>
      </c>
      <c r="P707" s="112" t="s">
        <v>2927</v>
      </c>
      <c r="Q707" s="103">
        <v>24984000</v>
      </c>
      <c r="R707" s="1">
        <v>1</v>
      </c>
      <c r="S707" s="104">
        <v>24984000</v>
      </c>
      <c r="T707" s="1" t="s">
        <v>2323</v>
      </c>
      <c r="U707" s="1" t="s">
        <v>2323</v>
      </c>
      <c r="V707" s="31" t="s">
        <v>507</v>
      </c>
      <c r="W707" s="105" t="s">
        <v>50</v>
      </c>
      <c r="X707" s="123" t="s">
        <v>2928</v>
      </c>
      <c r="Y707" s="31">
        <v>43111</v>
      </c>
      <c r="Z707" s="106">
        <v>24984000</v>
      </c>
      <c r="AA707" s="107" t="s">
        <v>2929</v>
      </c>
      <c r="AB707" s="20">
        <v>476</v>
      </c>
      <c r="AC707" s="31">
        <v>43112</v>
      </c>
      <c r="AD707" s="108">
        <v>24984000</v>
      </c>
      <c r="AE707" s="109">
        <f t="shared" si="63"/>
        <v>0</v>
      </c>
      <c r="AF707" s="20">
        <v>1664</v>
      </c>
      <c r="AG707" s="31">
        <v>43192</v>
      </c>
      <c r="AH707" s="108">
        <v>24984000</v>
      </c>
      <c r="AI707" s="1" t="s">
        <v>2930</v>
      </c>
      <c r="AJ707" s="1">
        <v>1689</v>
      </c>
      <c r="AK707" s="109">
        <f t="shared" si="64"/>
        <v>0</v>
      </c>
      <c r="AL707" s="108">
        <v>0</v>
      </c>
      <c r="AM707" s="108">
        <f t="shared" si="65"/>
        <v>24984000</v>
      </c>
      <c r="AN707" s="1" t="s">
        <v>2308</v>
      </c>
      <c r="AO707" s="108">
        <f t="shared" si="66"/>
        <v>0</v>
      </c>
      <c r="AP707" s="1"/>
      <c r="AQ707" s="1"/>
      <c r="AR707" s="1"/>
      <c r="AS707" s="1"/>
      <c r="AT707" s="1"/>
      <c r="AU707" s="211"/>
    </row>
    <row r="708" spans="1:47" ht="204" x14ac:dyDescent="0.2">
      <c r="A708" s="1">
        <v>218</v>
      </c>
      <c r="B708" s="1" t="str">
        <f t="shared" si="62"/>
        <v>3075-218</v>
      </c>
      <c r="C708" s="99" t="s">
        <v>2294</v>
      </c>
      <c r="D708" s="100" t="s">
        <v>2295</v>
      </c>
      <c r="E708" s="100" t="s">
        <v>2327</v>
      </c>
      <c r="F708" s="99" t="s">
        <v>2328</v>
      </c>
      <c r="G708" s="101" t="s">
        <v>2329</v>
      </c>
      <c r="H708" s="102" t="s">
        <v>2330</v>
      </c>
      <c r="I708" s="100" t="s">
        <v>2300</v>
      </c>
      <c r="J708" s="100" t="s">
        <v>2301</v>
      </c>
      <c r="K708" s="100" t="s">
        <v>50</v>
      </c>
      <c r="L708" s="1" t="s">
        <v>2302</v>
      </c>
      <c r="M708" s="1" t="s">
        <v>493</v>
      </c>
      <c r="N708" s="1" t="s">
        <v>494</v>
      </c>
      <c r="O708" s="100" t="s">
        <v>2321</v>
      </c>
      <c r="P708" s="100" t="s">
        <v>2931</v>
      </c>
      <c r="Q708" s="103">
        <v>39062100</v>
      </c>
      <c r="R708" s="1">
        <v>1</v>
      </c>
      <c r="S708" s="104">
        <v>39062100</v>
      </c>
      <c r="T708" s="1" t="s">
        <v>2323</v>
      </c>
      <c r="U708" s="1" t="s">
        <v>2323</v>
      </c>
      <c r="V708" s="31" t="s">
        <v>620</v>
      </c>
      <c r="W708" s="105" t="s">
        <v>50</v>
      </c>
      <c r="X708" s="123" t="s">
        <v>2932</v>
      </c>
      <c r="Y708" s="31">
        <v>43111</v>
      </c>
      <c r="Z708" s="106">
        <v>39062100</v>
      </c>
      <c r="AA708" s="107" t="s">
        <v>2933</v>
      </c>
      <c r="AB708" s="20">
        <v>481</v>
      </c>
      <c r="AC708" s="31">
        <v>43112</v>
      </c>
      <c r="AD708" s="108">
        <v>39062100</v>
      </c>
      <c r="AE708" s="109">
        <f t="shared" si="63"/>
        <v>0</v>
      </c>
      <c r="AF708" s="20">
        <v>1013</v>
      </c>
      <c r="AG708" s="31">
        <v>43140</v>
      </c>
      <c r="AH708" s="108">
        <v>39062100</v>
      </c>
      <c r="AI708" s="1" t="s">
        <v>2934</v>
      </c>
      <c r="AJ708" s="1">
        <v>883</v>
      </c>
      <c r="AK708" s="109">
        <f t="shared" si="64"/>
        <v>0</v>
      </c>
      <c r="AL708" s="108">
        <v>39062100</v>
      </c>
      <c r="AM708" s="108">
        <f t="shared" si="65"/>
        <v>0</v>
      </c>
      <c r="AN708" s="1" t="s">
        <v>2308</v>
      </c>
      <c r="AO708" s="108">
        <f t="shared" si="66"/>
        <v>0</v>
      </c>
      <c r="AP708" s="1"/>
      <c r="AQ708" s="1"/>
      <c r="AR708" s="1"/>
      <c r="AS708" s="1"/>
      <c r="AT708" s="1"/>
      <c r="AU708" s="211"/>
    </row>
    <row r="709" spans="1:47" ht="191.25" x14ac:dyDescent="0.2">
      <c r="A709" s="1">
        <v>219</v>
      </c>
      <c r="B709" s="1" t="str">
        <f t="shared" si="62"/>
        <v>3075-219</v>
      </c>
      <c r="C709" s="99" t="s">
        <v>2294</v>
      </c>
      <c r="D709" s="100" t="s">
        <v>2295</v>
      </c>
      <c r="E709" s="100" t="s">
        <v>2327</v>
      </c>
      <c r="F709" s="99" t="s">
        <v>2328</v>
      </c>
      <c r="G709" s="101" t="s">
        <v>2329</v>
      </c>
      <c r="H709" s="102" t="s">
        <v>2330</v>
      </c>
      <c r="I709" s="100" t="s">
        <v>2300</v>
      </c>
      <c r="J709" s="100" t="s">
        <v>2301</v>
      </c>
      <c r="K709" s="100" t="s">
        <v>50</v>
      </c>
      <c r="L709" s="1" t="s">
        <v>2302</v>
      </c>
      <c r="M709" s="1" t="s">
        <v>493</v>
      </c>
      <c r="N709" s="1" t="s">
        <v>494</v>
      </c>
      <c r="O709" s="100" t="s">
        <v>2321</v>
      </c>
      <c r="P709" s="100" t="s">
        <v>2935</v>
      </c>
      <c r="Q709" s="103">
        <v>39062100</v>
      </c>
      <c r="R709" s="1">
        <v>1</v>
      </c>
      <c r="S709" s="104">
        <v>39062100</v>
      </c>
      <c r="T709" s="1" t="s">
        <v>2323</v>
      </c>
      <c r="U709" s="1" t="s">
        <v>2323</v>
      </c>
      <c r="V709" s="31" t="s">
        <v>620</v>
      </c>
      <c r="W709" s="105" t="s">
        <v>50</v>
      </c>
      <c r="X709" s="123" t="s">
        <v>2936</v>
      </c>
      <c r="Y709" s="31">
        <v>43111</v>
      </c>
      <c r="Z709" s="106">
        <v>39062100</v>
      </c>
      <c r="AA709" s="107" t="s">
        <v>2933</v>
      </c>
      <c r="AB709" s="20">
        <v>482</v>
      </c>
      <c r="AC709" s="31">
        <v>43112</v>
      </c>
      <c r="AD709" s="108">
        <v>39062100</v>
      </c>
      <c r="AE709" s="109">
        <f t="shared" si="63"/>
        <v>0</v>
      </c>
      <c r="AF709" s="20">
        <v>1027</v>
      </c>
      <c r="AG709" s="31">
        <v>43140</v>
      </c>
      <c r="AH709" s="108">
        <v>39062100</v>
      </c>
      <c r="AI709" s="1" t="s">
        <v>2937</v>
      </c>
      <c r="AJ709" s="1">
        <v>757</v>
      </c>
      <c r="AK709" s="109">
        <f t="shared" si="64"/>
        <v>0</v>
      </c>
      <c r="AL709" s="108">
        <v>39062100</v>
      </c>
      <c r="AM709" s="108">
        <f t="shared" si="65"/>
        <v>0</v>
      </c>
      <c r="AN709" s="1" t="s">
        <v>2308</v>
      </c>
      <c r="AO709" s="108">
        <f t="shared" si="66"/>
        <v>0</v>
      </c>
      <c r="AP709" s="1"/>
      <c r="AQ709" s="1"/>
      <c r="AR709" s="1"/>
      <c r="AS709" s="1"/>
      <c r="AT709" s="1"/>
      <c r="AU709" s="211"/>
    </row>
    <row r="710" spans="1:47" ht="229.5" x14ac:dyDescent="0.2">
      <c r="A710" s="1">
        <v>220</v>
      </c>
      <c r="B710" s="1" t="str">
        <f t="shared" si="62"/>
        <v>3075-220</v>
      </c>
      <c r="C710" s="99" t="s">
        <v>2294</v>
      </c>
      <c r="D710" s="100" t="s">
        <v>2295</v>
      </c>
      <c r="E710" s="100" t="s">
        <v>2327</v>
      </c>
      <c r="F710" s="99" t="s">
        <v>2328</v>
      </c>
      <c r="G710" s="101" t="s">
        <v>2329</v>
      </c>
      <c r="H710" s="102" t="s">
        <v>2330</v>
      </c>
      <c r="I710" s="100" t="s">
        <v>2300</v>
      </c>
      <c r="J710" s="100" t="s">
        <v>2301</v>
      </c>
      <c r="K710" s="100" t="s">
        <v>50</v>
      </c>
      <c r="L710" s="1" t="s">
        <v>2302</v>
      </c>
      <c r="M710" s="1" t="s">
        <v>493</v>
      </c>
      <c r="N710" s="1" t="s">
        <v>494</v>
      </c>
      <c r="O710" s="100" t="s">
        <v>2321</v>
      </c>
      <c r="P710" s="100" t="s">
        <v>2938</v>
      </c>
      <c r="Q710" s="103">
        <v>420100300</v>
      </c>
      <c r="R710" s="1">
        <v>1</v>
      </c>
      <c r="S710" s="104">
        <v>420100300</v>
      </c>
      <c r="T710" s="1" t="s">
        <v>2323</v>
      </c>
      <c r="U710" s="1" t="s">
        <v>2323</v>
      </c>
      <c r="V710" s="31" t="s">
        <v>498</v>
      </c>
      <c r="W710" s="105" t="s">
        <v>50</v>
      </c>
      <c r="X710" s="1" t="s">
        <v>2939</v>
      </c>
      <c r="Y710" s="31">
        <v>43115</v>
      </c>
      <c r="Z710" s="106">
        <v>420100300</v>
      </c>
      <c r="AA710" s="107" t="s">
        <v>2933</v>
      </c>
      <c r="AB710" s="20">
        <v>492</v>
      </c>
      <c r="AC710" s="31">
        <v>43116</v>
      </c>
      <c r="AD710" s="108">
        <v>420100300</v>
      </c>
      <c r="AE710" s="109">
        <f t="shared" si="63"/>
        <v>0</v>
      </c>
      <c r="AF710" s="20">
        <v>1496</v>
      </c>
      <c r="AG710" s="31">
        <v>43161</v>
      </c>
      <c r="AH710" s="108">
        <v>420100300</v>
      </c>
      <c r="AI710" s="1" t="s">
        <v>2940</v>
      </c>
      <c r="AJ710" s="1">
        <v>1463</v>
      </c>
      <c r="AK710" s="109">
        <f t="shared" si="64"/>
        <v>0</v>
      </c>
      <c r="AL710" s="108">
        <v>420100300</v>
      </c>
      <c r="AM710" s="108">
        <f t="shared" si="65"/>
        <v>0</v>
      </c>
      <c r="AN710" s="1" t="s">
        <v>2308</v>
      </c>
      <c r="AO710" s="108">
        <f t="shared" si="66"/>
        <v>0</v>
      </c>
      <c r="AP710" s="1"/>
      <c r="AQ710" s="1"/>
      <c r="AR710" s="1"/>
      <c r="AS710" s="1"/>
      <c r="AT710" s="1"/>
      <c r="AU710" s="211"/>
    </row>
    <row r="711" spans="1:47" ht="204" x14ac:dyDescent="0.2">
      <c r="A711" s="1">
        <v>221</v>
      </c>
      <c r="B711" s="1" t="str">
        <f t="shared" si="62"/>
        <v>3075-221</v>
      </c>
      <c r="C711" s="99" t="s">
        <v>2294</v>
      </c>
      <c r="D711" s="100" t="s">
        <v>2295</v>
      </c>
      <c r="E711" s="100" t="s">
        <v>2327</v>
      </c>
      <c r="F711" s="99" t="s">
        <v>2328</v>
      </c>
      <c r="G711" s="101" t="s">
        <v>2329</v>
      </c>
      <c r="H711" s="102" t="s">
        <v>2330</v>
      </c>
      <c r="I711" s="100" t="s">
        <v>2300</v>
      </c>
      <c r="J711" s="100" t="s">
        <v>2301</v>
      </c>
      <c r="K711" s="100" t="s">
        <v>50</v>
      </c>
      <c r="L711" s="1" t="s">
        <v>2302</v>
      </c>
      <c r="M711" s="1" t="s">
        <v>493</v>
      </c>
      <c r="N711" s="1" t="s">
        <v>494</v>
      </c>
      <c r="O711" s="100" t="s">
        <v>2321</v>
      </c>
      <c r="P711" s="100" t="s">
        <v>2941</v>
      </c>
      <c r="Q711" s="103">
        <v>25211940</v>
      </c>
      <c r="R711" s="1">
        <v>1</v>
      </c>
      <c r="S711" s="104">
        <f>25211940-25211940</f>
        <v>0</v>
      </c>
      <c r="T711" s="1" t="s">
        <v>2323</v>
      </c>
      <c r="U711" s="1" t="s">
        <v>2323</v>
      </c>
      <c r="V711" s="31"/>
      <c r="W711" s="105" t="s">
        <v>50</v>
      </c>
      <c r="X711" s="1" t="s">
        <v>2942</v>
      </c>
      <c r="Y711" s="31">
        <v>43115</v>
      </c>
      <c r="Z711" s="106">
        <f>25211940-25211940</f>
        <v>0</v>
      </c>
      <c r="AA711" s="107" t="s">
        <v>2933</v>
      </c>
      <c r="AB711" s="20" t="s">
        <v>2943</v>
      </c>
      <c r="AC711" s="31">
        <v>43116</v>
      </c>
      <c r="AD711" s="108">
        <v>0</v>
      </c>
      <c r="AE711" s="109">
        <f t="shared" si="63"/>
        <v>0</v>
      </c>
      <c r="AF711" s="20"/>
      <c r="AG711" s="31"/>
      <c r="AH711" s="108"/>
      <c r="AI711" s="1"/>
      <c r="AJ711" s="1"/>
      <c r="AK711" s="109">
        <f t="shared" si="64"/>
        <v>0</v>
      </c>
      <c r="AL711" s="108"/>
      <c r="AM711" s="108">
        <f t="shared" si="65"/>
        <v>0</v>
      </c>
      <c r="AN711" s="1" t="s">
        <v>2308</v>
      </c>
      <c r="AO711" s="108">
        <f t="shared" si="66"/>
        <v>0</v>
      </c>
      <c r="AP711" s="1"/>
      <c r="AQ711" s="1"/>
      <c r="AR711" s="1"/>
      <c r="AS711" s="1"/>
      <c r="AT711" s="1"/>
      <c r="AU711" s="211"/>
    </row>
    <row r="712" spans="1:47" ht="204" x14ac:dyDescent="0.2">
      <c r="A712" s="1">
        <v>222</v>
      </c>
      <c r="B712" s="1" t="str">
        <f t="shared" si="62"/>
        <v>3075-222</v>
      </c>
      <c r="C712" s="99" t="s">
        <v>2294</v>
      </c>
      <c r="D712" s="100" t="s">
        <v>2295</v>
      </c>
      <c r="E712" s="100" t="s">
        <v>2327</v>
      </c>
      <c r="F712" s="99" t="s">
        <v>2328</v>
      </c>
      <c r="G712" s="101" t="s">
        <v>2329</v>
      </c>
      <c r="H712" s="102" t="s">
        <v>2330</v>
      </c>
      <c r="I712" s="100" t="s">
        <v>2300</v>
      </c>
      <c r="J712" s="100" t="s">
        <v>2301</v>
      </c>
      <c r="K712" s="100" t="s">
        <v>50</v>
      </c>
      <c r="L712" s="1" t="s">
        <v>2302</v>
      </c>
      <c r="M712" s="1" t="s">
        <v>493</v>
      </c>
      <c r="N712" s="1" t="s">
        <v>494</v>
      </c>
      <c r="O712" s="100" t="s">
        <v>2321</v>
      </c>
      <c r="P712" s="100" t="s">
        <v>2944</v>
      </c>
      <c r="Q712" s="103">
        <v>30003100</v>
      </c>
      <c r="R712" s="1">
        <v>1</v>
      </c>
      <c r="S712" s="104">
        <v>30003100</v>
      </c>
      <c r="T712" s="1" t="s">
        <v>2323</v>
      </c>
      <c r="U712" s="1" t="s">
        <v>2323</v>
      </c>
      <c r="V712" s="31" t="s">
        <v>516</v>
      </c>
      <c r="W712" s="105" t="s">
        <v>50</v>
      </c>
      <c r="X712" s="1" t="s">
        <v>2945</v>
      </c>
      <c r="Y712" s="31">
        <v>43115</v>
      </c>
      <c r="Z712" s="106">
        <v>30003100</v>
      </c>
      <c r="AA712" s="107" t="s">
        <v>2933</v>
      </c>
      <c r="AB712" s="20">
        <v>494</v>
      </c>
      <c r="AC712" s="31">
        <v>43116</v>
      </c>
      <c r="AD712" s="108">
        <v>30003100</v>
      </c>
      <c r="AE712" s="109">
        <f t="shared" si="63"/>
        <v>0</v>
      </c>
      <c r="AF712" s="20">
        <v>515</v>
      </c>
      <c r="AG712" s="31">
        <v>43131</v>
      </c>
      <c r="AH712" s="108">
        <v>30003100</v>
      </c>
      <c r="AI712" s="1" t="s">
        <v>2946</v>
      </c>
      <c r="AJ712" s="1">
        <v>220</v>
      </c>
      <c r="AK712" s="109">
        <f t="shared" si="64"/>
        <v>0</v>
      </c>
      <c r="AL712" s="108">
        <v>30003100</v>
      </c>
      <c r="AM712" s="108">
        <f t="shared" si="65"/>
        <v>0</v>
      </c>
      <c r="AN712" s="1" t="s">
        <v>2308</v>
      </c>
      <c r="AO712" s="108">
        <f t="shared" si="66"/>
        <v>0</v>
      </c>
      <c r="AP712" s="1"/>
      <c r="AQ712" s="1"/>
      <c r="AR712" s="1"/>
      <c r="AS712" s="1"/>
      <c r="AT712" s="1"/>
      <c r="AU712" s="211"/>
    </row>
    <row r="713" spans="1:47" ht="229.5" x14ac:dyDescent="0.2">
      <c r="A713" s="1">
        <v>223</v>
      </c>
      <c r="B713" s="1" t="str">
        <f t="shared" si="62"/>
        <v>3075-223</v>
      </c>
      <c r="C713" s="99" t="s">
        <v>2294</v>
      </c>
      <c r="D713" s="100" t="s">
        <v>2295</v>
      </c>
      <c r="E713" s="100" t="s">
        <v>2327</v>
      </c>
      <c r="F713" s="99" t="s">
        <v>2328</v>
      </c>
      <c r="G713" s="101" t="s">
        <v>2329</v>
      </c>
      <c r="H713" s="102" t="s">
        <v>2330</v>
      </c>
      <c r="I713" s="100" t="s">
        <v>2300</v>
      </c>
      <c r="J713" s="100" t="s">
        <v>2301</v>
      </c>
      <c r="K713" s="100" t="s">
        <v>50</v>
      </c>
      <c r="L713" s="1" t="s">
        <v>2302</v>
      </c>
      <c r="M713" s="1" t="s">
        <v>493</v>
      </c>
      <c r="N713" s="1" t="s">
        <v>494</v>
      </c>
      <c r="O713" s="100" t="s">
        <v>2321</v>
      </c>
      <c r="P713" s="100" t="s">
        <v>2947</v>
      </c>
      <c r="Q713" s="103">
        <v>39062100</v>
      </c>
      <c r="R713" s="1">
        <v>1</v>
      </c>
      <c r="S713" s="104">
        <v>39062100</v>
      </c>
      <c r="T713" s="1" t="s">
        <v>2323</v>
      </c>
      <c r="U713" s="1" t="s">
        <v>2323</v>
      </c>
      <c r="V713" s="31" t="s">
        <v>620</v>
      </c>
      <c r="W713" s="105" t="s">
        <v>50</v>
      </c>
      <c r="X713" s="1" t="s">
        <v>2948</v>
      </c>
      <c r="Y713" s="31">
        <v>43115</v>
      </c>
      <c r="Z713" s="106">
        <v>39062100</v>
      </c>
      <c r="AA713" s="107" t="s">
        <v>2933</v>
      </c>
      <c r="AB713" s="20">
        <v>496</v>
      </c>
      <c r="AC713" s="31">
        <v>43116</v>
      </c>
      <c r="AD713" s="108">
        <v>39062100</v>
      </c>
      <c r="AE713" s="109">
        <f t="shared" si="63"/>
        <v>0</v>
      </c>
      <c r="AF713" s="20">
        <v>1361</v>
      </c>
      <c r="AG713" s="31">
        <v>43146</v>
      </c>
      <c r="AH713" s="108">
        <v>39062100</v>
      </c>
      <c r="AI713" s="1" t="s">
        <v>2949</v>
      </c>
      <c r="AJ713" s="1">
        <v>1266</v>
      </c>
      <c r="AK713" s="109">
        <f t="shared" si="64"/>
        <v>0</v>
      </c>
      <c r="AL713" s="108">
        <v>39062100</v>
      </c>
      <c r="AM713" s="108">
        <f t="shared" si="65"/>
        <v>0</v>
      </c>
      <c r="AN713" s="1" t="s">
        <v>2308</v>
      </c>
      <c r="AO713" s="108">
        <f t="shared" si="66"/>
        <v>0</v>
      </c>
      <c r="AP713" s="1"/>
      <c r="AQ713" s="1"/>
      <c r="AR713" s="1"/>
      <c r="AS713" s="1"/>
      <c r="AT713" s="1"/>
      <c r="AU713" s="211"/>
    </row>
    <row r="714" spans="1:47" ht="229.5" x14ac:dyDescent="0.2">
      <c r="A714" s="1">
        <v>224</v>
      </c>
      <c r="B714" s="1" t="str">
        <f t="shared" si="62"/>
        <v>3075-224</v>
      </c>
      <c r="C714" s="99" t="s">
        <v>2294</v>
      </c>
      <c r="D714" s="100" t="s">
        <v>2295</v>
      </c>
      <c r="E714" s="100" t="s">
        <v>2327</v>
      </c>
      <c r="F714" s="99" t="s">
        <v>2328</v>
      </c>
      <c r="G714" s="101" t="s">
        <v>2329</v>
      </c>
      <c r="H714" s="102" t="s">
        <v>2330</v>
      </c>
      <c r="I714" s="100" t="s">
        <v>2300</v>
      </c>
      <c r="J714" s="100" t="s">
        <v>2301</v>
      </c>
      <c r="K714" s="100" t="s">
        <v>50</v>
      </c>
      <c r="L714" s="1" t="s">
        <v>2302</v>
      </c>
      <c r="M714" s="1" t="s">
        <v>493</v>
      </c>
      <c r="N714" s="1" t="s">
        <v>494</v>
      </c>
      <c r="O714" s="100" t="s">
        <v>2321</v>
      </c>
      <c r="P714" s="100" t="s">
        <v>2950</v>
      </c>
      <c r="Q714" s="103">
        <v>16367330</v>
      </c>
      <c r="R714" s="1">
        <v>1</v>
      </c>
      <c r="S714" s="104">
        <v>16367330</v>
      </c>
      <c r="T714" s="1" t="s">
        <v>2323</v>
      </c>
      <c r="U714" s="1" t="s">
        <v>2323</v>
      </c>
      <c r="V714" s="31" t="s">
        <v>516</v>
      </c>
      <c r="W714" s="105" t="s">
        <v>50</v>
      </c>
      <c r="X714" s="1" t="s">
        <v>2951</v>
      </c>
      <c r="Y714" s="31">
        <v>43115</v>
      </c>
      <c r="Z714" s="106">
        <v>16367330</v>
      </c>
      <c r="AA714" s="107" t="s">
        <v>2933</v>
      </c>
      <c r="AB714" s="20">
        <v>497</v>
      </c>
      <c r="AC714" s="31">
        <v>43116</v>
      </c>
      <c r="AD714" s="108">
        <v>16367330</v>
      </c>
      <c r="AE714" s="109">
        <f t="shared" si="63"/>
        <v>0</v>
      </c>
      <c r="AF714" s="20">
        <v>516</v>
      </c>
      <c r="AG714" s="31">
        <v>43131</v>
      </c>
      <c r="AH714" s="108">
        <v>16367330</v>
      </c>
      <c r="AI714" s="1" t="s">
        <v>2952</v>
      </c>
      <c r="AJ714" s="1">
        <v>221</v>
      </c>
      <c r="AK714" s="109">
        <f t="shared" si="64"/>
        <v>0</v>
      </c>
      <c r="AL714" s="108">
        <v>16367330</v>
      </c>
      <c r="AM714" s="108">
        <f t="shared" si="65"/>
        <v>0</v>
      </c>
      <c r="AN714" s="1" t="s">
        <v>2308</v>
      </c>
      <c r="AO714" s="108">
        <f t="shared" si="66"/>
        <v>0</v>
      </c>
      <c r="AP714" s="1"/>
      <c r="AQ714" s="1"/>
      <c r="AR714" s="1"/>
      <c r="AS714" s="1"/>
      <c r="AT714" s="1"/>
      <c r="AU714" s="211"/>
    </row>
    <row r="715" spans="1:47" ht="204" x14ac:dyDescent="0.2">
      <c r="A715" s="1">
        <v>225</v>
      </c>
      <c r="B715" s="1" t="str">
        <f t="shared" si="62"/>
        <v>3075-225</v>
      </c>
      <c r="C715" s="99" t="s">
        <v>2294</v>
      </c>
      <c r="D715" s="100" t="s">
        <v>2295</v>
      </c>
      <c r="E715" s="100" t="s">
        <v>2327</v>
      </c>
      <c r="F715" s="99" t="s">
        <v>2328</v>
      </c>
      <c r="G715" s="101" t="s">
        <v>2329</v>
      </c>
      <c r="H715" s="102" t="s">
        <v>2330</v>
      </c>
      <c r="I715" s="100" t="s">
        <v>2300</v>
      </c>
      <c r="J715" s="100" t="s">
        <v>2301</v>
      </c>
      <c r="K715" s="100" t="s">
        <v>50</v>
      </c>
      <c r="L715" s="1" t="s">
        <v>2302</v>
      </c>
      <c r="M715" s="1" t="s">
        <v>493</v>
      </c>
      <c r="N715" s="1" t="s">
        <v>494</v>
      </c>
      <c r="O715" s="100" t="s">
        <v>2321</v>
      </c>
      <c r="P715" s="100" t="s">
        <v>2953</v>
      </c>
      <c r="Q715" s="103">
        <v>39062100</v>
      </c>
      <c r="R715" s="1">
        <v>1</v>
      </c>
      <c r="S715" s="104">
        <v>39062100</v>
      </c>
      <c r="T715" s="1" t="s">
        <v>2323</v>
      </c>
      <c r="U715" s="1" t="s">
        <v>2323</v>
      </c>
      <c r="V715" s="31" t="s">
        <v>620</v>
      </c>
      <c r="W715" s="105" t="s">
        <v>50</v>
      </c>
      <c r="X715" s="1" t="s">
        <v>2954</v>
      </c>
      <c r="Y715" s="31">
        <v>43115</v>
      </c>
      <c r="Z715" s="106">
        <v>39062100</v>
      </c>
      <c r="AA715" s="107" t="s">
        <v>2933</v>
      </c>
      <c r="AB715" s="20">
        <v>498</v>
      </c>
      <c r="AC715" s="31">
        <v>43116</v>
      </c>
      <c r="AD715" s="108">
        <v>39062100</v>
      </c>
      <c r="AE715" s="109">
        <f t="shared" si="63"/>
        <v>0</v>
      </c>
      <c r="AF715" s="20">
        <v>998</v>
      </c>
      <c r="AG715" s="31">
        <v>43140</v>
      </c>
      <c r="AH715" s="108">
        <v>39062100</v>
      </c>
      <c r="AI715" s="1" t="s">
        <v>2955</v>
      </c>
      <c r="AJ715" s="1">
        <v>606</v>
      </c>
      <c r="AK715" s="109">
        <f t="shared" si="64"/>
        <v>0</v>
      </c>
      <c r="AL715" s="108">
        <v>39062100</v>
      </c>
      <c r="AM715" s="108">
        <f t="shared" si="65"/>
        <v>0</v>
      </c>
      <c r="AN715" s="1" t="s">
        <v>2308</v>
      </c>
      <c r="AO715" s="108">
        <f t="shared" si="66"/>
        <v>0</v>
      </c>
      <c r="AP715" s="1"/>
      <c r="AQ715" s="1"/>
      <c r="AR715" s="1"/>
      <c r="AS715" s="1"/>
      <c r="AT715" s="1"/>
      <c r="AU715" s="211"/>
    </row>
    <row r="716" spans="1:47" ht="204" x14ac:dyDescent="0.2">
      <c r="A716" s="1">
        <v>226</v>
      </c>
      <c r="B716" s="1" t="str">
        <f t="shared" si="62"/>
        <v>3075-226</v>
      </c>
      <c r="C716" s="99" t="s">
        <v>2294</v>
      </c>
      <c r="D716" s="100" t="s">
        <v>2295</v>
      </c>
      <c r="E716" s="100" t="s">
        <v>2327</v>
      </c>
      <c r="F716" s="99" t="s">
        <v>2328</v>
      </c>
      <c r="G716" s="101" t="s">
        <v>2329</v>
      </c>
      <c r="H716" s="102" t="s">
        <v>2330</v>
      </c>
      <c r="I716" s="100" t="s">
        <v>2300</v>
      </c>
      <c r="J716" s="100" t="s">
        <v>2301</v>
      </c>
      <c r="K716" s="100" t="s">
        <v>50</v>
      </c>
      <c r="L716" s="1" t="s">
        <v>2302</v>
      </c>
      <c r="M716" s="1" t="s">
        <v>493</v>
      </c>
      <c r="N716" s="1" t="s">
        <v>494</v>
      </c>
      <c r="O716" s="100" t="s">
        <v>2321</v>
      </c>
      <c r="P716" s="100" t="s">
        <v>2956</v>
      </c>
      <c r="Q716" s="103">
        <v>39062100</v>
      </c>
      <c r="R716" s="1">
        <v>1</v>
      </c>
      <c r="S716" s="104">
        <v>39062100</v>
      </c>
      <c r="T716" s="1" t="s">
        <v>2323</v>
      </c>
      <c r="U716" s="1" t="s">
        <v>2323</v>
      </c>
      <c r="V716" s="31" t="s">
        <v>620</v>
      </c>
      <c r="W716" s="105" t="s">
        <v>50</v>
      </c>
      <c r="X716" s="1" t="s">
        <v>2957</v>
      </c>
      <c r="Y716" s="31">
        <v>43115</v>
      </c>
      <c r="Z716" s="106">
        <v>39062100</v>
      </c>
      <c r="AA716" s="107" t="s">
        <v>2933</v>
      </c>
      <c r="AB716" s="20">
        <v>503</v>
      </c>
      <c r="AC716" s="31">
        <v>43116</v>
      </c>
      <c r="AD716" s="108">
        <v>39062100</v>
      </c>
      <c r="AE716" s="109">
        <f t="shared" si="63"/>
        <v>0</v>
      </c>
      <c r="AF716" s="20">
        <v>752</v>
      </c>
      <c r="AG716" s="31">
        <v>43137</v>
      </c>
      <c r="AH716" s="108">
        <v>39062100</v>
      </c>
      <c r="AI716" s="1" t="s">
        <v>2958</v>
      </c>
      <c r="AJ716" s="1">
        <v>520</v>
      </c>
      <c r="AK716" s="109">
        <f t="shared" si="64"/>
        <v>0</v>
      </c>
      <c r="AL716" s="108">
        <v>39062100</v>
      </c>
      <c r="AM716" s="108">
        <f t="shared" si="65"/>
        <v>0</v>
      </c>
      <c r="AN716" s="1" t="s">
        <v>2308</v>
      </c>
      <c r="AO716" s="108">
        <f t="shared" si="66"/>
        <v>0</v>
      </c>
      <c r="AP716" s="1"/>
      <c r="AQ716" s="1"/>
      <c r="AR716" s="1"/>
      <c r="AS716" s="1"/>
      <c r="AT716" s="1"/>
      <c r="AU716" s="211"/>
    </row>
    <row r="717" spans="1:47" ht="204" x14ac:dyDescent="0.2">
      <c r="A717" s="1">
        <v>227</v>
      </c>
      <c r="B717" s="1" t="str">
        <f t="shared" si="62"/>
        <v>3075-227</v>
      </c>
      <c r="C717" s="99" t="s">
        <v>2294</v>
      </c>
      <c r="D717" s="100" t="s">
        <v>2295</v>
      </c>
      <c r="E717" s="100" t="s">
        <v>2327</v>
      </c>
      <c r="F717" s="99" t="s">
        <v>2328</v>
      </c>
      <c r="G717" s="101" t="s">
        <v>2329</v>
      </c>
      <c r="H717" s="102" t="s">
        <v>2330</v>
      </c>
      <c r="I717" s="100" t="s">
        <v>2300</v>
      </c>
      <c r="J717" s="100" t="s">
        <v>2301</v>
      </c>
      <c r="K717" s="100" t="s">
        <v>50</v>
      </c>
      <c r="L717" s="1" t="s">
        <v>2302</v>
      </c>
      <c r="M717" s="1" t="s">
        <v>493</v>
      </c>
      <c r="N717" s="1" t="s">
        <v>494</v>
      </c>
      <c r="O717" s="100" t="s">
        <v>2321</v>
      </c>
      <c r="P717" s="100" t="s">
        <v>2959</v>
      </c>
      <c r="Q717" s="103">
        <v>39062100</v>
      </c>
      <c r="R717" s="1">
        <v>1</v>
      </c>
      <c r="S717" s="104">
        <v>39062100</v>
      </c>
      <c r="T717" s="1" t="s">
        <v>2323</v>
      </c>
      <c r="U717" s="1" t="s">
        <v>2323</v>
      </c>
      <c r="V717" s="31" t="s">
        <v>620</v>
      </c>
      <c r="W717" s="105" t="s">
        <v>50</v>
      </c>
      <c r="X717" s="1" t="s">
        <v>2960</v>
      </c>
      <c r="Y717" s="31">
        <v>43115</v>
      </c>
      <c r="Z717" s="106">
        <v>39062100</v>
      </c>
      <c r="AA717" s="107" t="s">
        <v>2933</v>
      </c>
      <c r="AB717" s="20">
        <v>504</v>
      </c>
      <c r="AC717" s="31">
        <v>43116</v>
      </c>
      <c r="AD717" s="108">
        <v>39062100</v>
      </c>
      <c r="AE717" s="109">
        <f t="shared" si="63"/>
        <v>0</v>
      </c>
      <c r="AF717" s="20">
        <v>517</v>
      </c>
      <c r="AG717" s="31">
        <v>43132</v>
      </c>
      <c r="AH717" s="108">
        <v>39062100</v>
      </c>
      <c r="AI717" s="1" t="s">
        <v>2961</v>
      </c>
      <c r="AJ717" s="1">
        <v>342</v>
      </c>
      <c r="AK717" s="109">
        <f t="shared" si="64"/>
        <v>0</v>
      </c>
      <c r="AL717" s="108">
        <v>39062100</v>
      </c>
      <c r="AM717" s="108">
        <f t="shared" si="65"/>
        <v>0</v>
      </c>
      <c r="AN717" s="1" t="s">
        <v>2308</v>
      </c>
      <c r="AO717" s="108">
        <f t="shared" si="66"/>
        <v>0</v>
      </c>
      <c r="AP717" s="1"/>
      <c r="AQ717" s="1"/>
      <c r="AR717" s="1"/>
      <c r="AS717" s="1"/>
      <c r="AT717" s="1"/>
      <c r="AU717" s="211"/>
    </row>
    <row r="718" spans="1:47" ht="165.75" x14ac:dyDescent="0.2">
      <c r="A718" s="1">
        <v>228</v>
      </c>
      <c r="B718" s="1" t="str">
        <f t="shared" si="62"/>
        <v>3075-228</v>
      </c>
      <c r="C718" s="99" t="s">
        <v>2294</v>
      </c>
      <c r="D718" s="100" t="s">
        <v>2295</v>
      </c>
      <c r="E718" s="99" t="s">
        <v>2317</v>
      </c>
      <c r="F718" s="99" t="s">
        <v>2318</v>
      </c>
      <c r="G718" s="101" t="s">
        <v>2319</v>
      </c>
      <c r="H718" s="102" t="s">
        <v>2320</v>
      </c>
      <c r="I718" s="100" t="s">
        <v>2300</v>
      </c>
      <c r="J718" s="100" t="s">
        <v>2301</v>
      </c>
      <c r="K718" s="100" t="s">
        <v>50</v>
      </c>
      <c r="L718" s="1" t="s">
        <v>2302</v>
      </c>
      <c r="M718" s="1" t="s">
        <v>493</v>
      </c>
      <c r="N718" s="1" t="s">
        <v>494</v>
      </c>
      <c r="O718" s="100" t="s">
        <v>2321</v>
      </c>
      <c r="P718" s="112" t="s">
        <v>2962</v>
      </c>
      <c r="Q718" s="103">
        <v>113366000</v>
      </c>
      <c r="R718" s="1">
        <v>1</v>
      </c>
      <c r="S718" s="104">
        <v>113366000</v>
      </c>
      <c r="T718" s="1" t="s">
        <v>2323</v>
      </c>
      <c r="U718" s="1" t="s">
        <v>2323</v>
      </c>
      <c r="V718" s="31" t="s">
        <v>620</v>
      </c>
      <c r="W718" s="105" t="s">
        <v>50</v>
      </c>
      <c r="X718" s="1" t="s">
        <v>2963</v>
      </c>
      <c r="Y718" s="31">
        <v>43115</v>
      </c>
      <c r="Z718" s="106">
        <v>113366000</v>
      </c>
      <c r="AA718" s="107" t="s">
        <v>2929</v>
      </c>
      <c r="AB718" s="20">
        <v>505</v>
      </c>
      <c r="AC718" s="31">
        <v>43116</v>
      </c>
      <c r="AD718" s="108">
        <v>113366000</v>
      </c>
      <c r="AE718" s="109">
        <f t="shared" si="63"/>
        <v>0</v>
      </c>
      <c r="AF718" s="20">
        <v>999</v>
      </c>
      <c r="AG718" s="31">
        <v>43140</v>
      </c>
      <c r="AH718" s="108">
        <v>113366000</v>
      </c>
      <c r="AI718" s="1" t="s">
        <v>2964</v>
      </c>
      <c r="AJ718" s="1">
        <v>605</v>
      </c>
      <c r="AK718" s="109">
        <f t="shared" si="64"/>
        <v>0</v>
      </c>
      <c r="AL718" s="108">
        <v>34009800</v>
      </c>
      <c r="AM718" s="108">
        <f t="shared" si="65"/>
        <v>79356200</v>
      </c>
      <c r="AN718" s="1" t="s">
        <v>2308</v>
      </c>
      <c r="AO718" s="108">
        <f t="shared" si="66"/>
        <v>0</v>
      </c>
      <c r="AP718" s="1"/>
      <c r="AQ718" s="1"/>
      <c r="AR718" s="1"/>
      <c r="AS718" s="1"/>
      <c r="AT718" s="1"/>
      <c r="AU718" s="211"/>
    </row>
    <row r="719" spans="1:47" ht="293.25" x14ac:dyDescent="0.2">
      <c r="A719" s="1">
        <v>229</v>
      </c>
      <c r="B719" s="1" t="str">
        <f t="shared" si="62"/>
        <v>3075-229</v>
      </c>
      <c r="C719" s="99" t="s">
        <v>2294</v>
      </c>
      <c r="D719" s="100" t="s">
        <v>2295</v>
      </c>
      <c r="E719" s="100" t="s">
        <v>2578</v>
      </c>
      <c r="F719" s="99" t="s">
        <v>2328</v>
      </c>
      <c r="G719" s="117" t="s">
        <v>2329</v>
      </c>
      <c r="H719" s="102" t="s">
        <v>2579</v>
      </c>
      <c r="I719" s="100" t="s">
        <v>2300</v>
      </c>
      <c r="J719" s="100" t="s">
        <v>2301</v>
      </c>
      <c r="K719" s="100" t="s">
        <v>50</v>
      </c>
      <c r="L719" s="1" t="s">
        <v>2302</v>
      </c>
      <c r="M719" s="1" t="s">
        <v>493</v>
      </c>
      <c r="N719" s="1" t="s">
        <v>494</v>
      </c>
      <c r="O719" s="100" t="s">
        <v>2369</v>
      </c>
      <c r="P719" s="1" t="s">
        <v>2965</v>
      </c>
      <c r="Q719" s="106">
        <v>54686940</v>
      </c>
      <c r="R719" s="122">
        <v>1</v>
      </c>
      <c r="S719" s="104">
        <v>54686940</v>
      </c>
      <c r="T719" s="1" t="s">
        <v>2323</v>
      </c>
      <c r="U719" s="1" t="s">
        <v>2323</v>
      </c>
      <c r="V719" s="31" t="s">
        <v>620</v>
      </c>
      <c r="W719" s="105" t="s">
        <v>50</v>
      </c>
      <c r="X719" s="1" t="s">
        <v>2966</v>
      </c>
      <c r="Y719" s="31">
        <v>43115</v>
      </c>
      <c r="Z719" s="108">
        <v>54686940</v>
      </c>
      <c r="AA719" s="107" t="s">
        <v>2889</v>
      </c>
      <c r="AB719" s="20">
        <v>510</v>
      </c>
      <c r="AC719" s="31">
        <v>43116</v>
      </c>
      <c r="AD719" s="108">
        <v>54686940</v>
      </c>
      <c r="AE719" s="109">
        <f t="shared" si="63"/>
        <v>0</v>
      </c>
      <c r="AF719" s="20">
        <v>518</v>
      </c>
      <c r="AG719" s="31">
        <v>43132</v>
      </c>
      <c r="AH719" s="108">
        <v>54686940</v>
      </c>
      <c r="AI719" s="1" t="s">
        <v>2967</v>
      </c>
      <c r="AJ719" s="1">
        <v>341</v>
      </c>
      <c r="AK719" s="109">
        <f t="shared" si="64"/>
        <v>0</v>
      </c>
      <c r="AL719" s="108">
        <v>54686940</v>
      </c>
      <c r="AM719" s="108">
        <f t="shared" si="65"/>
        <v>0</v>
      </c>
      <c r="AN719" s="1" t="s">
        <v>2308</v>
      </c>
      <c r="AO719" s="108">
        <f t="shared" si="66"/>
        <v>0</v>
      </c>
      <c r="AP719" s="1"/>
      <c r="AQ719" s="1"/>
      <c r="AR719" s="1"/>
      <c r="AS719" s="1"/>
      <c r="AT719" s="1"/>
      <c r="AU719" s="211"/>
    </row>
    <row r="720" spans="1:47" ht="293.25" x14ac:dyDescent="0.2">
      <c r="A720" s="1">
        <v>230</v>
      </c>
      <c r="B720" s="1" t="str">
        <f t="shared" si="62"/>
        <v>3075-230</v>
      </c>
      <c r="C720" s="99" t="s">
        <v>2294</v>
      </c>
      <c r="D720" s="100" t="s">
        <v>2295</v>
      </c>
      <c r="E720" s="100" t="s">
        <v>2578</v>
      </c>
      <c r="F720" s="99" t="s">
        <v>2328</v>
      </c>
      <c r="G720" s="117" t="s">
        <v>2329</v>
      </c>
      <c r="H720" s="102" t="s">
        <v>2579</v>
      </c>
      <c r="I720" s="100" t="s">
        <v>2300</v>
      </c>
      <c r="J720" s="100" t="s">
        <v>2301</v>
      </c>
      <c r="K720" s="100" t="s">
        <v>50</v>
      </c>
      <c r="L720" s="1" t="s">
        <v>2302</v>
      </c>
      <c r="M720" s="1" t="s">
        <v>493</v>
      </c>
      <c r="N720" s="1" t="s">
        <v>494</v>
      </c>
      <c r="O720" s="100" t="s">
        <v>2369</v>
      </c>
      <c r="P720" s="1" t="s">
        <v>2968</v>
      </c>
      <c r="Q720" s="106">
        <v>54686940</v>
      </c>
      <c r="R720" s="122">
        <v>1</v>
      </c>
      <c r="S720" s="104">
        <v>54686940</v>
      </c>
      <c r="T720" s="1" t="s">
        <v>2323</v>
      </c>
      <c r="U720" s="1" t="s">
        <v>2323</v>
      </c>
      <c r="V720" s="31" t="s">
        <v>2211</v>
      </c>
      <c r="W720" s="105" t="s">
        <v>50</v>
      </c>
      <c r="X720" s="1" t="s">
        <v>2969</v>
      </c>
      <c r="Y720" s="31">
        <v>43115</v>
      </c>
      <c r="Z720" s="108">
        <v>54686940</v>
      </c>
      <c r="AA720" s="107" t="s">
        <v>2889</v>
      </c>
      <c r="AB720" s="20">
        <v>511</v>
      </c>
      <c r="AC720" s="31">
        <v>43116</v>
      </c>
      <c r="AD720" s="108">
        <v>54686940</v>
      </c>
      <c r="AE720" s="109">
        <f t="shared" si="63"/>
        <v>0</v>
      </c>
      <c r="AF720" s="20">
        <v>1916</v>
      </c>
      <c r="AG720" s="31">
        <v>43237</v>
      </c>
      <c r="AH720" s="108">
        <v>54686940</v>
      </c>
      <c r="AI720" s="1" t="s">
        <v>2970</v>
      </c>
      <c r="AJ720" s="1">
        <v>2065</v>
      </c>
      <c r="AK720" s="109">
        <f t="shared" si="64"/>
        <v>0</v>
      </c>
      <c r="AL720" s="108">
        <v>54686940</v>
      </c>
      <c r="AM720" s="108">
        <f t="shared" si="65"/>
        <v>0</v>
      </c>
      <c r="AN720" s="1" t="s">
        <v>2308</v>
      </c>
      <c r="AO720" s="108">
        <f t="shared" si="66"/>
        <v>0</v>
      </c>
      <c r="AP720" s="1"/>
      <c r="AQ720" s="1"/>
      <c r="AR720" s="1"/>
      <c r="AS720" s="1"/>
      <c r="AT720" s="1"/>
      <c r="AU720" s="211"/>
    </row>
    <row r="721" spans="1:47" ht="293.25" x14ac:dyDescent="0.2">
      <c r="A721" s="1">
        <v>231</v>
      </c>
      <c r="B721" s="1" t="str">
        <f t="shared" si="62"/>
        <v>3075-231</v>
      </c>
      <c r="C721" s="99" t="s">
        <v>2294</v>
      </c>
      <c r="D721" s="100" t="s">
        <v>2295</v>
      </c>
      <c r="E721" s="100" t="s">
        <v>2578</v>
      </c>
      <c r="F721" s="99" t="s">
        <v>2328</v>
      </c>
      <c r="G721" s="117" t="s">
        <v>2329</v>
      </c>
      <c r="H721" s="102" t="s">
        <v>2579</v>
      </c>
      <c r="I721" s="100" t="s">
        <v>2300</v>
      </c>
      <c r="J721" s="100" t="s">
        <v>2301</v>
      </c>
      <c r="K721" s="100" t="s">
        <v>50</v>
      </c>
      <c r="L721" s="1" t="s">
        <v>2302</v>
      </c>
      <c r="M721" s="1" t="s">
        <v>493</v>
      </c>
      <c r="N721" s="1" t="s">
        <v>494</v>
      </c>
      <c r="O721" s="100" t="s">
        <v>2369</v>
      </c>
      <c r="P721" s="1" t="s">
        <v>2971</v>
      </c>
      <c r="Q721" s="106">
        <v>54686940</v>
      </c>
      <c r="R721" s="122">
        <v>1</v>
      </c>
      <c r="S721" s="104">
        <v>54686940</v>
      </c>
      <c r="T721" s="1" t="s">
        <v>2323</v>
      </c>
      <c r="U721" s="1" t="s">
        <v>2323</v>
      </c>
      <c r="V721" s="31" t="s">
        <v>620</v>
      </c>
      <c r="W721" s="105" t="s">
        <v>50</v>
      </c>
      <c r="X721" s="1" t="s">
        <v>2972</v>
      </c>
      <c r="Y721" s="31">
        <v>43115</v>
      </c>
      <c r="Z721" s="108">
        <v>54686940</v>
      </c>
      <c r="AA721" s="107" t="s">
        <v>2889</v>
      </c>
      <c r="AB721" s="20">
        <v>512</v>
      </c>
      <c r="AC721" s="31">
        <v>43116</v>
      </c>
      <c r="AD721" s="108">
        <v>54686940</v>
      </c>
      <c r="AE721" s="109">
        <f t="shared" si="63"/>
        <v>0</v>
      </c>
      <c r="AF721" s="20">
        <v>526</v>
      </c>
      <c r="AG721" s="31">
        <v>43132</v>
      </c>
      <c r="AH721" s="108">
        <v>54686940</v>
      </c>
      <c r="AI721" s="1" t="s">
        <v>2973</v>
      </c>
      <c r="AJ721" s="1">
        <v>334</v>
      </c>
      <c r="AK721" s="109">
        <f t="shared" si="64"/>
        <v>0</v>
      </c>
      <c r="AL721" s="108">
        <v>54686940</v>
      </c>
      <c r="AM721" s="108">
        <f t="shared" si="65"/>
        <v>0</v>
      </c>
      <c r="AN721" s="1" t="s">
        <v>2308</v>
      </c>
      <c r="AO721" s="108">
        <f t="shared" si="66"/>
        <v>0</v>
      </c>
      <c r="AP721" s="1"/>
      <c r="AQ721" s="1"/>
      <c r="AR721" s="1"/>
      <c r="AS721" s="1"/>
      <c r="AT721" s="1"/>
      <c r="AU721" s="211"/>
    </row>
    <row r="722" spans="1:47" ht="293.25" x14ac:dyDescent="0.2">
      <c r="A722" s="1">
        <v>232</v>
      </c>
      <c r="B722" s="1" t="str">
        <f t="shared" si="62"/>
        <v>3075-232</v>
      </c>
      <c r="C722" s="99" t="s">
        <v>2294</v>
      </c>
      <c r="D722" s="100" t="s">
        <v>2295</v>
      </c>
      <c r="E722" s="100" t="s">
        <v>2578</v>
      </c>
      <c r="F722" s="99" t="s">
        <v>2328</v>
      </c>
      <c r="G722" s="117" t="s">
        <v>2329</v>
      </c>
      <c r="H722" s="102" t="s">
        <v>2579</v>
      </c>
      <c r="I722" s="100" t="s">
        <v>2300</v>
      </c>
      <c r="J722" s="100" t="s">
        <v>2301</v>
      </c>
      <c r="K722" s="100" t="s">
        <v>50</v>
      </c>
      <c r="L722" s="1" t="s">
        <v>2302</v>
      </c>
      <c r="M722" s="1" t="s">
        <v>493</v>
      </c>
      <c r="N722" s="1" t="s">
        <v>494</v>
      </c>
      <c r="O722" s="100" t="s">
        <v>2369</v>
      </c>
      <c r="P722" s="1" t="s">
        <v>2974</v>
      </c>
      <c r="Q722" s="106">
        <v>54686940</v>
      </c>
      <c r="R722" s="122">
        <v>1</v>
      </c>
      <c r="S722" s="104">
        <v>54686940</v>
      </c>
      <c r="T722" s="1" t="s">
        <v>2323</v>
      </c>
      <c r="U722" s="1" t="s">
        <v>2323</v>
      </c>
      <c r="V722" s="31" t="s">
        <v>516</v>
      </c>
      <c r="W722" s="105" t="s">
        <v>50</v>
      </c>
      <c r="X722" s="1" t="s">
        <v>2975</v>
      </c>
      <c r="Y722" s="31">
        <v>43115</v>
      </c>
      <c r="Z722" s="108">
        <v>54686940</v>
      </c>
      <c r="AA722" s="107" t="s">
        <v>2889</v>
      </c>
      <c r="AB722" s="20">
        <v>513</v>
      </c>
      <c r="AC722" s="31">
        <v>43116</v>
      </c>
      <c r="AD722" s="108">
        <v>54686940</v>
      </c>
      <c r="AE722" s="109">
        <f t="shared" si="63"/>
        <v>0</v>
      </c>
      <c r="AF722" s="20">
        <v>512</v>
      </c>
      <c r="AG722" s="31">
        <v>43129</v>
      </c>
      <c r="AH722" s="108">
        <v>54686940</v>
      </c>
      <c r="AI722" s="1" t="s">
        <v>2976</v>
      </c>
      <c r="AJ722" s="1">
        <v>205</v>
      </c>
      <c r="AK722" s="109">
        <f t="shared" si="64"/>
        <v>0</v>
      </c>
      <c r="AL722" s="108">
        <v>54686940</v>
      </c>
      <c r="AM722" s="108">
        <f t="shared" si="65"/>
        <v>0</v>
      </c>
      <c r="AN722" s="1" t="s">
        <v>2308</v>
      </c>
      <c r="AO722" s="108">
        <f t="shared" si="66"/>
        <v>0</v>
      </c>
      <c r="AP722" s="1"/>
      <c r="AQ722" s="1"/>
      <c r="AR722" s="1"/>
      <c r="AS722" s="1"/>
      <c r="AT722" s="1"/>
      <c r="AU722" s="211"/>
    </row>
    <row r="723" spans="1:47" ht="293.25" x14ac:dyDescent="0.2">
      <c r="A723" s="1">
        <v>233</v>
      </c>
      <c r="B723" s="1" t="str">
        <f t="shared" si="62"/>
        <v>3075-233</v>
      </c>
      <c r="C723" s="99" t="s">
        <v>2294</v>
      </c>
      <c r="D723" s="100" t="s">
        <v>2295</v>
      </c>
      <c r="E723" s="100" t="s">
        <v>2578</v>
      </c>
      <c r="F723" s="99" t="s">
        <v>2328</v>
      </c>
      <c r="G723" s="117" t="s">
        <v>2329</v>
      </c>
      <c r="H723" s="102" t="s">
        <v>2579</v>
      </c>
      <c r="I723" s="100" t="s">
        <v>2300</v>
      </c>
      <c r="J723" s="100" t="s">
        <v>2301</v>
      </c>
      <c r="K723" s="100" t="s">
        <v>50</v>
      </c>
      <c r="L723" s="1" t="s">
        <v>2302</v>
      </c>
      <c r="M723" s="1" t="s">
        <v>493</v>
      </c>
      <c r="N723" s="1" t="s">
        <v>494</v>
      </c>
      <c r="O723" s="100" t="s">
        <v>2369</v>
      </c>
      <c r="P723" s="1" t="s">
        <v>2977</v>
      </c>
      <c r="Q723" s="106">
        <v>54686940</v>
      </c>
      <c r="R723" s="122">
        <v>1</v>
      </c>
      <c r="S723" s="104">
        <v>54686940</v>
      </c>
      <c r="T723" s="1" t="s">
        <v>2323</v>
      </c>
      <c r="U723" s="1" t="s">
        <v>2323</v>
      </c>
      <c r="V723" s="31" t="s">
        <v>620</v>
      </c>
      <c r="W723" s="105" t="s">
        <v>50</v>
      </c>
      <c r="X723" s="1" t="s">
        <v>2978</v>
      </c>
      <c r="Y723" s="31">
        <v>43115</v>
      </c>
      <c r="Z723" s="108">
        <v>54686940</v>
      </c>
      <c r="AA723" s="107" t="s">
        <v>2889</v>
      </c>
      <c r="AB723" s="20">
        <v>514</v>
      </c>
      <c r="AC723" s="31">
        <v>43116</v>
      </c>
      <c r="AD723" s="108">
        <v>54686940</v>
      </c>
      <c r="AE723" s="109">
        <f t="shared" si="63"/>
        <v>0</v>
      </c>
      <c r="AF723" s="20">
        <v>809</v>
      </c>
      <c r="AG723" s="31">
        <v>43138</v>
      </c>
      <c r="AH723" s="108">
        <v>54686940</v>
      </c>
      <c r="AI723" s="1" t="s">
        <v>2979</v>
      </c>
      <c r="AJ723" s="1">
        <v>597</v>
      </c>
      <c r="AK723" s="109">
        <f t="shared" si="64"/>
        <v>0</v>
      </c>
      <c r="AL723" s="108">
        <v>54686940</v>
      </c>
      <c r="AM723" s="108">
        <f t="shared" si="65"/>
        <v>0</v>
      </c>
      <c r="AN723" s="1" t="s">
        <v>2308</v>
      </c>
      <c r="AO723" s="108">
        <f t="shared" si="66"/>
        <v>0</v>
      </c>
      <c r="AP723" s="1"/>
      <c r="AQ723" s="1"/>
      <c r="AR723" s="1"/>
      <c r="AS723" s="1"/>
      <c r="AT723" s="1"/>
      <c r="AU723" s="211"/>
    </row>
    <row r="724" spans="1:47" ht="293.25" x14ac:dyDescent="0.2">
      <c r="A724" s="1">
        <v>234</v>
      </c>
      <c r="B724" s="1" t="str">
        <f t="shared" si="62"/>
        <v>3075-234</v>
      </c>
      <c r="C724" s="99" t="s">
        <v>2294</v>
      </c>
      <c r="D724" s="100" t="s">
        <v>2295</v>
      </c>
      <c r="E724" s="100" t="s">
        <v>2578</v>
      </c>
      <c r="F724" s="99" t="s">
        <v>2328</v>
      </c>
      <c r="G724" s="117" t="s">
        <v>2329</v>
      </c>
      <c r="H724" s="102" t="s">
        <v>2579</v>
      </c>
      <c r="I724" s="100" t="s">
        <v>2300</v>
      </c>
      <c r="J724" s="100" t="s">
        <v>2301</v>
      </c>
      <c r="K724" s="100" t="s">
        <v>50</v>
      </c>
      <c r="L724" s="1" t="s">
        <v>2302</v>
      </c>
      <c r="M724" s="1" t="s">
        <v>493</v>
      </c>
      <c r="N724" s="1" t="s">
        <v>494</v>
      </c>
      <c r="O724" s="100" t="s">
        <v>2369</v>
      </c>
      <c r="P724" s="1" t="s">
        <v>2977</v>
      </c>
      <c r="Q724" s="106">
        <v>54686940</v>
      </c>
      <c r="R724" s="122">
        <v>1</v>
      </c>
      <c r="S724" s="104">
        <v>54686940</v>
      </c>
      <c r="T724" s="1" t="s">
        <v>2323</v>
      </c>
      <c r="U724" s="1" t="s">
        <v>2323</v>
      </c>
      <c r="V724" s="31" t="s">
        <v>620</v>
      </c>
      <c r="W724" s="105" t="s">
        <v>50</v>
      </c>
      <c r="X724" s="1" t="s">
        <v>2980</v>
      </c>
      <c r="Y724" s="31">
        <v>43117</v>
      </c>
      <c r="Z724" s="108">
        <v>54686940</v>
      </c>
      <c r="AA724" s="107" t="s">
        <v>2889</v>
      </c>
      <c r="AB724" s="20">
        <v>533</v>
      </c>
      <c r="AC724" s="31">
        <v>43118</v>
      </c>
      <c r="AD724" s="108">
        <v>54686940</v>
      </c>
      <c r="AE724" s="109">
        <f t="shared" si="63"/>
        <v>0</v>
      </c>
      <c r="AF724" s="20">
        <v>521</v>
      </c>
      <c r="AG724" s="31">
        <v>43132</v>
      </c>
      <c r="AH724" s="108">
        <v>54686940</v>
      </c>
      <c r="AI724" s="1" t="s">
        <v>2981</v>
      </c>
      <c r="AJ724" s="1">
        <v>336</v>
      </c>
      <c r="AK724" s="109">
        <f t="shared" si="64"/>
        <v>0</v>
      </c>
      <c r="AL724" s="108">
        <v>54686940</v>
      </c>
      <c r="AM724" s="108">
        <f t="shared" si="65"/>
        <v>0</v>
      </c>
      <c r="AN724" s="1" t="s">
        <v>2308</v>
      </c>
      <c r="AO724" s="108">
        <f t="shared" si="66"/>
        <v>0</v>
      </c>
      <c r="AP724" s="1"/>
      <c r="AQ724" s="1"/>
      <c r="AR724" s="1"/>
      <c r="AS724" s="1"/>
      <c r="AT724" s="1"/>
      <c r="AU724" s="211"/>
    </row>
    <row r="725" spans="1:47" ht="293.25" x14ac:dyDescent="0.2">
      <c r="A725" s="1">
        <v>235</v>
      </c>
      <c r="B725" s="1" t="str">
        <f t="shared" si="62"/>
        <v>3075-235</v>
      </c>
      <c r="C725" s="99" t="s">
        <v>2294</v>
      </c>
      <c r="D725" s="100" t="s">
        <v>2295</v>
      </c>
      <c r="E725" s="100" t="s">
        <v>2578</v>
      </c>
      <c r="F725" s="99" t="s">
        <v>2328</v>
      </c>
      <c r="G725" s="117" t="s">
        <v>2329</v>
      </c>
      <c r="H725" s="102" t="s">
        <v>2579</v>
      </c>
      <c r="I725" s="100" t="s">
        <v>2300</v>
      </c>
      <c r="J725" s="100" t="s">
        <v>2301</v>
      </c>
      <c r="K725" s="100" t="s">
        <v>50</v>
      </c>
      <c r="L725" s="1" t="s">
        <v>2302</v>
      </c>
      <c r="M725" s="1" t="s">
        <v>493</v>
      </c>
      <c r="N725" s="1" t="s">
        <v>494</v>
      </c>
      <c r="O725" s="100" t="s">
        <v>2369</v>
      </c>
      <c r="P725" s="1" t="s">
        <v>2982</v>
      </c>
      <c r="Q725" s="106">
        <v>54686940</v>
      </c>
      <c r="R725" s="122">
        <v>1</v>
      </c>
      <c r="S725" s="104">
        <v>54686940</v>
      </c>
      <c r="T725" s="1" t="s">
        <v>2323</v>
      </c>
      <c r="U725" s="1" t="s">
        <v>2323</v>
      </c>
      <c r="V725" s="31" t="s">
        <v>620</v>
      </c>
      <c r="W725" s="105" t="s">
        <v>50</v>
      </c>
      <c r="X725" s="1" t="s">
        <v>2983</v>
      </c>
      <c r="Y725" s="31">
        <v>43117</v>
      </c>
      <c r="Z725" s="108">
        <v>54686940</v>
      </c>
      <c r="AA725" s="107" t="s">
        <v>2889</v>
      </c>
      <c r="AB725" s="20">
        <v>534</v>
      </c>
      <c r="AC725" s="31">
        <v>43118</v>
      </c>
      <c r="AD725" s="108">
        <v>54686940</v>
      </c>
      <c r="AE725" s="109">
        <f t="shared" si="63"/>
        <v>0</v>
      </c>
      <c r="AF725" s="20">
        <v>519</v>
      </c>
      <c r="AG725" s="31">
        <v>43132</v>
      </c>
      <c r="AH725" s="108">
        <v>54686940</v>
      </c>
      <c r="AI725" s="1" t="s">
        <v>2984</v>
      </c>
      <c r="AJ725" s="1">
        <v>340</v>
      </c>
      <c r="AK725" s="109">
        <f t="shared" si="64"/>
        <v>0</v>
      </c>
      <c r="AL725" s="108">
        <v>54686940</v>
      </c>
      <c r="AM725" s="108">
        <f t="shared" si="65"/>
        <v>0</v>
      </c>
      <c r="AN725" s="1" t="s">
        <v>2308</v>
      </c>
      <c r="AO725" s="108">
        <f t="shared" si="66"/>
        <v>0</v>
      </c>
      <c r="AP725" s="1"/>
      <c r="AQ725" s="1"/>
      <c r="AR725" s="1"/>
      <c r="AS725" s="1"/>
      <c r="AT725" s="1"/>
      <c r="AU725" s="211"/>
    </row>
    <row r="726" spans="1:47" ht="293.25" x14ac:dyDescent="0.2">
      <c r="A726" s="1">
        <v>236</v>
      </c>
      <c r="B726" s="1" t="str">
        <f t="shared" si="62"/>
        <v>3075-236</v>
      </c>
      <c r="C726" s="99" t="s">
        <v>2294</v>
      </c>
      <c r="D726" s="100" t="s">
        <v>2295</v>
      </c>
      <c r="E726" s="100" t="s">
        <v>2578</v>
      </c>
      <c r="F726" s="99" t="s">
        <v>2328</v>
      </c>
      <c r="G726" s="117" t="s">
        <v>2329</v>
      </c>
      <c r="H726" s="102" t="s">
        <v>2579</v>
      </c>
      <c r="I726" s="100" t="s">
        <v>2300</v>
      </c>
      <c r="J726" s="100" t="s">
        <v>2301</v>
      </c>
      <c r="K726" s="100" t="s">
        <v>50</v>
      </c>
      <c r="L726" s="1" t="s">
        <v>2302</v>
      </c>
      <c r="M726" s="1" t="s">
        <v>493</v>
      </c>
      <c r="N726" s="1" t="s">
        <v>494</v>
      </c>
      <c r="O726" s="100" t="s">
        <v>2369</v>
      </c>
      <c r="P726" s="1" t="s">
        <v>2985</v>
      </c>
      <c r="Q726" s="106">
        <v>54686940</v>
      </c>
      <c r="R726" s="122">
        <v>1</v>
      </c>
      <c r="S726" s="104">
        <v>54686940</v>
      </c>
      <c r="T726" s="1" t="s">
        <v>2323</v>
      </c>
      <c r="U726" s="1" t="s">
        <v>2323</v>
      </c>
      <c r="V726" s="31" t="s">
        <v>620</v>
      </c>
      <c r="W726" s="105" t="s">
        <v>50</v>
      </c>
      <c r="X726" s="1" t="s">
        <v>2986</v>
      </c>
      <c r="Y726" s="31">
        <v>43117</v>
      </c>
      <c r="Z726" s="108">
        <v>54686940</v>
      </c>
      <c r="AA726" s="107" t="s">
        <v>2889</v>
      </c>
      <c r="AB726" s="20">
        <v>535</v>
      </c>
      <c r="AC726" s="31">
        <v>43118</v>
      </c>
      <c r="AD726" s="108">
        <v>54686940</v>
      </c>
      <c r="AE726" s="109">
        <f t="shared" si="63"/>
        <v>0</v>
      </c>
      <c r="AF726" s="20">
        <v>524</v>
      </c>
      <c r="AG726" s="31">
        <v>43132</v>
      </c>
      <c r="AH726" s="108">
        <v>54686940</v>
      </c>
      <c r="AI726" s="1" t="s">
        <v>2987</v>
      </c>
      <c r="AJ726" s="1">
        <v>338</v>
      </c>
      <c r="AK726" s="109">
        <f t="shared" si="64"/>
        <v>0</v>
      </c>
      <c r="AL726" s="108">
        <v>54686940</v>
      </c>
      <c r="AM726" s="108">
        <f t="shared" si="65"/>
        <v>0</v>
      </c>
      <c r="AN726" s="1" t="s">
        <v>2308</v>
      </c>
      <c r="AO726" s="108">
        <f t="shared" si="66"/>
        <v>0</v>
      </c>
      <c r="AP726" s="1"/>
      <c r="AQ726" s="1"/>
      <c r="AR726" s="1"/>
      <c r="AS726" s="1"/>
      <c r="AT726" s="1"/>
      <c r="AU726" s="211"/>
    </row>
    <row r="727" spans="1:47" ht="293.25" x14ac:dyDescent="0.2">
      <c r="A727" s="1">
        <v>237</v>
      </c>
      <c r="B727" s="1" t="str">
        <f t="shared" si="62"/>
        <v>3075-237</v>
      </c>
      <c r="C727" s="99" t="s">
        <v>2294</v>
      </c>
      <c r="D727" s="100" t="s">
        <v>2295</v>
      </c>
      <c r="E727" s="100" t="s">
        <v>2578</v>
      </c>
      <c r="F727" s="99" t="s">
        <v>2328</v>
      </c>
      <c r="G727" s="117" t="s">
        <v>2329</v>
      </c>
      <c r="H727" s="102" t="s">
        <v>2579</v>
      </c>
      <c r="I727" s="100" t="s">
        <v>2300</v>
      </c>
      <c r="J727" s="100" t="s">
        <v>2301</v>
      </c>
      <c r="K727" s="100" t="s">
        <v>50</v>
      </c>
      <c r="L727" s="1" t="s">
        <v>2302</v>
      </c>
      <c r="M727" s="1" t="s">
        <v>493</v>
      </c>
      <c r="N727" s="1" t="s">
        <v>494</v>
      </c>
      <c r="O727" s="100" t="s">
        <v>2369</v>
      </c>
      <c r="P727" s="1" t="s">
        <v>2988</v>
      </c>
      <c r="Q727" s="106">
        <v>54686940</v>
      </c>
      <c r="R727" s="122">
        <v>1</v>
      </c>
      <c r="S727" s="104">
        <v>54686940</v>
      </c>
      <c r="T727" s="1" t="s">
        <v>2323</v>
      </c>
      <c r="U727" s="1" t="s">
        <v>2323</v>
      </c>
      <c r="V727" s="31" t="s">
        <v>620</v>
      </c>
      <c r="W727" s="105" t="s">
        <v>50</v>
      </c>
      <c r="X727" s="1" t="s">
        <v>2989</v>
      </c>
      <c r="Y727" s="31">
        <v>43117</v>
      </c>
      <c r="Z727" s="108">
        <v>54686940</v>
      </c>
      <c r="AA727" s="107" t="s">
        <v>2889</v>
      </c>
      <c r="AB727" s="20">
        <v>537</v>
      </c>
      <c r="AC727" s="31">
        <v>43118</v>
      </c>
      <c r="AD727" s="108">
        <v>54686940</v>
      </c>
      <c r="AE727" s="109">
        <f t="shared" si="63"/>
        <v>0</v>
      </c>
      <c r="AF727" s="20">
        <v>523</v>
      </c>
      <c r="AG727" s="31">
        <v>43132</v>
      </c>
      <c r="AH727" s="108">
        <v>54686940</v>
      </c>
      <c r="AI727" s="1" t="s">
        <v>2990</v>
      </c>
      <c r="AJ727" s="1">
        <v>337</v>
      </c>
      <c r="AK727" s="109">
        <f t="shared" si="64"/>
        <v>0</v>
      </c>
      <c r="AL727" s="108">
        <v>54686940</v>
      </c>
      <c r="AM727" s="108">
        <f t="shared" si="65"/>
        <v>0</v>
      </c>
      <c r="AN727" s="1" t="s">
        <v>2308</v>
      </c>
      <c r="AO727" s="108">
        <f t="shared" si="66"/>
        <v>0</v>
      </c>
      <c r="AP727" s="1"/>
      <c r="AQ727" s="1"/>
      <c r="AR727" s="1"/>
      <c r="AS727" s="1"/>
      <c r="AT727" s="1"/>
      <c r="AU727" s="211"/>
    </row>
    <row r="728" spans="1:47" ht="293.25" x14ac:dyDescent="0.2">
      <c r="A728" s="1">
        <v>238</v>
      </c>
      <c r="B728" s="1" t="str">
        <f t="shared" si="62"/>
        <v>3075-238</v>
      </c>
      <c r="C728" s="99" t="s">
        <v>2294</v>
      </c>
      <c r="D728" s="100" t="s">
        <v>2295</v>
      </c>
      <c r="E728" s="100" t="s">
        <v>2578</v>
      </c>
      <c r="F728" s="99" t="s">
        <v>2328</v>
      </c>
      <c r="G728" s="117" t="s">
        <v>2329</v>
      </c>
      <c r="H728" s="102" t="s">
        <v>2579</v>
      </c>
      <c r="I728" s="100" t="s">
        <v>2300</v>
      </c>
      <c r="J728" s="100" t="s">
        <v>2301</v>
      </c>
      <c r="K728" s="100" t="s">
        <v>50</v>
      </c>
      <c r="L728" s="1" t="s">
        <v>2302</v>
      </c>
      <c r="M728" s="1" t="s">
        <v>493</v>
      </c>
      <c r="N728" s="1" t="s">
        <v>494</v>
      </c>
      <c r="O728" s="100" t="s">
        <v>2369</v>
      </c>
      <c r="P728" s="1" t="s">
        <v>2991</v>
      </c>
      <c r="Q728" s="106">
        <v>54686940</v>
      </c>
      <c r="R728" s="122">
        <v>1</v>
      </c>
      <c r="S728" s="104">
        <v>54686940</v>
      </c>
      <c r="T728" s="1" t="s">
        <v>2323</v>
      </c>
      <c r="U728" s="1" t="s">
        <v>2323</v>
      </c>
      <c r="V728" s="31" t="s">
        <v>620</v>
      </c>
      <c r="W728" s="105" t="s">
        <v>50</v>
      </c>
      <c r="X728" s="1" t="s">
        <v>2992</v>
      </c>
      <c r="Y728" s="31">
        <v>43117</v>
      </c>
      <c r="Z728" s="108">
        <v>54686940</v>
      </c>
      <c r="AA728" s="107" t="s">
        <v>2889</v>
      </c>
      <c r="AB728" s="20">
        <v>538</v>
      </c>
      <c r="AC728" s="31">
        <v>43118</v>
      </c>
      <c r="AD728" s="108">
        <v>54686940</v>
      </c>
      <c r="AE728" s="109">
        <f t="shared" si="63"/>
        <v>0</v>
      </c>
      <c r="AF728" s="20">
        <v>1333</v>
      </c>
      <c r="AG728" s="31">
        <v>43144</v>
      </c>
      <c r="AH728" s="108">
        <v>54686940</v>
      </c>
      <c r="AI728" s="1" t="s">
        <v>2993</v>
      </c>
      <c r="AJ728" s="1">
        <v>762</v>
      </c>
      <c r="AK728" s="109">
        <f t="shared" si="64"/>
        <v>0</v>
      </c>
      <c r="AL728" s="108">
        <v>54686940</v>
      </c>
      <c r="AM728" s="108">
        <f t="shared" si="65"/>
        <v>0</v>
      </c>
      <c r="AN728" s="1" t="s">
        <v>2308</v>
      </c>
      <c r="AO728" s="108">
        <f t="shared" si="66"/>
        <v>0</v>
      </c>
      <c r="AP728" s="1"/>
      <c r="AQ728" s="1"/>
      <c r="AR728" s="1"/>
      <c r="AS728" s="1"/>
      <c r="AT728" s="1"/>
      <c r="AU728" s="211"/>
    </row>
    <row r="729" spans="1:47" ht="293.25" x14ac:dyDescent="0.2">
      <c r="A729" s="1">
        <v>239</v>
      </c>
      <c r="B729" s="1" t="str">
        <f t="shared" si="62"/>
        <v>3075-239</v>
      </c>
      <c r="C729" s="99" t="s">
        <v>2294</v>
      </c>
      <c r="D729" s="100" t="s">
        <v>2295</v>
      </c>
      <c r="E729" s="100" t="s">
        <v>2578</v>
      </c>
      <c r="F729" s="99" t="s">
        <v>2328</v>
      </c>
      <c r="G729" s="117" t="s">
        <v>2329</v>
      </c>
      <c r="H729" s="102" t="s">
        <v>2579</v>
      </c>
      <c r="I729" s="100" t="s">
        <v>2300</v>
      </c>
      <c r="J729" s="100" t="s">
        <v>2301</v>
      </c>
      <c r="K729" s="100" t="s">
        <v>50</v>
      </c>
      <c r="L729" s="1" t="s">
        <v>2302</v>
      </c>
      <c r="M729" s="1" t="s">
        <v>493</v>
      </c>
      <c r="N729" s="1" t="s">
        <v>494</v>
      </c>
      <c r="O729" s="100" t="s">
        <v>2369</v>
      </c>
      <c r="P729" s="1" t="s">
        <v>2994</v>
      </c>
      <c r="Q729" s="106">
        <v>54686940</v>
      </c>
      <c r="R729" s="122">
        <v>1</v>
      </c>
      <c r="S729" s="104">
        <v>54686940</v>
      </c>
      <c r="T729" s="1" t="s">
        <v>2323</v>
      </c>
      <c r="U729" s="1" t="s">
        <v>2323</v>
      </c>
      <c r="V729" s="31" t="s">
        <v>620</v>
      </c>
      <c r="W729" s="105" t="s">
        <v>50</v>
      </c>
      <c r="X729" s="1" t="s">
        <v>2995</v>
      </c>
      <c r="Y729" s="31">
        <v>43117</v>
      </c>
      <c r="Z729" s="108">
        <v>54686940</v>
      </c>
      <c r="AA729" s="107" t="s">
        <v>2889</v>
      </c>
      <c r="AB729" s="20">
        <v>539</v>
      </c>
      <c r="AC729" s="31">
        <v>43118</v>
      </c>
      <c r="AD729" s="108">
        <v>54686940</v>
      </c>
      <c r="AE729" s="109">
        <f t="shared" si="63"/>
        <v>0</v>
      </c>
      <c r="AF729" s="20">
        <v>638</v>
      </c>
      <c r="AG729" s="31">
        <v>43133</v>
      </c>
      <c r="AH729" s="108">
        <v>54686940</v>
      </c>
      <c r="AI729" s="1" t="s">
        <v>2996</v>
      </c>
      <c r="AJ729" s="1">
        <v>512</v>
      </c>
      <c r="AK729" s="109">
        <f t="shared" si="64"/>
        <v>0</v>
      </c>
      <c r="AL729" s="108">
        <v>54686940</v>
      </c>
      <c r="AM729" s="108">
        <f t="shared" si="65"/>
        <v>0</v>
      </c>
      <c r="AN729" s="1" t="s">
        <v>2308</v>
      </c>
      <c r="AO729" s="108">
        <f t="shared" si="66"/>
        <v>0</v>
      </c>
      <c r="AP729" s="1"/>
      <c r="AQ729" s="1"/>
      <c r="AR729" s="1"/>
      <c r="AS729" s="1"/>
      <c r="AT729" s="1"/>
      <c r="AU729" s="211"/>
    </row>
    <row r="730" spans="1:47" ht="293.25" x14ac:dyDescent="0.2">
      <c r="A730" s="1">
        <v>240</v>
      </c>
      <c r="B730" s="1" t="str">
        <f t="shared" si="62"/>
        <v>3075-240</v>
      </c>
      <c r="C730" s="99" t="s">
        <v>2294</v>
      </c>
      <c r="D730" s="100" t="s">
        <v>2295</v>
      </c>
      <c r="E730" s="100" t="s">
        <v>2578</v>
      </c>
      <c r="F730" s="99" t="s">
        <v>2328</v>
      </c>
      <c r="G730" s="117" t="s">
        <v>2329</v>
      </c>
      <c r="H730" s="102" t="s">
        <v>2579</v>
      </c>
      <c r="I730" s="100" t="s">
        <v>2300</v>
      </c>
      <c r="J730" s="100" t="s">
        <v>2301</v>
      </c>
      <c r="K730" s="100" t="s">
        <v>50</v>
      </c>
      <c r="L730" s="1" t="s">
        <v>2302</v>
      </c>
      <c r="M730" s="1" t="s">
        <v>493</v>
      </c>
      <c r="N730" s="1" t="s">
        <v>494</v>
      </c>
      <c r="O730" s="100" t="s">
        <v>2369</v>
      </c>
      <c r="P730" s="1" t="s">
        <v>2997</v>
      </c>
      <c r="Q730" s="106">
        <v>54686940</v>
      </c>
      <c r="R730" s="122">
        <v>1</v>
      </c>
      <c r="S730" s="104">
        <v>54686940</v>
      </c>
      <c r="T730" s="1" t="s">
        <v>2323</v>
      </c>
      <c r="U730" s="1" t="s">
        <v>2323</v>
      </c>
      <c r="V730" s="31" t="s">
        <v>620</v>
      </c>
      <c r="W730" s="105" t="s">
        <v>50</v>
      </c>
      <c r="X730" s="1" t="s">
        <v>2998</v>
      </c>
      <c r="Y730" s="31">
        <v>43117</v>
      </c>
      <c r="Z730" s="108">
        <v>54686940</v>
      </c>
      <c r="AA730" s="107" t="s">
        <v>2889</v>
      </c>
      <c r="AB730" s="20">
        <v>540</v>
      </c>
      <c r="AC730" s="31">
        <v>43118</v>
      </c>
      <c r="AD730" s="108">
        <v>54686940</v>
      </c>
      <c r="AE730" s="109">
        <f t="shared" si="63"/>
        <v>0</v>
      </c>
      <c r="AF730" s="20">
        <v>525</v>
      </c>
      <c r="AG730" s="31">
        <v>43132</v>
      </c>
      <c r="AH730" s="108">
        <v>54686940</v>
      </c>
      <c r="AI730" s="1" t="s">
        <v>2999</v>
      </c>
      <c r="AJ730" s="1">
        <v>333</v>
      </c>
      <c r="AK730" s="109">
        <f t="shared" si="64"/>
        <v>0</v>
      </c>
      <c r="AL730" s="108">
        <v>54686940</v>
      </c>
      <c r="AM730" s="108">
        <f t="shared" si="65"/>
        <v>0</v>
      </c>
      <c r="AN730" s="1" t="s">
        <v>2308</v>
      </c>
      <c r="AO730" s="108">
        <f t="shared" si="66"/>
        <v>0</v>
      </c>
      <c r="AP730" s="1"/>
      <c r="AQ730" s="1"/>
      <c r="AR730" s="1"/>
      <c r="AS730" s="1"/>
      <c r="AT730" s="1"/>
      <c r="AU730" s="211"/>
    </row>
    <row r="731" spans="1:47" ht="280.5" x14ac:dyDescent="0.2">
      <c r="A731" s="1">
        <v>241</v>
      </c>
      <c r="B731" s="1" t="str">
        <f t="shared" si="62"/>
        <v>3075-241</v>
      </c>
      <c r="C731" s="99" t="s">
        <v>2294</v>
      </c>
      <c r="D731" s="100" t="s">
        <v>2295</v>
      </c>
      <c r="E731" s="100" t="s">
        <v>2327</v>
      </c>
      <c r="F731" s="99" t="s">
        <v>2328</v>
      </c>
      <c r="G731" s="101" t="s">
        <v>2329</v>
      </c>
      <c r="H731" s="102" t="s">
        <v>2330</v>
      </c>
      <c r="I731" s="100" t="s">
        <v>2300</v>
      </c>
      <c r="J731" s="100" t="s">
        <v>2301</v>
      </c>
      <c r="K731" s="100" t="s">
        <v>50</v>
      </c>
      <c r="L731" s="1" t="s">
        <v>2302</v>
      </c>
      <c r="M731" s="1" t="s">
        <v>493</v>
      </c>
      <c r="N731" s="1" t="s">
        <v>494</v>
      </c>
      <c r="O731" s="100" t="s">
        <v>2321</v>
      </c>
      <c r="P731" s="100" t="s">
        <v>3000</v>
      </c>
      <c r="Q731" s="103">
        <v>4739060</v>
      </c>
      <c r="R731" s="1">
        <v>1</v>
      </c>
      <c r="S731" s="104">
        <v>4739060</v>
      </c>
      <c r="T731" s="1" t="s">
        <v>2323</v>
      </c>
      <c r="U731" s="1" t="s">
        <v>2323</v>
      </c>
      <c r="V731" s="31" t="s">
        <v>620</v>
      </c>
      <c r="W731" s="105" t="s">
        <v>50</v>
      </c>
      <c r="X731" s="1" t="s">
        <v>3001</v>
      </c>
      <c r="Y731" s="31">
        <v>43123</v>
      </c>
      <c r="Z731" s="108">
        <v>4739060</v>
      </c>
      <c r="AA731" s="107" t="s">
        <v>2933</v>
      </c>
      <c r="AB731" s="20">
        <v>561</v>
      </c>
      <c r="AC731" s="31">
        <v>43124</v>
      </c>
      <c r="AD731" s="108">
        <v>4739060</v>
      </c>
      <c r="AE731" s="109">
        <f t="shared" si="63"/>
        <v>0</v>
      </c>
      <c r="AF731" s="20">
        <v>1458</v>
      </c>
      <c r="AG731" s="31">
        <v>43154</v>
      </c>
      <c r="AH731" s="108">
        <v>4739060</v>
      </c>
      <c r="AI731" s="1" t="s">
        <v>3002</v>
      </c>
      <c r="AJ731" s="1">
        <v>1378</v>
      </c>
      <c r="AK731" s="109">
        <f t="shared" si="64"/>
        <v>0</v>
      </c>
      <c r="AL731" s="108">
        <v>4739060</v>
      </c>
      <c r="AM731" s="108">
        <f t="shared" si="65"/>
        <v>0</v>
      </c>
      <c r="AN731" s="1" t="s">
        <v>2308</v>
      </c>
      <c r="AO731" s="108">
        <f t="shared" si="66"/>
        <v>0</v>
      </c>
      <c r="AP731" s="1"/>
      <c r="AQ731" s="1"/>
      <c r="AR731" s="1"/>
      <c r="AS731" s="1"/>
      <c r="AT731" s="1"/>
      <c r="AU731" s="211"/>
    </row>
    <row r="732" spans="1:47" ht="165.75" x14ac:dyDescent="0.2">
      <c r="A732" s="1">
        <v>242</v>
      </c>
      <c r="B732" s="1" t="str">
        <f t="shared" si="62"/>
        <v>3075-242</v>
      </c>
      <c r="C732" s="99" t="s">
        <v>2294</v>
      </c>
      <c r="D732" s="100" t="s">
        <v>2295</v>
      </c>
      <c r="E732" s="99" t="s">
        <v>2317</v>
      </c>
      <c r="F732" s="99" t="s">
        <v>2318</v>
      </c>
      <c r="G732" s="101" t="s">
        <v>2319</v>
      </c>
      <c r="H732" s="102" t="s">
        <v>2320</v>
      </c>
      <c r="I732" s="100" t="s">
        <v>2300</v>
      </c>
      <c r="J732" s="100" t="s">
        <v>2301</v>
      </c>
      <c r="K732" s="100" t="s">
        <v>50</v>
      </c>
      <c r="L732" s="1" t="s">
        <v>2302</v>
      </c>
      <c r="M732" s="1" t="s">
        <v>493</v>
      </c>
      <c r="N732" s="1" t="s">
        <v>494</v>
      </c>
      <c r="O732" s="100" t="s">
        <v>2321</v>
      </c>
      <c r="P732" s="112" t="s">
        <v>3003</v>
      </c>
      <c r="Q732" s="103">
        <v>6163200</v>
      </c>
      <c r="R732" s="1">
        <v>1</v>
      </c>
      <c r="S732" s="104">
        <v>6163200</v>
      </c>
      <c r="T732" s="1" t="s">
        <v>2323</v>
      </c>
      <c r="U732" s="1" t="s">
        <v>2323</v>
      </c>
      <c r="V732" s="31" t="s">
        <v>507</v>
      </c>
      <c r="W732" s="105" t="s">
        <v>50</v>
      </c>
      <c r="X732" s="1" t="s">
        <v>3004</v>
      </c>
      <c r="Y732" s="31">
        <v>43123</v>
      </c>
      <c r="Z732" s="108">
        <v>6163200</v>
      </c>
      <c r="AA732" s="107" t="s">
        <v>2929</v>
      </c>
      <c r="AB732" s="20">
        <v>562</v>
      </c>
      <c r="AC732" s="31">
        <v>43124</v>
      </c>
      <c r="AD732" s="108">
        <v>6163200</v>
      </c>
      <c r="AE732" s="109">
        <f t="shared" si="63"/>
        <v>0</v>
      </c>
      <c r="AF732" s="20">
        <v>1845</v>
      </c>
      <c r="AG732" s="31">
        <v>43216</v>
      </c>
      <c r="AH732" s="108">
        <v>6163200</v>
      </c>
      <c r="AI732" s="1" t="s">
        <v>3005</v>
      </c>
      <c r="AJ732" s="1">
        <v>1901</v>
      </c>
      <c r="AK732" s="109">
        <f t="shared" si="64"/>
        <v>0</v>
      </c>
      <c r="AL732" s="108">
        <v>0</v>
      </c>
      <c r="AM732" s="108">
        <f t="shared" si="65"/>
        <v>6163200</v>
      </c>
      <c r="AN732" s="1" t="s">
        <v>2308</v>
      </c>
      <c r="AO732" s="108">
        <f t="shared" si="66"/>
        <v>0</v>
      </c>
      <c r="AP732" s="1"/>
      <c r="AQ732" s="1"/>
      <c r="AR732" s="1"/>
      <c r="AS732" s="1"/>
      <c r="AT732" s="1"/>
      <c r="AU732" s="211"/>
    </row>
    <row r="733" spans="1:47" ht="153" x14ac:dyDescent="0.2">
      <c r="A733" s="1">
        <v>243</v>
      </c>
      <c r="B733" s="1" t="str">
        <f t="shared" si="62"/>
        <v>3075-243</v>
      </c>
      <c r="C733" s="99" t="s">
        <v>2294</v>
      </c>
      <c r="D733" s="100" t="s">
        <v>2295</v>
      </c>
      <c r="E733" s="99" t="s">
        <v>2317</v>
      </c>
      <c r="F733" s="99" t="s">
        <v>2318</v>
      </c>
      <c r="G733" s="101" t="s">
        <v>2319</v>
      </c>
      <c r="H733" s="102" t="s">
        <v>2320</v>
      </c>
      <c r="I733" s="100" t="s">
        <v>2300</v>
      </c>
      <c r="J733" s="100" t="s">
        <v>2301</v>
      </c>
      <c r="K733" s="100" t="s">
        <v>50</v>
      </c>
      <c r="L733" s="1" t="s">
        <v>2302</v>
      </c>
      <c r="M733" s="1" t="s">
        <v>493</v>
      </c>
      <c r="N733" s="1" t="s">
        <v>494</v>
      </c>
      <c r="O733" s="100" t="s">
        <v>2321</v>
      </c>
      <c r="P733" s="112" t="s">
        <v>3006</v>
      </c>
      <c r="Q733" s="103">
        <v>53532600</v>
      </c>
      <c r="R733" s="1">
        <v>1</v>
      </c>
      <c r="S733" s="104">
        <v>53532600</v>
      </c>
      <c r="T733" s="1" t="s">
        <v>2323</v>
      </c>
      <c r="U733" s="1" t="s">
        <v>2323</v>
      </c>
      <c r="V733" s="31" t="s">
        <v>507</v>
      </c>
      <c r="W733" s="105" t="s">
        <v>50</v>
      </c>
      <c r="X733" s="1" t="s">
        <v>3007</v>
      </c>
      <c r="Y733" s="31">
        <v>43123</v>
      </c>
      <c r="Z733" s="108">
        <v>53532600</v>
      </c>
      <c r="AA733" s="107" t="s">
        <v>2929</v>
      </c>
      <c r="AB733" s="20">
        <v>563</v>
      </c>
      <c r="AC733" s="31">
        <v>43124</v>
      </c>
      <c r="AD733" s="108">
        <v>53532600</v>
      </c>
      <c r="AE733" s="109">
        <f t="shared" si="63"/>
        <v>0</v>
      </c>
      <c r="AF733" s="20">
        <v>1777</v>
      </c>
      <c r="AG733" s="31">
        <v>43202</v>
      </c>
      <c r="AH733" s="108">
        <v>53532600</v>
      </c>
      <c r="AI733" s="1" t="s">
        <v>3008</v>
      </c>
      <c r="AJ733" s="1">
        <v>1782</v>
      </c>
      <c r="AK733" s="109">
        <f t="shared" si="64"/>
        <v>0</v>
      </c>
      <c r="AL733" s="108">
        <v>16059780</v>
      </c>
      <c r="AM733" s="108">
        <f t="shared" si="65"/>
        <v>37472820</v>
      </c>
      <c r="AN733" s="1" t="s">
        <v>2308</v>
      </c>
      <c r="AO733" s="108">
        <f t="shared" si="66"/>
        <v>0</v>
      </c>
      <c r="AP733" s="1"/>
      <c r="AQ733" s="1"/>
      <c r="AR733" s="1"/>
      <c r="AS733" s="1"/>
      <c r="AT733" s="1"/>
      <c r="AU733" s="211"/>
    </row>
    <row r="734" spans="1:47" ht="178.5" x14ac:dyDescent="0.2">
      <c r="A734" s="1">
        <v>244</v>
      </c>
      <c r="B734" s="1" t="str">
        <f t="shared" si="62"/>
        <v>3075-244</v>
      </c>
      <c r="C734" s="99" t="s">
        <v>2294</v>
      </c>
      <c r="D734" s="100" t="s">
        <v>2295</v>
      </c>
      <c r="E734" s="99" t="s">
        <v>2317</v>
      </c>
      <c r="F734" s="99" t="s">
        <v>2318</v>
      </c>
      <c r="G734" s="101" t="s">
        <v>2319</v>
      </c>
      <c r="H734" s="102" t="s">
        <v>2320</v>
      </c>
      <c r="I734" s="100" t="s">
        <v>2300</v>
      </c>
      <c r="J734" s="100" t="s">
        <v>2301</v>
      </c>
      <c r="K734" s="100" t="s">
        <v>50</v>
      </c>
      <c r="L734" s="1" t="s">
        <v>2302</v>
      </c>
      <c r="M734" s="1" t="s">
        <v>493</v>
      </c>
      <c r="N734" s="1" t="s">
        <v>494</v>
      </c>
      <c r="O734" s="100" t="s">
        <v>2321</v>
      </c>
      <c r="P734" s="112" t="s">
        <v>3009</v>
      </c>
      <c r="Q734" s="103">
        <v>8832000</v>
      </c>
      <c r="R734" s="1">
        <v>1</v>
      </c>
      <c r="S734" s="104">
        <v>8832000</v>
      </c>
      <c r="T734" s="1" t="s">
        <v>2323</v>
      </c>
      <c r="U734" s="1" t="s">
        <v>2323</v>
      </c>
      <c r="V734" s="31" t="s">
        <v>507</v>
      </c>
      <c r="W734" s="105" t="s">
        <v>50</v>
      </c>
      <c r="X734" s="1" t="s">
        <v>3010</v>
      </c>
      <c r="Y734" s="31">
        <v>43123</v>
      </c>
      <c r="Z734" s="108">
        <v>8832000</v>
      </c>
      <c r="AA734" s="107" t="s">
        <v>2929</v>
      </c>
      <c r="AB734" s="20">
        <v>566</v>
      </c>
      <c r="AC734" s="31">
        <v>43124</v>
      </c>
      <c r="AD734" s="108">
        <v>8832000</v>
      </c>
      <c r="AE734" s="109">
        <f t="shared" si="63"/>
        <v>0</v>
      </c>
      <c r="AF734" s="20">
        <v>1825</v>
      </c>
      <c r="AG734" s="31">
        <v>43210</v>
      </c>
      <c r="AH734" s="108">
        <v>8832000</v>
      </c>
      <c r="AI734" s="1" t="s">
        <v>3011</v>
      </c>
      <c r="AJ734" s="1">
        <v>1879</v>
      </c>
      <c r="AK734" s="109">
        <f t="shared" si="64"/>
        <v>0</v>
      </c>
      <c r="AL734" s="108">
        <v>0</v>
      </c>
      <c r="AM734" s="108">
        <f t="shared" si="65"/>
        <v>8832000</v>
      </c>
      <c r="AN734" s="1" t="s">
        <v>2308</v>
      </c>
      <c r="AO734" s="108">
        <f t="shared" si="66"/>
        <v>0</v>
      </c>
      <c r="AP734" s="1"/>
      <c r="AQ734" s="1"/>
      <c r="AR734" s="1"/>
      <c r="AS734" s="1"/>
      <c r="AT734" s="1"/>
      <c r="AU734" s="211"/>
    </row>
    <row r="735" spans="1:47" ht="165.75" x14ac:dyDescent="0.2">
      <c r="A735" s="1">
        <v>245</v>
      </c>
      <c r="B735" s="1" t="str">
        <f t="shared" si="62"/>
        <v>3075-245</v>
      </c>
      <c r="C735" s="99" t="s">
        <v>2294</v>
      </c>
      <c r="D735" s="100" t="s">
        <v>2295</v>
      </c>
      <c r="E735" s="99" t="s">
        <v>2317</v>
      </c>
      <c r="F735" s="99" t="s">
        <v>2318</v>
      </c>
      <c r="G735" s="101" t="s">
        <v>2319</v>
      </c>
      <c r="H735" s="102" t="s">
        <v>2320</v>
      </c>
      <c r="I735" s="100" t="s">
        <v>2300</v>
      </c>
      <c r="J735" s="100" t="s">
        <v>2301</v>
      </c>
      <c r="K735" s="100" t="s">
        <v>50</v>
      </c>
      <c r="L735" s="1" t="s">
        <v>2302</v>
      </c>
      <c r="M735" s="1" t="s">
        <v>493</v>
      </c>
      <c r="N735" s="1" t="s">
        <v>494</v>
      </c>
      <c r="O735" s="100" t="s">
        <v>2321</v>
      </c>
      <c r="P735" s="112" t="s">
        <v>3012</v>
      </c>
      <c r="Q735" s="103">
        <v>39873100</v>
      </c>
      <c r="R735" s="1">
        <v>1</v>
      </c>
      <c r="S735" s="104">
        <v>39873100</v>
      </c>
      <c r="T735" s="1" t="s">
        <v>2323</v>
      </c>
      <c r="U735" s="1" t="s">
        <v>2323</v>
      </c>
      <c r="V735" s="31" t="s">
        <v>507</v>
      </c>
      <c r="W735" s="105" t="s">
        <v>50</v>
      </c>
      <c r="X735" s="1" t="s">
        <v>3013</v>
      </c>
      <c r="Y735" s="31">
        <v>43123</v>
      </c>
      <c r="Z735" s="108">
        <v>39873100</v>
      </c>
      <c r="AA735" s="107" t="s">
        <v>2929</v>
      </c>
      <c r="AB735" s="20">
        <v>567</v>
      </c>
      <c r="AC735" s="31">
        <v>43124</v>
      </c>
      <c r="AD735" s="108">
        <v>39873100</v>
      </c>
      <c r="AE735" s="109">
        <f t="shared" si="63"/>
        <v>0</v>
      </c>
      <c r="AF735" s="20">
        <v>1827</v>
      </c>
      <c r="AG735" s="31">
        <v>43210</v>
      </c>
      <c r="AH735" s="108">
        <v>39873100</v>
      </c>
      <c r="AI735" s="1" t="s">
        <v>3014</v>
      </c>
      <c r="AJ735" s="1">
        <v>1881</v>
      </c>
      <c r="AK735" s="109">
        <f t="shared" si="64"/>
        <v>0</v>
      </c>
      <c r="AL735" s="108">
        <v>11961930</v>
      </c>
      <c r="AM735" s="108">
        <f t="shared" si="65"/>
        <v>27911170</v>
      </c>
      <c r="AN735" s="1" t="s">
        <v>2308</v>
      </c>
      <c r="AO735" s="108">
        <f t="shared" si="66"/>
        <v>0</v>
      </c>
      <c r="AP735" s="1"/>
      <c r="AQ735" s="1"/>
      <c r="AR735" s="1"/>
      <c r="AS735" s="1"/>
      <c r="AT735" s="1"/>
      <c r="AU735" s="211"/>
    </row>
    <row r="736" spans="1:47" ht="293.25" x14ac:dyDescent="0.2">
      <c r="A736" s="1">
        <v>246</v>
      </c>
      <c r="B736" s="1" t="str">
        <f t="shared" si="62"/>
        <v>3075-246</v>
      </c>
      <c r="C736" s="99" t="s">
        <v>2294</v>
      </c>
      <c r="D736" s="100" t="s">
        <v>2295</v>
      </c>
      <c r="E736" s="100" t="s">
        <v>2578</v>
      </c>
      <c r="F736" s="99" t="s">
        <v>2328</v>
      </c>
      <c r="G736" s="117" t="s">
        <v>2329</v>
      </c>
      <c r="H736" s="102" t="s">
        <v>2579</v>
      </c>
      <c r="I736" s="100" t="s">
        <v>2300</v>
      </c>
      <c r="J736" s="100" t="s">
        <v>2301</v>
      </c>
      <c r="K736" s="100" t="s">
        <v>50</v>
      </c>
      <c r="L736" s="1" t="s">
        <v>2302</v>
      </c>
      <c r="M736" s="1" t="s">
        <v>493</v>
      </c>
      <c r="N736" s="1" t="s">
        <v>494</v>
      </c>
      <c r="O736" s="100" t="s">
        <v>2369</v>
      </c>
      <c r="P736" s="1" t="s">
        <v>3015</v>
      </c>
      <c r="Q736" s="106">
        <v>54686940</v>
      </c>
      <c r="R736" s="122">
        <v>1</v>
      </c>
      <c r="S736" s="104">
        <v>54686940</v>
      </c>
      <c r="T736" s="1" t="s">
        <v>2323</v>
      </c>
      <c r="U736" s="1" t="s">
        <v>2323</v>
      </c>
      <c r="V736" s="31" t="s">
        <v>620</v>
      </c>
      <c r="W736" s="105" t="s">
        <v>50</v>
      </c>
      <c r="X736" s="123" t="s">
        <v>3016</v>
      </c>
      <c r="Y736" s="31">
        <v>43126</v>
      </c>
      <c r="Z736" s="106">
        <v>54686940</v>
      </c>
      <c r="AA736" s="107" t="s">
        <v>2889</v>
      </c>
      <c r="AB736" s="20">
        <v>572</v>
      </c>
      <c r="AC736" s="31">
        <v>43126</v>
      </c>
      <c r="AD736" s="108">
        <v>54686940</v>
      </c>
      <c r="AE736" s="109">
        <f t="shared" si="63"/>
        <v>0</v>
      </c>
      <c r="AF736" s="20">
        <v>1336</v>
      </c>
      <c r="AG736" s="31">
        <v>43144</v>
      </c>
      <c r="AH736" s="108">
        <v>54686940</v>
      </c>
      <c r="AI736" s="1" t="s">
        <v>3017</v>
      </c>
      <c r="AJ736" s="1">
        <v>1099</v>
      </c>
      <c r="AK736" s="109">
        <f t="shared" si="64"/>
        <v>0</v>
      </c>
      <c r="AL736" s="108">
        <v>54686940</v>
      </c>
      <c r="AM736" s="108">
        <f t="shared" si="65"/>
        <v>0</v>
      </c>
      <c r="AN736" s="1" t="s">
        <v>2308</v>
      </c>
      <c r="AO736" s="108">
        <f t="shared" si="66"/>
        <v>0</v>
      </c>
      <c r="AP736" s="1"/>
      <c r="AQ736" s="1"/>
      <c r="AR736" s="1"/>
      <c r="AS736" s="1"/>
      <c r="AT736" s="1"/>
      <c r="AU736" s="211"/>
    </row>
    <row r="737" spans="1:47" ht="293.25" x14ac:dyDescent="0.2">
      <c r="A737" s="1">
        <v>247</v>
      </c>
      <c r="B737" s="1" t="str">
        <f t="shared" si="62"/>
        <v>3075-247</v>
      </c>
      <c r="C737" s="99" t="s">
        <v>2294</v>
      </c>
      <c r="D737" s="100" t="s">
        <v>2295</v>
      </c>
      <c r="E737" s="100" t="s">
        <v>2578</v>
      </c>
      <c r="F737" s="99" t="s">
        <v>2328</v>
      </c>
      <c r="G737" s="117" t="s">
        <v>2329</v>
      </c>
      <c r="H737" s="102" t="s">
        <v>2579</v>
      </c>
      <c r="I737" s="100" t="s">
        <v>2300</v>
      </c>
      <c r="J737" s="100" t="s">
        <v>2301</v>
      </c>
      <c r="K737" s="100" t="s">
        <v>50</v>
      </c>
      <c r="L737" s="1" t="s">
        <v>2302</v>
      </c>
      <c r="M737" s="1" t="s">
        <v>493</v>
      </c>
      <c r="N737" s="1" t="s">
        <v>494</v>
      </c>
      <c r="O737" s="100" t="s">
        <v>2369</v>
      </c>
      <c r="P737" s="1" t="s">
        <v>3018</v>
      </c>
      <c r="Q737" s="106">
        <v>54686940</v>
      </c>
      <c r="R737" s="122">
        <v>1</v>
      </c>
      <c r="S737" s="104">
        <v>54686940</v>
      </c>
      <c r="T737" s="1" t="s">
        <v>2323</v>
      </c>
      <c r="U737" s="1" t="s">
        <v>2323</v>
      </c>
      <c r="V737" s="31" t="s">
        <v>620</v>
      </c>
      <c r="W737" s="105" t="s">
        <v>50</v>
      </c>
      <c r="X737" s="123" t="s">
        <v>3019</v>
      </c>
      <c r="Y737" s="31">
        <v>43126</v>
      </c>
      <c r="Z737" s="106">
        <v>54686940</v>
      </c>
      <c r="AA737" s="107" t="s">
        <v>2889</v>
      </c>
      <c r="AB737" s="20">
        <v>574</v>
      </c>
      <c r="AC737" s="31">
        <v>43126</v>
      </c>
      <c r="AD737" s="108">
        <v>54686940</v>
      </c>
      <c r="AE737" s="109">
        <f t="shared" si="63"/>
        <v>0</v>
      </c>
      <c r="AF737" s="20">
        <v>1024</v>
      </c>
      <c r="AG737" s="31">
        <v>43140</v>
      </c>
      <c r="AH737" s="108">
        <v>54686940</v>
      </c>
      <c r="AI737" s="1" t="s">
        <v>3020</v>
      </c>
      <c r="AJ737" s="1">
        <v>760</v>
      </c>
      <c r="AK737" s="109">
        <f t="shared" si="64"/>
        <v>0</v>
      </c>
      <c r="AL737" s="108">
        <v>54686940</v>
      </c>
      <c r="AM737" s="108">
        <f t="shared" si="65"/>
        <v>0</v>
      </c>
      <c r="AN737" s="1" t="s">
        <v>2308</v>
      </c>
      <c r="AO737" s="108">
        <f t="shared" si="66"/>
        <v>0</v>
      </c>
      <c r="AP737" s="1"/>
      <c r="AQ737" s="1"/>
      <c r="AR737" s="1"/>
      <c r="AS737" s="1"/>
      <c r="AT737" s="1"/>
      <c r="AU737" s="211"/>
    </row>
    <row r="738" spans="1:47" ht="293.25" x14ac:dyDescent="0.2">
      <c r="A738" s="1">
        <v>248</v>
      </c>
      <c r="B738" s="1" t="str">
        <f t="shared" si="62"/>
        <v>3075-248</v>
      </c>
      <c r="C738" s="99" t="s">
        <v>2294</v>
      </c>
      <c r="D738" s="100" t="s">
        <v>2295</v>
      </c>
      <c r="E738" s="100" t="s">
        <v>2578</v>
      </c>
      <c r="F738" s="99" t="s">
        <v>2328</v>
      </c>
      <c r="G738" s="117" t="s">
        <v>2329</v>
      </c>
      <c r="H738" s="102" t="s">
        <v>2579</v>
      </c>
      <c r="I738" s="100" t="s">
        <v>2300</v>
      </c>
      <c r="J738" s="100" t="s">
        <v>2301</v>
      </c>
      <c r="K738" s="100" t="s">
        <v>50</v>
      </c>
      <c r="L738" s="1" t="s">
        <v>2302</v>
      </c>
      <c r="M738" s="1" t="s">
        <v>493</v>
      </c>
      <c r="N738" s="1" t="s">
        <v>494</v>
      </c>
      <c r="O738" s="100" t="s">
        <v>2369</v>
      </c>
      <c r="P738" s="1" t="s">
        <v>3021</v>
      </c>
      <c r="Q738" s="106">
        <v>54686940</v>
      </c>
      <c r="R738" s="122">
        <v>1</v>
      </c>
      <c r="S738" s="104">
        <v>54686940</v>
      </c>
      <c r="T738" s="1" t="s">
        <v>2323</v>
      </c>
      <c r="U738" s="1" t="s">
        <v>2323</v>
      </c>
      <c r="V738" s="31" t="s">
        <v>620</v>
      </c>
      <c r="W738" s="105" t="s">
        <v>50</v>
      </c>
      <c r="X738" s="123" t="s">
        <v>3022</v>
      </c>
      <c r="Y738" s="31">
        <v>43126</v>
      </c>
      <c r="Z738" s="106">
        <v>54686940</v>
      </c>
      <c r="AA738" s="107" t="s">
        <v>2889</v>
      </c>
      <c r="AB738" s="20">
        <v>575</v>
      </c>
      <c r="AC738" s="31">
        <v>43126</v>
      </c>
      <c r="AD738" s="108">
        <v>54686940</v>
      </c>
      <c r="AE738" s="109">
        <f t="shared" si="63"/>
        <v>0</v>
      </c>
      <c r="AF738" s="20">
        <v>996</v>
      </c>
      <c r="AG738" s="31">
        <v>43140</v>
      </c>
      <c r="AH738" s="108">
        <v>54686940</v>
      </c>
      <c r="AI738" s="1" t="s">
        <v>3023</v>
      </c>
      <c r="AJ738" s="1">
        <v>599</v>
      </c>
      <c r="AK738" s="109">
        <f t="shared" si="64"/>
        <v>0</v>
      </c>
      <c r="AL738" s="108">
        <v>54686940</v>
      </c>
      <c r="AM738" s="108">
        <f t="shared" si="65"/>
        <v>0</v>
      </c>
      <c r="AN738" s="1" t="s">
        <v>2308</v>
      </c>
      <c r="AO738" s="108">
        <f t="shared" si="66"/>
        <v>0</v>
      </c>
      <c r="AP738" s="1"/>
      <c r="AQ738" s="1"/>
      <c r="AR738" s="1"/>
      <c r="AS738" s="1"/>
      <c r="AT738" s="1"/>
      <c r="AU738" s="211"/>
    </row>
    <row r="739" spans="1:47" ht="293.25" x14ac:dyDescent="0.2">
      <c r="A739" s="1">
        <v>249</v>
      </c>
      <c r="B739" s="1" t="str">
        <f t="shared" si="62"/>
        <v>3075-249</v>
      </c>
      <c r="C739" s="99" t="s">
        <v>2294</v>
      </c>
      <c r="D739" s="100" t="s">
        <v>2295</v>
      </c>
      <c r="E739" s="100" t="s">
        <v>2578</v>
      </c>
      <c r="F739" s="99" t="s">
        <v>2328</v>
      </c>
      <c r="G739" s="117" t="s">
        <v>2329</v>
      </c>
      <c r="H739" s="102" t="s">
        <v>2579</v>
      </c>
      <c r="I739" s="100" t="s">
        <v>2300</v>
      </c>
      <c r="J739" s="100" t="s">
        <v>2301</v>
      </c>
      <c r="K739" s="100" t="s">
        <v>50</v>
      </c>
      <c r="L739" s="1" t="s">
        <v>2302</v>
      </c>
      <c r="M739" s="1" t="s">
        <v>493</v>
      </c>
      <c r="N739" s="1" t="s">
        <v>494</v>
      </c>
      <c r="O739" s="100" t="s">
        <v>2369</v>
      </c>
      <c r="P739" s="1" t="s">
        <v>3024</v>
      </c>
      <c r="Q739" s="106">
        <v>54686940</v>
      </c>
      <c r="R739" s="122">
        <v>1</v>
      </c>
      <c r="S739" s="104">
        <v>54686940</v>
      </c>
      <c r="T739" s="1" t="s">
        <v>2323</v>
      </c>
      <c r="U739" s="1" t="s">
        <v>2323</v>
      </c>
      <c r="V739" s="31" t="s">
        <v>620</v>
      </c>
      <c r="W739" s="105" t="s">
        <v>50</v>
      </c>
      <c r="X739" s="123" t="s">
        <v>3025</v>
      </c>
      <c r="Y739" s="31">
        <v>43126</v>
      </c>
      <c r="Z739" s="106">
        <v>54686940</v>
      </c>
      <c r="AA739" s="107" t="s">
        <v>2889</v>
      </c>
      <c r="AB739" s="20">
        <v>577</v>
      </c>
      <c r="AC739" s="31">
        <v>43126</v>
      </c>
      <c r="AD739" s="108">
        <v>54686940</v>
      </c>
      <c r="AE739" s="109">
        <f t="shared" si="63"/>
        <v>0</v>
      </c>
      <c r="AF739" s="20">
        <v>533</v>
      </c>
      <c r="AG739" s="31">
        <v>43133</v>
      </c>
      <c r="AH739" s="108">
        <v>54686940</v>
      </c>
      <c r="AI739" s="1" t="s">
        <v>3026</v>
      </c>
      <c r="AJ739" s="1">
        <v>515</v>
      </c>
      <c r="AK739" s="109">
        <f t="shared" si="64"/>
        <v>0</v>
      </c>
      <c r="AL739" s="108">
        <v>54686940</v>
      </c>
      <c r="AM739" s="108">
        <f t="shared" si="65"/>
        <v>0</v>
      </c>
      <c r="AN739" s="1" t="s">
        <v>2308</v>
      </c>
      <c r="AO739" s="108">
        <f t="shared" si="66"/>
        <v>0</v>
      </c>
      <c r="AP739" s="1"/>
      <c r="AQ739" s="1"/>
      <c r="AR739" s="1"/>
      <c r="AS739" s="1"/>
      <c r="AT739" s="1"/>
      <c r="AU739" s="211"/>
    </row>
    <row r="740" spans="1:47" ht="293.25" x14ac:dyDescent="0.2">
      <c r="A740" s="1">
        <v>250</v>
      </c>
      <c r="B740" s="1" t="str">
        <f t="shared" si="62"/>
        <v>3075-250</v>
      </c>
      <c r="C740" s="99" t="s">
        <v>2294</v>
      </c>
      <c r="D740" s="100" t="s">
        <v>2295</v>
      </c>
      <c r="E740" s="100" t="s">
        <v>2578</v>
      </c>
      <c r="F740" s="99" t="s">
        <v>2328</v>
      </c>
      <c r="G740" s="117" t="s">
        <v>2329</v>
      </c>
      <c r="H740" s="102" t="s">
        <v>2579</v>
      </c>
      <c r="I740" s="100" t="s">
        <v>2300</v>
      </c>
      <c r="J740" s="100" t="s">
        <v>2301</v>
      </c>
      <c r="K740" s="100" t="s">
        <v>50</v>
      </c>
      <c r="L740" s="1" t="s">
        <v>2302</v>
      </c>
      <c r="M740" s="1" t="s">
        <v>493</v>
      </c>
      <c r="N740" s="1" t="s">
        <v>494</v>
      </c>
      <c r="O740" s="100" t="s">
        <v>2369</v>
      </c>
      <c r="P740" s="1" t="s">
        <v>3027</v>
      </c>
      <c r="Q740" s="106">
        <v>54686940</v>
      </c>
      <c r="R740" s="122">
        <v>1</v>
      </c>
      <c r="S740" s="104">
        <v>54686940</v>
      </c>
      <c r="T740" s="1" t="s">
        <v>2323</v>
      </c>
      <c r="U740" s="1" t="s">
        <v>2323</v>
      </c>
      <c r="V740" s="31" t="s">
        <v>620</v>
      </c>
      <c r="W740" s="105" t="s">
        <v>50</v>
      </c>
      <c r="X740" s="123" t="s">
        <v>3028</v>
      </c>
      <c r="Y740" s="31">
        <v>43126</v>
      </c>
      <c r="Z740" s="106">
        <v>54686940</v>
      </c>
      <c r="AA740" s="107" t="s">
        <v>2889</v>
      </c>
      <c r="AB740" s="20">
        <v>578</v>
      </c>
      <c r="AC740" s="31">
        <v>43126</v>
      </c>
      <c r="AD740" s="108">
        <v>54686940</v>
      </c>
      <c r="AE740" s="109">
        <f t="shared" si="63"/>
        <v>0</v>
      </c>
      <c r="AF740" s="20">
        <v>1367</v>
      </c>
      <c r="AG740" s="31">
        <v>43147</v>
      </c>
      <c r="AH740" s="108">
        <v>54686940</v>
      </c>
      <c r="AI740" s="1" t="s">
        <v>3029</v>
      </c>
      <c r="AJ740" s="1">
        <v>1269</v>
      </c>
      <c r="AK740" s="109">
        <f t="shared" si="64"/>
        <v>0</v>
      </c>
      <c r="AL740" s="108">
        <v>54686940</v>
      </c>
      <c r="AM740" s="108">
        <f t="shared" si="65"/>
        <v>0</v>
      </c>
      <c r="AN740" s="1" t="s">
        <v>2308</v>
      </c>
      <c r="AO740" s="108">
        <f t="shared" si="66"/>
        <v>0</v>
      </c>
      <c r="AP740" s="1"/>
      <c r="AQ740" s="1"/>
      <c r="AR740" s="1"/>
      <c r="AS740" s="1"/>
      <c r="AT740" s="1"/>
      <c r="AU740" s="211"/>
    </row>
    <row r="741" spans="1:47" ht="293.25" x14ac:dyDescent="0.2">
      <c r="A741" s="1">
        <v>251</v>
      </c>
      <c r="B741" s="1" t="str">
        <f t="shared" si="62"/>
        <v>3075-251</v>
      </c>
      <c r="C741" s="99" t="s">
        <v>2294</v>
      </c>
      <c r="D741" s="100" t="s">
        <v>2295</v>
      </c>
      <c r="E741" s="100" t="s">
        <v>2578</v>
      </c>
      <c r="F741" s="99" t="s">
        <v>2328</v>
      </c>
      <c r="G741" s="117" t="s">
        <v>2329</v>
      </c>
      <c r="H741" s="102" t="s">
        <v>2579</v>
      </c>
      <c r="I741" s="100" t="s">
        <v>2300</v>
      </c>
      <c r="J741" s="100" t="s">
        <v>2301</v>
      </c>
      <c r="K741" s="100" t="s">
        <v>50</v>
      </c>
      <c r="L741" s="1" t="s">
        <v>2302</v>
      </c>
      <c r="M741" s="1" t="s">
        <v>493</v>
      </c>
      <c r="N741" s="1" t="s">
        <v>494</v>
      </c>
      <c r="O741" s="100" t="s">
        <v>2369</v>
      </c>
      <c r="P741" s="1" t="s">
        <v>3030</v>
      </c>
      <c r="Q741" s="106">
        <v>54686940</v>
      </c>
      <c r="R741" s="122">
        <v>1</v>
      </c>
      <c r="S741" s="104">
        <v>54686940</v>
      </c>
      <c r="T741" s="1" t="s">
        <v>2323</v>
      </c>
      <c r="U741" s="1" t="s">
        <v>2323</v>
      </c>
      <c r="V741" s="31" t="s">
        <v>620</v>
      </c>
      <c r="W741" s="105" t="s">
        <v>50</v>
      </c>
      <c r="X741" s="123" t="s">
        <v>3031</v>
      </c>
      <c r="Y741" s="31">
        <v>43126</v>
      </c>
      <c r="Z741" s="106">
        <v>54686940</v>
      </c>
      <c r="AA741" s="107" t="s">
        <v>2889</v>
      </c>
      <c r="AB741" s="20">
        <v>573</v>
      </c>
      <c r="AC741" s="31">
        <v>43126</v>
      </c>
      <c r="AD741" s="108">
        <v>54686940</v>
      </c>
      <c r="AE741" s="109">
        <f t="shared" si="63"/>
        <v>0</v>
      </c>
      <c r="AF741" s="20">
        <v>1455</v>
      </c>
      <c r="AG741" s="31">
        <v>43153</v>
      </c>
      <c r="AH741" s="108">
        <v>54686940</v>
      </c>
      <c r="AI741" s="1" t="s">
        <v>3032</v>
      </c>
      <c r="AJ741" s="1">
        <v>1357</v>
      </c>
      <c r="AK741" s="109">
        <f t="shared" si="64"/>
        <v>0</v>
      </c>
      <c r="AL741" s="108">
        <v>54686940</v>
      </c>
      <c r="AM741" s="108">
        <f t="shared" si="65"/>
        <v>0</v>
      </c>
      <c r="AN741" s="1" t="s">
        <v>2308</v>
      </c>
      <c r="AO741" s="108">
        <f t="shared" si="66"/>
        <v>0</v>
      </c>
      <c r="AP741" s="1"/>
      <c r="AQ741" s="1"/>
      <c r="AR741" s="1"/>
      <c r="AS741" s="1"/>
      <c r="AT741" s="1"/>
      <c r="AU741" s="211"/>
    </row>
    <row r="742" spans="1:47" ht="293.25" x14ac:dyDescent="0.2">
      <c r="A742" s="1">
        <v>252</v>
      </c>
      <c r="B742" s="1" t="str">
        <f t="shared" si="62"/>
        <v>3075-252</v>
      </c>
      <c r="C742" s="99" t="s">
        <v>2294</v>
      </c>
      <c r="D742" s="100" t="s">
        <v>2295</v>
      </c>
      <c r="E742" s="100" t="s">
        <v>2578</v>
      </c>
      <c r="F742" s="99" t="s">
        <v>2328</v>
      </c>
      <c r="G742" s="117" t="s">
        <v>2329</v>
      </c>
      <c r="H742" s="102" t="s">
        <v>2579</v>
      </c>
      <c r="I742" s="100" t="s">
        <v>2300</v>
      </c>
      <c r="J742" s="100" t="s">
        <v>2301</v>
      </c>
      <c r="K742" s="100" t="s">
        <v>50</v>
      </c>
      <c r="L742" s="1" t="s">
        <v>2302</v>
      </c>
      <c r="M742" s="1" t="s">
        <v>493</v>
      </c>
      <c r="N742" s="1" t="s">
        <v>494</v>
      </c>
      <c r="O742" s="100" t="s">
        <v>2369</v>
      </c>
      <c r="P742" s="1" t="s">
        <v>3033</v>
      </c>
      <c r="Q742" s="106">
        <v>54686940</v>
      </c>
      <c r="R742" s="122">
        <v>1</v>
      </c>
      <c r="S742" s="104">
        <v>54686940</v>
      </c>
      <c r="T742" s="1" t="s">
        <v>2323</v>
      </c>
      <c r="U742" s="1" t="s">
        <v>2323</v>
      </c>
      <c r="V742" s="31" t="s">
        <v>620</v>
      </c>
      <c r="W742" s="105" t="s">
        <v>50</v>
      </c>
      <c r="X742" s="123" t="s">
        <v>3034</v>
      </c>
      <c r="Y742" s="31">
        <v>43126</v>
      </c>
      <c r="Z742" s="106">
        <v>54686940</v>
      </c>
      <c r="AA742" s="107" t="s">
        <v>2889</v>
      </c>
      <c r="AB742" s="20">
        <v>576</v>
      </c>
      <c r="AC742" s="31">
        <v>43126</v>
      </c>
      <c r="AD742" s="108">
        <v>54686940</v>
      </c>
      <c r="AE742" s="109">
        <f t="shared" si="63"/>
        <v>0</v>
      </c>
      <c r="AF742" s="20">
        <v>1383</v>
      </c>
      <c r="AG742" s="31">
        <v>43150</v>
      </c>
      <c r="AH742" s="108">
        <v>54686940</v>
      </c>
      <c r="AI742" s="1" t="s">
        <v>2973</v>
      </c>
      <c r="AJ742" s="1">
        <v>1280</v>
      </c>
      <c r="AK742" s="109">
        <f t="shared" si="64"/>
        <v>0</v>
      </c>
      <c r="AL742" s="108">
        <v>54686940</v>
      </c>
      <c r="AM742" s="108">
        <f t="shared" si="65"/>
        <v>0</v>
      </c>
      <c r="AN742" s="1" t="s">
        <v>2308</v>
      </c>
      <c r="AO742" s="108">
        <f t="shared" si="66"/>
        <v>0</v>
      </c>
      <c r="AP742" s="1"/>
      <c r="AQ742" s="1"/>
      <c r="AR742" s="1"/>
      <c r="AS742" s="1"/>
      <c r="AT742" s="1"/>
      <c r="AU742" s="211"/>
    </row>
    <row r="743" spans="1:47" ht="293.25" x14ac:dyDescent="0.2">
      <c r="A743" s="1">
        <v>253</v>
      </c>
      <c r="B743" s="1" t="str">
        <f t="shared" si="62"/>
        <v>3075-253</v>
      </c>
      <c r="C743" s="99" t="s">
        <v>2294</v>
      </c>
      <c r="D743" s="100" t="s">
        <v>2295</v>
      </c>
      <c r="E743" s="100" t="s">
        <v>2578</v>
      </c>
      <c r="F743" s="99" t="s">
        <v>2328</v>
      </c>
      <c r="G743" s="117" t="s">
        <v>2329</v>
      </c>
      <c r="H743" s="102" t="s">
        <v>2579</v>
      </c>
      <c r="I743" s="100" t="s">
        <v>2300</v>
      </c>
      <c r="J743" s="100" t="s">
        <v>2301</v>
      </c>
      <c r="K743" s="100" t="s">
        <v>50</v>
      </c>
      <c r="L743" s="1" t="s">
        <v>2302</v>
      </c>
      <c r="M743" s="1" t="s">
        <v>493</v>
      </c>
      <c r="N743" s="1" t="s">
        <v>494</v>
      </c>
      <c r="O743" s="100" t="s">
        <v>2369</v>
      </c>
      <c r="P743" s="1" t="s">
        <v>3035</v>
      </c>
      <c r="Q743" s="106">
        <v>54686940</v>
      </c>
      <c r="R743" s="122">
        <v>1</v>
      </c>
      <c r="S743" s="104">
        <v>54686940</v>
      </c>
      <c r="T743" s="1" t="s">
        <v>2323</v>
      </c>
      <c r="U743" s="1" t="s">
        <v>2323</v>
      </c>
      <c r="V743" s="31" t="s">
        <v>620</v>
      </c>
      <c r="W743" s="105" t="s">
        <v>50</v>
      </c>
      <c r="X743" s="123" t="s">
        <v>3036</v>
      </c>
      <c r="Y743" s="31">
        <v>43126</v>
      </c>
      <c r="Z743" s="106">
        <v>54686940</v>
      </c>
      <c r="AA743" s="107" t="s">
        <v>2889</v>
      </c>
      <c r="AB743" s="20">
        <v>579</v>
      </c>
      <c r="AC743" s="31">
        <v>43126</v>
      </c>
      <c r="AD743" s="108">
        <v>54686940</v>
      </c>
      <c r="AE743" s="109">
        <f t="shared" si="63"/>
        <v>0</v>
      </c>
      <c r="AF743" s="20">
        <v>1025</v>
      </c>
      <c r="AG743" s="31">
        <v>43140</v>
      </c>
      <c r="AH743" s="108">
        <v>54686940</v>
      </c>
      <c r="AI743" s="1" t="s">
        <v>3037</v>
      </c>
      <c r="AJ743" s="1">
        <v>761</v>
      </c>
      <c r="AK743" s="109">
        <f t="shared" si="64"/>
        <v>0</v>
      </c>
      <c r="AL743" s="108">
        <v>54686940</v>
      </c>
      <c r="AM743" s="108">
        <f t="shared" si="65"/>
        <v>0</v>
      </c>
      <c r="AN743" s="1" t="s">
        <v>2308</v>
      </c>
      <c r="AO743" s="108">
        <f t="shared" si="66"/>
        <v>0</v>
      </c>
      <c r="AP743" s="1"/>
      <c r="AQ743" s="1"/>
      <c r="AR743" s="1"/>
      <c r="AS743" s="1"/>
      <c r="AT743" s="1"/>
      <c r="AU743" s="211"/>
    </row>
    <row r="744" spans="1:47" ht="293.25" x14ac:dyDescent="0.2">
      <c r="A744" s="1">
        <v>254</v>
      </c>
      <c r="B744" s="1" t="str">
        <f t="shared" si="62"/>
        <v>3075-254</v>
      </c>
      <c r="C744" s="99" t="s">
        <v>2294</v>
      </c>
      <c r="D744" s="100" t="s">
        <v>2295</v>
      </c>
      <c r="E744" s="100" t="s">
        <v>2578</v>
      </c>
      <c r="F744" s="99" t="s">
        <v>2328</v>
      </c>
      <c r="G744" s="117" t="s">
        <v>2329</v>
      </c>
      <c r="H744" s="102" t="s">
        <v>2579</v>
      </c>
      <c r="I744" s="100" t="s">
        <v>2300</v>
      </c>
      <c r="J744" s="100" t="s">
        <v>2301</v>
      </c>
      <c r="K744" s="100" t="s">
        <v>50</v>
      </c>
      <c r="L744" s="1" t="s">
        <v>2302</v>
      </c>
      <c r="M744" s="1" t="s">
        <v>493</v>
      </c>
      <c r="N744" s="1" t="s">
        <v>494</v>
      </c>
      <c r="O744" s="100" t="s">
        <v>2369</v>
      </c>
      <c r="P744" s="1" t="s">
        <v>3038</v>
      </c>
      <c r="Q744" s="106">
        <v>54686940</v>
      </c>
      <c r="R744" s="122">
        <v>1</v>
      </c>
      <c r="S744" s="104">
        <v>54686940</v>
      </c>
      <c r="T744" s="1" t="s">
        <v>2323</v>
      </c>
      <c r="U744" s="1" t="s">
        <v>2323</v>
      </c>
      <c r="V744" s="31" t="s">
        <v>620</v>
      </c>
      <c r="W744" s="105" t="s">
        <v>50</v>
      </c>
      <c r="X744" s="123" t="s">
        <v>3039</v>
      </c>
      <c r="Y744" s="31">
        <v>43126</v>
      </c>
      <c r="Z744" s="106">
        <v>54686940</v>
      </c>
      <c r="AA744" s="107" t="s">
        <v>2889</v>
      </c>
      <c r="AB744" s="20">
        <v>581</v>
      </c>
      <c r="AC744" s="31">
        <v>43126</v>
      </c>
      <c r="AD744" s="108">
        <v>54686940</v>
      </c>
      <c r="AE744" s="109">
        <f t="shared" si="63"/>
        <v>0</v>
      </c>
      <c r="AF744" s="20">
        <v>1016</v>
      </c>
      <c r="AG744" s="31">
        <v>43140</v>
      </c>
      <c r="AH744" s="108">
        <v>54686940</v>
      </c>
      <c r="AI744" s="1" t="s">
        <v>3040</v>
      </c>
      <c r="AJ744" s="1">
        <v>767</v>
      </c>
      <c r="AK744" s="109">
        <f t="shared" si="64"/>
        <v>0</v>
      </c>
      <c r="AL744" s="108">
        <v>54686940</v>
      </c>
      <c r="AM744" s="108">
        <f t="shared" si="65"/>
        <v>0</v>
      </c>
      <c r="AN744" s="1" t="s">
        <v>2308</v>
      </c>
      <c r="AO744" s="108">
        <f t="shared" si="66"/>
        <v>0</v>
      </c>
      <c r="AP744" s="1"/>
      <c r="AQ744" s="1"/>
      <c r="AR744" s="1"/>
      <c r="AS744" s="1"/>
      <c r="AT744" s="1"/>
      <c r="AU744" s="211"/>
    </row>
    <row r="745" spans="1:47" ht="293.25" x14ac:dyDescent="0.2">
      <c r="A745" s="1">
        <v>255</v>
      </c>
      <c r="B745" s="1" t="str">
        <f t="shared" si="62"/>
        <v>3075-255</v>
      </c>
      <c r="C745" s="99" t="s">
        <v>2294</v>
      </c>
      <c r="D745" s="100" t="s">
        <v>2295</v>
      </c>
      <c r="E745" s="100" t="s">
        <v>2578</v>
      </c>
      <c r="F745" s="99" t="s">
        <v>2328</v>
      </c>
      <c r="G745" s="117" t="s">
        <v>2329</v>
      </c>
      <c r="H745" s="102" t="s">
        <v>2579</v>
      </c>
      <c r="I745" s="100" t="s">
        <v>2300</v>
      </c>
      <c r="J745" s="100" t="s">
        <v>2301</v>
      </c>
      <c r="K745" s="100" t="s">
        <v>50</v>
      </c>
      <c r="L745" s="1" t="s">
        <v>2302</v>
      </c>
      <c r="M745" s="1" t="s">
        <v>493</v>
      </c>
      <c r="N745" s="1" t="s">
        <v>494</v>
      </c>
      <c r="O745" s="100" t="s">
        <v>2369</v>
      </c>
      <c r="P745" s="1" t="s">
        <v>3041</v>
      </c>
      <c r="Q745" s="106">
        <v>54686940</v>
      </c>
      <c r="R745" s="122">
        <v>1</v>
      </c>
      <c r="S745" s="104">
        <v>54686940</v>
      </c>
      <c r="T745" s="1" t="s">
        <v>2323</v>
      </c>
      <c r="U745" s="1" t="s">
        <v>2323</v>
      </c>
      <c r="V745" s="31" t="s">
        <v>620</v>
      </c>
      <c r="W745" s="105" t="s">
        <v>50</v>
      </c>
      <c r="X745" s="123" t="s">
        <v>3042</v>
      </c>
      <c r="Y745" s="31">
        <v>43126</v>
      </c>
      <c r="Z745" s="106">
        <v>54686940</v>
      </c>
      <c r="AA745" s="107" t="s">
        <v>2889</v>
      </c>
      <c r="AB745" s="20">
        <v>584</v>
      </c>
      <c r="AC745" s="31">
        <v>43126</v>
      </c>
      <c r="AD745" s="108">
        <v>54686940</v>
      </c>
      <c r="AE745" s="109">
        <f t="shared" si="63"/>
        <v>0</v>
      </c>
      <c r="AF745" s="20">
        <v>834</v>
      </c>
      <c r="AG745" s="31">
        <v>43138</v>
      </c>
      <c r="AH745" s="108">
        <v>54686940</v>
      </c>
      <c r="AI745" s="1" t="s">
        <v>3043</v>
      </c>
      <c r="AJ745" s="1">
        <v>601</v>
      </c>
      <c r="AK745" s="109">
        <f t="shared" si="64"/>
        <v>0</v>
      </c>
      <c r="AL745" s="108">
        <v>54686940</v>
      </c>
      <c r="AM745" s="108">
        <f t="shared" si="65"/>
        <v>0</v>
      </c>
      <c r="AN745" s="1" t="s">
        <v>2308</v>
      </c>
      <c r="AO745" s="108">
        <f t="shared" si="66"/>
        <v>0</v>
      </c>
      <c r="AP745" s="1"/>
      <c r="AQ745" s="1"/>
      <c r="AR745" s="1"/>
      <c r="AS745" s="1"/>
      <c r="AT745" s="1"/>
      <c r="AU745" s="211"/>
    </row>
    <row r="746" spans="1:47" ht="293.25" x14ac:dyDescent="0.2">
      <c r="A746" s="1">
        <v>256</v>
      </c>
      <c r="B746" s="1" t="str">
        <f t="shared" si="62"/>
        <v>3075-256</v>
      </c>
      <c r="C746" s="99" t="s">
        <v>2294</v>
      </c>
      <c r="D746" s="100" t="s">
        <v>2295</v>
      </c>
      <c r="E746" s="100" t="s">
        <v>2578</v>
      </c>
      <c r="F746" s="99" t="s">
        <v>2328</v>
      </c>
      <c r="G746" s="117" t="s">
        <v>2329</v>
      </c>
      <c r="H746" s="102" t="s">
        <v>2579</v>
      </c>
      <c r="I746" s="100" t="s">
        <v>2300</v>
      </c>
      <c r="J746" s="100" t="s">
        <v>2301</v>
      </c>
      <c r="K746" s="100" t="s">
        <v>50</v>
      </c>
      <c r="L746" s="1" t="s">
        <v>2302</v>
      </c>
      <c r="M746" s="1" t="s">
        <v>493</v>
      </c>
      <c r="N746" s="1" t="s">
        <v>494</v>
      </c>
      <c r="O746" s="100" t="s">
        <v>2369</v>
      </c>
      <c r="P746" s="1" t="s">
        <v>3044</v>
      </c>
      <c r="Q746" s="106">
        <v>54686940</v>
      </c>
      <c r="R746" s="122">
        <v>1</v>
      </c>
      <c r="S746" s="104">
        <v>54686940</v>
      </c>
      <c r="T746" s="1" t="s">
        <v>2323</v>
      </c>
      <c r="U746" s="1" t="s">
        <v>2323</v>
      </c>
      <c r="V746" s="31" t="s">
        <v>620</v>
      </c>
      <c r="W746" s="105" t="s">
        <v>50</v>
      </c>
      <c r="X746" s="123" t="s">
        <v>3045</v>
      </c>
      <c r="Y746" s="31">
        <v>43126</v>
      </c>
      <c r="Z746" s="106">
        <v>54686940</v>
      </c>
      <c r="AA746" s="107" t="s">
        <v>2889</v>
      </c>
      <c r="AB746" s="20">
        <v>586</v>
      </c>
      <c r="AC746" s="31">
        <v>43126</v>
      </c>
      <c r="AD746" s="108">
        <v>54686940</v>
      </c>
      <c r="AE746" s="109">
        <f t="shared" si="63"/>
        <v>0</v>
      </c>
      <c r="AF746" s="20">
        <v>1026</v>
      </c>
      <c r="AG746" s="31">
        <v>43140</v>
      </c>
      <c r="AH746" s="108">
        <v>54686940</v>
      </c>
      <c r="AI746" s="1" t="s">
        <v>3046</v>
      </c>
      <c r="AJ746" s="1">
        <v>759</v>
      </c>
      <c r="AK746" s="109">
        <f t="shared" si="64"/>
        <v>0</v>
      </c>
      <c r="AL746" s="108">
        <v>54686940</v>
      </c>
      <c r="AM746" s="108">
        <f t="shared" si="65"/>
        <v>0</v>
      </c>
      <c r="AN746" s="1" t="s">
        <v>2308</v>
      </c>
      <c r="AO746" s="108">
        <f t="shared" si="66"/>
        <v>0</v>
      </c>
      <c r="AP746" s="1"/>
      <c r="AQ746" s="1"/>
      <c r="AR746" s="1"/>
      <c r="AS746" s="1"/>
      <c r="AT746" s="1"/>
      <c r="AU746" s="211"/>
    </row>
    <row r="747" spans="1:47" ht="293.25" x14ac:dyDescent="0.2">
      <c r="A747" s="1">
        <v>257</v>
      </c>
      <c r="B747" s="1" t="str">
        <f t="shared" ref="B747:B810" si="67">CONCATENATE("3075","-",A747)</f>
        <v>3075-257</v>
      </c>
      <c r="C747" s="99" t="s">
        <v>2294</v>
      </c>
      <c r="D747" s="100" t="s">
        <v>2295</v>
      </c>
      <c r="E747" s="100" t="s">
        <v>2578</v>
      </c>
      <c r="F747" s="99" t="s">
        <v>2328</v>
      </c>
      <c r="G747" s="117" t="s">
        <v>2329</v>
      </c>
      <c r="H747" s="102" t="s">
        <v>2579</v>
      </c>
      <c r="I747" s="100" t="s">
        <v>2300</v>
      </c>
      <c r="J747" s="100" t="s">
        <v>2301</v>
      </c>
      <c r="K747" s="100" t="s">
        <v>50</v>
      </c>
      <c r="L747" s="1" t="s">
        <v>2302</v>
      </c>
      <c r="M747" s="1" t="s">
        <v>493</v>
      </c>
      <c r="N747" s="1" t="s">
        <v>494</v>
      </c>
      <c r="O747" s="100" t="s">
        <v>2369</v>
      </c>
      <c r="P747" s="1" t="s">
        <v>3047</v>
      </c>
      <c r="Q747" s="106">
        <v>54686940</v>
      </c>
      <c r="R747" s="122">
        <v>1</v>
      </c>
      <c r="S747" s="104">
        <v>54686940</v>
      </c>
      <c r="T747" s="1" t="s">
        <v>2323</v>
      </c>
      <c r="U747" s="1" t="s">
        <v>2323</v>
      </c>
      <c r="V747" s="31" t="s">
        <v>620</v>
      </c>
      <c r="W747" s="105" t="s">
        <v>50</v>
      </c>
      <c r="X747" s="123" t="s">
        <v>3048</v>
      </c>
      <c r="Y747" s="31">
        <v>43126</v>
      </c>
      <c r="Z747" s="106">
        <v>54686940</v>
      </c>
      <c r="AA747" s="107" t="s">
        <v>2889</v>
      </c>
      <c r="AB747" s="20">
        <v>587</v>
      </c>
      <c r="AC747" s="31">
        <v>43126</v>
      </c>
      <c r="AD747" s="108">
        <v>54686940</v>
      </c>
      <c r="AE747" s="109">
        <f t="shared" ref="AE747:AE780" si="68">S747-Z747</f>
        <v>0</v>
      </c>
      <c r="AF747" s="20">
        <v>833</v>
      </c>
      <c r="AG747" s="31">
        <v>43138</v>
      </c>
      <c r="AH747" s="108">
        <v>54686940</v>
      </c>
      <c r="AI747" s="1" t="s">
        <v>3049</v>
      </c>
      <c r="AJ747" s="1">
        <v>600</v>
      </c>
      <c r="AK747" s="109">
        <f t="shared" ref="AK747:AK810" si="69">AD747-AH747</f>
        <v>0</v>
      </c>
      <c r="AL747" s="108">
        <v>54686940</v>
      </c>
      <c r="AM747" s="108">
        <f t="shared" ref="AM747:AM810" si="70">AH747-AL747</f>
        <v>0</v>
      </c>
      <c r="AN747" s="1" t="s">
        <v>2308</v>
      </c>
      <c r="AO747" s="108">
        <f t="shared" ref="AO747:AO810" si="71">S747-AH747</f>
        <v>0</v>
      </c>
      <c r="AP747" s="1"/>
      <c r="AQ747" s="1"/>
      <c r="AR747" s="1"/>
      <c r="AS747" s="1"/>
      <c r="AT747" s="1"/>
      <c r="AU747" s="211"/>
    </row>
    <row r="748" spans="1:47" ht="293.25" x14ac:dyDescent="0.2">
      <c r="A748" s="1">
        <v>258</v>
      </c>
      <c r="B748" s="1" t="str">
        <f t="shared" si="67"/>
        <v>3075-258</v>
      </c>
      <c r="C748" s="99" t="s">
        <v>2294</v>
      </c>
      <c r="D748" s="100" t="s">
        <v>2295</v>
      </c>
      <c r="E748" s="100" t="s">
        <v>2578</v>
      </c>
      <c r="F748" s="99" t="s">
        <v>2328</v>
      </c>
      <c r="G748" s="117" t="s">
        <v>2329</v>
      </c>
      <c r="H748" s="102" t="s">
        <v>2579</v>
      </c>
      <c r="I748" s="100" t="s">
        <v>2300</v>
      </c>
      <c r="J748" s="100" t="s">
        <v>2301</v>
      </c>
      <c r="K748" s="100" t="s">
        <v>50</v>
      </c>
      <c r="L748" s="1" t="s">
        <v>2302</v>
      </c>
      <c r="M748" s="1" t="s">
        <v>493</v>
      </c>
      <c r="N748" s="1" t="s">
        <v>494</v>
      </c>
      <c r="O748" s="100" t="s">
        <v>2369</v>
      </c>
      <c r="P748" s="1" t="s">
        <v>3050</v>
      </c>
      <c r="Q748" s="106">
        <v>54686940</v>
      </c>
      <c r="R748" s="122">
        <v>1</v>
      </c>
      <c r="S748" s="104">
        <v>54686940</v>
      </c>
      <c r="T748" s="1" t="s">
        <v>2323</v>
      </c>
      <c r="U748" s="1" t="s">
        <v>2323</v>
      </c>
      <c r="V748" s="31" t="s">
        <v>620</v>
      </c>
      <c r="W748" s="105" t="s">
        <v>50</v>
      </c>
      <c r="X748" s="123" t="s">
        <v>3051</v>
      </c>
      <c r="Y748" s="31">
        <v>43126</v>
      </c>
      <c r="Z748" s="106">
        <v>54686940</v>
      </c>
      <c r="AA748" s="107" t="s">
        <v>2889</v>
      </c>
      <c r="AB748" s="20">
        <v>589</v>
      </c>
      <c r="AC748" s="31">
        <v>43126</v>
      </c>
      <c r="AD748" s="108">
        <v>54686940</v>
      </c>
      <c r="AE748" s="109">
        <f t="shared" si="68"/>
        <v>0</v>
      </c>
      <c r="AF748" s="20">
        <v>1371</v>
      </c>
      <c r="AG748" s="31">
        <v>43147</v>
      </c>
      <c r="AH748" s="108">
        <v>54686940</v>
      </c>
      <c r="AI748" s="1" t="s">
        <v>3052</v>
      </c>
      <c r="AJ748" s="1">
        <v>1273</v>
      </c>
      <c r="AK748" s="109">
        <f t="shared" si="69"/>
        <v>0</v>
      </c>
      <c r="AL748" s="108">
        <v>54686940</v>
      </c>
      <c r="AM748" s="108">
        <f t="shared" si="70"/>
        <v>0</v>
      </c>
      <c r="AN748" s="1" t="s">
        <v>2308</v>
      </c>
      <c r="AO748" s="108">
        <f t="shared" si="71"/>
        <v>0</v>
      </c>
      <c r="AP748" s="1"/>
      <c r="AQ748" s="1"/>
      <c r="AR748" s="1"/>
      <c r="AS748" s="1"/>
      <c r="AT748" s="1"/>
      <c r="AU748" s="211"/>
    </row>
    <row r="749" spans="1:47" ht="293.25" x14ac:dyDescent="0.2">
      <c r="A749" s="1">
        <v>259</v>
      </c>
      <c r="B749" s="1" t="str">
        <f t="shared" si="67"/>
        <v>3075-259</v>
      </c>
      <c r="C749" s="99" t="s">
        <v>2294</v>
      </c>
      <c r="D749" s="100" t="s">
        <v>2295</v>
      </c>
      <c r="E749" s="100" t="s">
        <v>2578</v>
      </c>
      <c r="F749" s="99" t="s">
        <v>2328</v>
      </c>
      <c r="G749" s="117" t="s">
        <v>2329</v>
      </c>
      <c r="H749" s="102" t="s">
        <v>2579</v>
      </c>
      <c r="I749" s="100" t="s">
        <v>2300</v>
      </c>
      <c r="J749" s="100" t="s">
        <v>2301</v>
      </c>
      <c r="K749" s="100" t="s">
        <v>50</v>
      </c>
      <c r="L749" s="1" t="s">
        <v>2302</v>
      </c>
      <c r="M749" s="1" t="s">
        <v>493</v>
      </c>
      <c r="N749" s="1" t="s">
        <v>494</v>
      </c>
      <c r="O749" s="100" t="s">
        <v>2369</v>
      </c>
      <c r="P749" s="1" t="s">
        <v>3053</v>
      </c>
      <c r="Q749" s="106">
        <v>54686940</v>
      </c>
      <c r="R749" s="122">
        <v>1</v>
      </c>
      <c r="S749" s="104">
        <v>54686940</v>
      </c>
      <c r="T749" s="1" t="s">
        <v>2323</v>
      </c>
      <c r="U749" s="1" t="s">
        <v>2323</v>
      </c>
      <c r="V749" s="31" t="s">
        <v>620</v>
      </c>
      <c r="W749" s="105" t="s">
        <v>50</v>
      </c>
      <c r="X749" s="123" t="s">
        <v>3054</v>
      </c>
      <c r="Y749" s="31">
        <v>43126</v>
      </c>
      <c r="Z749" s="106">
        <v>54686940</v>
      </c>
      <c r="AA749" s="107" t="s">
        <v>2889</v>
      </c>
      <c r="AB749" s="20">
        <v>580</v>
      </c>
      <c r="AC749" s="31">
        <v>43126</v>
      </c>
      <c r="AD749" s="108">
        <v>54686940</v>
      </c>
      <c r="AE749" s="109">
        <f t="shared" si="68"/>
        <v>0</v>
      </c>
      <c r="AF749" s="20">
        <v>1023</v>
      </c>
      <c r="AG749" s="31">
        <v>43140</v>
      </c>
      <c r="AH749" s="108">
        <v>54686940</v>
      </c>
      <c r="AI749" s="1" t="s">
        <v>3055</v>
      </c>
      <c r="AJ749" s="1">
        <v>763</v>
      </c>
      <c r="AK749" s="109">
        <f t="shared" si="69"/>
        <v>0</v>
      </c>
      <c r="AL749" s="108">
        <v>0</v>
      </c>
      <c r="AM749" s="108">
        <f t="shared" si="70"/>
        <v>54686940</v>
      </c>
      <c r="AN749" s="1" t="s">
        <v>2308</v>
      </c>
      <c r="AO749" s="108">
        <f t="shared" si="71"/>
        <v>0</v>
      </c>
      <c r="AP749" s="1"/>
      <c r="AQ749" s="1"/>
      <c r="AR749" s="1"/>
      <c r="AS749" s="1"/>
      <c r="AT749" s="1"/>
      <c r="AU749" s="211"/>
    </row>
    <row r="750" spans="1:47" ht="293.25" x14ac:dyDescent="0.2">
      <c r="A750" s="1">
        <v>260</v>
      </c>
      <c r="B750" s="1" t="str">
        <f t="shared" si="67"/>
        <v>3075-260</v>
      </c>
      <c r="C750" s="99" t="s">
        <v>2294</v>
      </c>
      <c r="D750" s="100" t="s">
        <v>2295</v>
      </c>
      <c r="E750" s="100" t="s">
        <v>2578</v>
      </c>
      <c r="F750" s="99" t="s">
        <v>2328</v>
      </c>
      <c r="G750" s="117" t="s">
        <v>2329</v>
      </c>
      <c r="H750" s="102" t="s">
        <v>2579</v>
      </c>
      <c r="I750" s="100" t="s">
        <v>2300</v>
      </c>
      <c r="J750" s="100" t="s">
        <v>2301</v>
      </c>
      <c r="K750" s="100" t="s">
        <v>50</v>
      </c>
      <c r="L750" s="1" t="s">
        <v>2302</v>
      </c>
      <c r="M750" s="1" t="s">
        <v>493</v>
      </c>
      <c r="N750" s="1" t="s">
        <v>494</v>
      </c>
      <c r="O750" s="100" t="s">
        <v>2369</v>
      </c>
      <c r="P750" s="1" t="s">
        <v>3056</v>
      </c>
      <c r="Q750" s="106">
        <v>54686940</v>
      </c>
      <c r="R750" s="122">
        <v>1</v>
      </c>
      <c r="S750" s="104">
        <v>54686940</v>
      </c>
      <c r="T750" s="1" t="s">
        <v>2323</v>
      </c>
      <c r="U750" s="1" t="s">
        <v>2323</v>
      </c>
      <c r="V750" s="31" t="s">
        <v>620</v>
      </c>
      <c r="W750" s="105" t="s">
        <v>50</v>
      </c>
      <c r="X750" s="123" t="s">
        <v>3057</v>
      </c>
      <c r="Y750" s="31">
        <v>43126</v>
      </c>
      <c r="Z750" s="106">
        <v>54686940</v>
      </c>
      <c r="AA750" s="107" t="s">
        <v>2889</v>
      </c>
      <c r="AB750" s="20">
        <v>582</v>
      </c>
      <c r="AC750" s="31">
        <v>43126</v>
      </c>
      <c r="AD750" s="108">
        <v>54686940</v>
      </c>
      <c r="AE750" s="109">
        <f t="shared" si="68"/>
        <v>0</v>
      </c>
      <c r="AF750" s="20">
        <v>1020</v>
      </c>
      <c r="AG750" s="31">
        <v>43140</v>
      </c>
      <c r="AH750" s="108">
        <v>54686940</v>
      </c>
      <c r="AI750" s="1" t="s">
        <v>3058</v>
      </c>
      <c r="AJ750" s="1">
        <v>764</v>
      </c>
      <c r="AK750" s="109">
        <f t="shared" si="69"/>
        <v>0</v>
      </c>
      <c r="AL750" s="108">
        <v>54686940</v>
      </c>
      <c r="AM750" s="108">
        <f t="shared" si="70"/>
        <v>0</v>
      </c>
      <c r="AN750" s="1" t="s">
        <v>2308</v>
      </c>
      <c r="AO750" s="108">
        <f t="shared" si="71"/>
        <v>0</v>
      </c>
      <c r="AP750" s="1"/>
      <c r="AQ750" s="1"/>
      <c r="AR750" s="1"/>
      <c r="AS750" s="1"/>
      <c r="AT750" s="1"/>
      <c r="AU750" s="211"/>
    </row>
    <row r="751" spans="1:47" ht="293.25" x14ac:dyDescent="0.2">
      <c r="A751" s="1">
        <v>261</v>
      </c>
      <c r="B751" s="1" t="str">
        <f t="shared" si="67"/>
        <v>3075-261</v>
      </c>
      <c r="C751" s="99" t="s">
        <v>2294</v>
      </c>
      <c r="D751" s="100" t="s">
        <v>2295</v>
      </c>
      <c r="E751" s="100" t="s">
        <v>2578</v>
      </c>
      <c r="F751" s="99" t="s">
        <v>2328</v>
      </c>
      <c r="G751" s="117" t="s">
        <v>2329</v>
      </c>
      <c r="H751" s="102" t="s">
        <v>2579</v>
      </c>
      <c r="I751" s="100" t="s">
        <v>2300</v>
      </c>
      <c r="J751" s="100" t="s">
        <v>2301</v>
      </c>
      <c r="K751" s="100" t="s">
        <v>50</v>
      </c>
      <c r="L751" s="1" t="s">
        <v>2302</v>
      </c>
      <c r="M751" s="1" t="s">
        <v>493</v>
      </c>
      <c r="N751" s="1" t="s">
        <v>494</v>
      </c>
      <c r="O751" s="100" t="s">
        <v>2369</v>
      </c>
      <c r="P751" s="1" t="s">
        <v>3059</v>
      </c>
      <c r="Q751" s="106">
        <v>54686940</v>
      </c>
      <c r="R751" s="122">
        <v>1</v>
      </c>
      <c r="S751" s="104">
        <v>54686940</v>
      </c>
      <c r="T751" s="1" t="s">
        <v>2323</v>
      </c>
      <c r="U751" s="1" t="s">
        <v>2323</v>
      </c>
      <c r="V751" s="31" t="s">
        <v>620</v>
      </c>
      <c r="W751" s="105" t="s">
        <v>50</v>
      </c>
      <c r="X751" s="123" t="s">
        <v>3060</v>
      </c>
      <c r="Y751" s="31">
        <v>43126</v>
      </c>
      <c r="Z751" s="106">
        <v>54686940</v>
      </c>
      <c r="AA751" s="107" t="s">
        <v>2889</v>
      </c>
      <c r="AB751" s="20">
        <v>583</v>
      </c>
      <c r="AC751" s="31">
        <v>43126</v>
      </c>
      <c r="AD751" s="108">
        <v>54686940</v>
      </c>
      <c r="AE751" s="109">
        <f t="shared" si="68"/>
        <v>0</v>
      </c>
      <c r="AF751" s="20">
        <v>733</v>
      </c>
      <c r="AG751" s="31">
        <v>43136</v>
      </c>
      <c r="AH751" s="108">
        <v>54686940</v>
      </c>
      <c r="AI751" s="1" t="s">
        <v>3061</v>
      </c>
      <c r="AJ751" s="1">
        <v>514</v>
      </c>
      <c r="AK751" s="109">
        <f t="shared" si="69"/>
        <v>0</v>
      </c>
      <c r="AL751" s="108">
        <v>0</v>
      </c>
      <c r="AM751" s="108">
        <f t="shared" si="70"/>
        <v>54686940</v>
      </c>
      <c r="AN751" s="1" t="s">
        <v>2308</v>
      </c>
      <c r="AO751" s="108">
        <f t="shared" si="71"/>
        <v>0</v>
      </c>
      <c r="AP751" s="1"/>
      <c r="AQ751" s="1"/>
      <c r="AR751" s="1"/>
      <c r="AS751" s="1"/>
      <c r="AT751" s="1"/>
      <c r="AU751" s="211"/>
    </row>
    <row r="752" spans="1:47" ht="293.25" x14ac:dyDescent="0.2">
      <c r="A752" s="1">
        <v>262</v>
      </c>
      <c r="B752" s="1" t="str">
        <f t="shared" si="67"/>
        <v>3075-262</v>
      </c>
      <c r="C752" s="99" t="s">
        <v>2294</v>
      </c>
      <c r="D752" s="100" t="s">
        <v>2295</v>
      </c>
      <c r="E752" s="100" t="s">
        <v>2578</v>
      </c>
      <c r="F752" s="99" t="s">
        <v>2328</v>
      </c>
      <c r="G752" s="117" t="s">
        <v>2329</v>
      </c>
      <c r="H752" s="102" t="s">
        <v>2579</v>
      </c>
      <c r="I752" s="100" t="s">
        <v>2300</v>
      </c>
      <c r="J752" s="100" t="s">
        <v>2301</v>
      </c>
      <c r="K752" s="100" t="s">
        <v>50</v>
      </c>
      <c r="L752" s="1" t="s">
        <v>2302</v>
      </c>
      <c r="M752" s="1" t="s">
        <v>493</v>
      </c>
      <c r="N752" s="1" t="s">
        <v>494</v>
      </c>
      <c r="O752" s="100" t="s">
        <v>2369</v>
      </c>
      <c r="P752" s="1" t="s">
        <v>3062</v>
      </c>
      <c r="Q752" s="106">
        <v>54686940</v>
      </c>
      <c r="R752" s="122">
        <v>1</v>
      </c>
      <c r="S752" s="104">
        <v>54686940</v>
      </c>
      <c r="T752" s="1" t="s">
        <v>2323</v>
      </c>
      <c r="U752" s="1" t="s">
        <v>2323</v>
      </c>
      <c r="V752" s="31" t="s">
        <v>620</v>
      </c>
      <c r="W752" s="105" t="s">
        <v>50</v>
      </c>
      <c r="X752" s="123" t="s">
        <v>3063</v>
      </c>
      <c r="Y752" s="31">
        <v>43126</v>
      </c>
      <c r="Z752" s="106">
        <v>54686940</v>
      </c>
      <c r="AA752" s="107" t="s">
        <v>2889</v>
      </c>
      <c r="AB752" s="20">
        <v>585</v>
      </c>
      <c r="AC752" s="31">
        <v>43126</v>
      </c>
      <c r="AD752" s="108">
        <v>54686940</v>
      </c>
      <c r="AE752" s="109">
        <f t="shared" si="68"/>
        <v>0</v>
      </c>
      <c r="AF752" s="20">
        <v>808</v>
      </c>
      <c r="AG752" s="31">
        <v>43138</v>
      </c>
      <c r="AH752" s="108">
        <v>54686940</v>
      </c>
      <c r="AI752" s="1" t="s">
        <v>3064</v>
      </c>
      <c r="AJ752" s="1">
        <v>598</v>
      </c>
      <c r="AK752" s="109">
        <f t="shared" si="69"/>
        <v>0</v>
      </c>
      <c r="AL752" s="108">
        <v>54686940</v>
      </c>
      <c r="AM752" s="108">
        <f t="shared" si="70"/>
        <v>0</v>
      </c>
      <c r="AN752" s="1" t="s">
        <v>2308</v>
      </c>
      <c r="AO752" s="108">
        <f t="shared" si="71"/>
        <v>0</v>
      </c>
      <c r="AP752" s="1"/>
      <c r="AQ752" s="1"/>
      <c r="AR752" s="1"/>
      <c r="AS752" s="1"/>
      <c r="AT752" s="1"/>
      <c r="AU752" s="211"/>
    </row>
    <row r="753" spans="1:47" ht="293.25" x14ac:dyDescent="0.2">
      <c r="A753" s="1">
        <v>263</v>
      </c>
      <c r="B753" s="1" t="str">
        <f t="shared" si="67"/>
        <v>3075-263</v>
      </c>
      <c r="C753" s="99" t="s">
        <v>2294</v>
      </c>
      <c r="D753" s="100" t="s">
        <v>2295</v>
      </c>
      <c r="E753" s="100" t="s">
        <v>2578</v>
      </c>
      <c r="F753" s="99" t="s">
        <v>2328</v>
      </c>
      <c r="G753" s="117" t="s">
        <v>2329</v>
      </c>
      <c r="H753" s="102" t="s">
        <v>2579</v>
      </c>
      <c r="I753" s="100" t="s">
        <v>2300</v>
      </c>
      <c r="J753" s="100" t="s">
        <v>2301</v>
      </c>
      <c r="K753" s="100" t="s">
        <v>50</v>
      </c>
      <c r="L753" s="1" t="s">
        <v>2302</v>
      </c>
      <c r="M753" s="1" t="s">
        <v>493</v>
      </c>
      <c r="N753" s="1" t="s">
        <v>494</v>
      </c>
      <c r="O753" s="100" t="s">
        <v>2369</v>
      </c>
      <c r="P753" s="1" t="s">
        <v>3065</v>
      </c>
      <c r="Q753" s="106">
        <v>54686940</v>
      </c>
      <c r="R753" s="122">
        <v>1</v>
      </c>
      <c r="S753" s="104">
        <v>54686940</v>
      </c>
      <c r="T753" s="1" t="s">
        <v>2323</v>
      </c>
      <c r="U753" s="1" t="s">
        <v>2323</v>
      </c>
      <c r="V753" s="31" t="s">
        <v>620</v>
      </c>
      <c r="W753" s="105" t="s">
        <v>50</v>
      </c>
      <c r="X753" s="123" t="s">
        <v>3066</v>
      </c>
      <c r="Y753" s="31">
        <v>43129</v>
      </c>
      <c r="Z753" s="108">
        <v>54686940</v>
      </c>
      <c r="AA753" s="107" t="s">
        <v>2889</v>
      </c>
      <c r="AB753" s="20">
        <v>592</v>
      </c>
      <c r="AC753" s="31">
        <v>43131</v>
      </c>
      <c r="AD753" s="108">
        <v>54686940</v>
      </c>
      <c r="AE753" s="109">
        <f t="shared" si="68"/>
        <v>0</v>
      </c>
      <c r="AF753" s="20">
        <v>1018</v>
      </c>
      <c r="AG753" s="31">
        <v>43140</v>
      </c>
      <c r="AH753" s="108">
        <v>54686940</v>
      </c>
      <c r="AI753" s="1" t="s">
        <v>3067</v>
      </c>
      <c r="AJ753" s="1">
        <v>765</v>
      </c>
      <c r="AK753" s="109">
        <f t="shared" si="69"/>
        <v>0</v>
      </c>
      <c r="AL753" s="108">
        <v>54686940</v>
      </c>
      <c r="AM753" s="108">
        <f t="shared" si="70"/>
        <v>0</v>
      </c>
      <c r="AN753" s="1" t="s">
        <v>2308</v>
      </c>
      <c r="AO753" s="108">
        <f t="shared" si="71"/>
        <v>0</v>
      </c>
      <c r="AP753" s="1"/>
      <c r="AQ753" s="1"/>
      <c r="AR753" s="1"/>
      <c r="AS753" s="1"/>
      <c r="AT753" s="1"/>
      <c r="AU753" s="211"/>
    </row>
    <row r="754" spans="1:47" ht="293.25" x14ac:dyDescent="0.2">
      <c r="A754" s="1">
        <v>264</v>
      </c>
      <c r="B754" s="1" t="str">
        <f t="shared" si="67"/>
        <v>3075-264</v>
      </c>
      <c r="C754" s="99" t="s">
        <v>2294</v>
      </c>
      <c r="D754" s="100" t="s">
        <v>2295</v>
      </c>
      <c r="E754" s="100" t="s">
        <v>2578</v>
      </c>
      <c r="F754" s="99" t="s">
        <v>2328</v>
      </c>
      <c r="G754" s="117" t="s">
        <v>2329</v>
      </c>
      <c r="H754" s="102" t="s">
        <v>2579</v>
      </c>
      <c r="I754" s="100" t="s">
        <v>2300</v>
      </c>
      <c r="J754" s="100" t="s">
        <v>2301</v>
      </c>
      <c r="K754" s="100" t="s">
        <v>50</v>
      </c>
      <c r="L754" s="1" t="s">
        <v>2302</v>
      </c>
      <c r="M754" s="1" t="s">
        <v>493</v>
      </c>
      <c r="N754" s="1" t="s">
        <v>494</v>
      </c>
      <c r="O754" s="100" t="s">
        <v>2369</v>
      </c>
      <c r="P754" s="1" t="s">
        <v>3068</v>
      </c>
      <c r="Q754" s="106">
        <v>54686940</v>
      </c>
      <c r="R754" s="122">
        <v>1</v>
      </c>
      <c r="S754" s="104">
        <v>54686940</v>
      </c>
      <c r="T754" s="1" t="s">
        <v>2323</v>
      </c>
      <c r="U754" s="1" t="s">
        <v>2323</v>
      </c>
      <c r="V754" s="31" t="s">
        <v>620</v>
      </c>
      <c r="W754" s="105" t="s">
        <v>50</v>
      </c>
      <c r="X754" s="123" t="s">
        <v>3069</v>
      </c>
      <c r="Y754" s="31">
        <v>43129</v>
      </c>
      <c r="Z754" s="108">
        <v>54686940</v>
      </c>
      <c r="AA754" s="107" t="s">
        <v>2889</v>
      </c>
      <c r="AB754" s="20">
        <v>593</v>
      </c>
      <c r="AC754" s="31">
        <v>43131</v>
      </c>
      <c r="AD754" s="108">
        <v>54686940</v>
      </c>
      <c r="AE754" s="109">
        <f t="shared" si="68"/>
        <v>0</v>
      </c>
      <c r="AF754" s="20">
        <v>1369</v>
      </c>
      <c r="AG754" s="31">
        <v>43147</v>
      </c>
      <c r="AH754" s="108">
        <v>54686940</v>
      </c>
      <c r="AI754" s="1" t="s">
        <v>3070</v>
      </c>
      <c r="AJ754" s="1">
        <v>1268</v>
      </c>
      <c r="AK754" s="109">
        <f t="shared" si="69"/>
        <v>0</v>
      </c>
      <c r="AL754" s="108">
        <v>54686940</v>
      </c>
      <c r="AM754" s="108">
        <f t="shared" si="70"/>
        <v>0</v>
      </c>
      <c r="AN754" s="1" t="s">
        <v>2308</v>
      </c>
      <c r="AO754" s="108">
        <f t="shared" si="71"/>
        <v>0</v>
      </c>
      <c r="AP754" s="1"/>
      <c r="AQ754" s="1"/>
      <c r="AR754" s="1"/>
      <c r="AS754" s="1"/>
      <c r="AT754" s="1"/>
      <c r="AU754" s="211"/>
    </row>
    <row r="755" spans="1:47" ht="293.25" x14ac:dyDescent="0.2">
      <c r="A755" s="1">
        <v>265</v>
      </c>
      <c r="B755" s="1" t="str">
        <f t="shared" si="67"/>
        <v>3075-265</v>
      </c>
      <c r="C755" s="99" t="s">
        <v>2294</v>
      </c>
      <c r="D755" s="100" t="s">
        <v>2295</v>
      </c>
      <c r="E755" s="100" t="s">
        <v>2578</v>
      </c>
      <c r="F755" s="99" t="s">
        <v>2328</v>
      </c>
      <c r="G755" s="117" t="s">
        <v>2329</v>
      </c>
      <c r="H755" s="102" t="s">
        <v>2579</v>
      </c>
      <c r="I755" s="100" t="s">
        <v>2300</v>
      </c>
      <c r="J755" s="100" t="s">
        <v>2301</v>
      </c>
      <c r="K755" s="100" t="s">
        <v>50</v>
      </c>
      <c r="L755" s="1" t="s">
        <v>2302</v>
      </c>
      <c r="M755" s="1" t="s">
        <v>493</v>
      </c>
      <c r="N755" s="1" t="s">
        <v>494</v>
      </c>
      <c r="O755" s="100" t="s">
        <v>2369</v>
      </c>
      <c r="P755" s="1" t="s">
        <v>3071</v>
      </c>
      <c r="Q755" s="106">
        <v>54686940</v>
      </c>
      <c r="R755" s="122">
        <v>1</v>
      </c>
      <c r="S755" s="104">
        <v>54686940</v>
      </c>
      <c r="T755" s="1" t="s">
        <v>2323</v>
      </c>
      <c r="U755" s="1" t="s">
        <v>2323</v>
      </c>
      <c r="V755" s="31" t="s">
        <v>620</v>
      </c>
      <c r="W755" s="105" t="s">
        <v>50</v>
      </c>
      <c r="X755" s="123" t="s">
        <v>3072</v>
      </c>
      <c r="Y755" s="31">
        <v>43129</v>
      </c>
      <c r="Z755" s="108">
        <v>54686940</v>
      </c>
      <c r="AA755" s="107" t="s">
        <v>2889</v>
      </c>
      <c r="AB755" s="20">
        <v>591</v>
      </c>
      <c r="AC755" s="31">
        <v>43131</v>
      </c>
      <c r="AD755" s="108">
        <v>54686940</v>
      </c>
      <c r="AE755" s="109">
        <f t="shared" si="68"/>
        <v>0</v>
      </c>
      <c r="AF755" s="20">
        <v>1338</v>
      </c>
      <c r="AG755" s="31">
        <v>43144</v>
      </c>
      <c r="AH755" s="108">
        <v>54686940</v>
      </c>
      <c r="AI755" s="1" t="s">
        <v>3073</v>
      </c>
      <c r="AJ755" s="1">
        <v>1126</v>
      </c>
      <c r="AK755" s="109">
        <f t="shared" si="69"/>
        <v>0</v>
      </c>
      <c r="AL755" s="108">
        <v>54686940</v>
      </c>
      <c r="AM755" s="108">
        <f t="shared" si="70"/>
        <v>0</v>
      </c>
      <c r="AN755" s="1" t="s">
        <v>2308</v>
      </c>
      <c r="AO755" s="108">
        <f t="shared" si="71"/>
        <v>0</v>
      </c>
      <c r="AP755" s="1"/>
      <c r="AQ755" s="1"/>
      <c r="AR755" s="1"/>
      <c r="AS755" s="1"/>
      <c r="AT755" s="1"/>
      <c r="AU755" s="211"/>
    </row>
    <row r="756" spans="1:47" ht="293.25" x14ac:dyDescent="0.2">
      <c r="A756" s="1">
        <v>266</v>
      </c>
      <c r="B756" s="1" t="str">
        <f t="shared" si="67"/>
        <v>3075-266</v>
      </c>
      <c r="C756" s="99" t="s">
        <v>2294</v>
      </c>
      <c r="D756" s="100" t="s">
        <v>2295</v>
      </c>
      <c r="E756" s="100" t="s">
        <v>2578</v>
      </c>
      <c r="F756" s="99" t="s">
        <v>2328</v>
      </c>
      <c r="G756" s="117" t="s">
        <v>2329</v>
      </c>
      <c r="H756" s="102" t="s">
        <v>2579</v>
      </c>
      <c r="I756" s="100" t="s">
        <v>2300</v>
      </c>
      <c r="J756" s="100" t="s">
        <v>2301</v>
      </c>
      <c r="K756" s="100" t="s">
        <v>50</v>
      </c>
      <c r="L756" s="1" t="s">
        <v>2302</v>
      </c>
      <c r="M756" s="1" t="s">
        <v>493</v>
      </c>
      <c r="N756" s="1" t="s">
        <v>494</v>
      </c>
      <c r="O756" s="100" t="s">
        <v>2369</v>
      </c>
      <c r="P756" s="1" t="s">
        <v>3074</v>
      </c>
      <c r="Q756" s="106">
        <v>54686940</v>
      </c>
      <c r="R756" s="122">
        <v>1</v>
      </c>
      <c r="S756" s="104">
        <v>54686940</v>
      </c>
      <c r="T756" s="1" t="s">
        <v>2323</v>
      </c>
      <c r="U756" s="1" t="s">
        <v>2323</v>
      </c>
      <c r="V756" s="31" t="s">
        <v>498</v>
      </c>
      <c r="W756" s="105" t="s">
        <v>50</v>
      </c>
      <c r="X756" s="123" t="s">
        <v>3075</v>
      </c>
      <c r="Y756" s="31">
        <v>43129</v>
      </c>
      <c r="Z756" s="108">
        <v>54686940</v>
      </c>
      <c r="AA756" s="107" t="s">
        <v>2889</v>
      </c>
      <c r="AB756" s="20">
        <v>655</v>
      </c>
      <c r="AC756" s="31">
        <v>43151</v>
      </c>
      <c r="AD756" s="108">
        <v>54686940</v>
      </c>
      <c r="AE756" s="109">
        <f t="shared" si="68"/>
        <v>0</v>
      </c>
      <c r="AF756" s="20">
        <v>1476</v>
      </c>
      <c r="AG756" s="31">
        <v>43160</v>
      </c>
      <c r="AH756" s="108">
        <v>54686940</v>
      </c>
      <c r="AI756" s="1" t="s">
        <v>3076</v>
      </c>
      <c r="AJ756" s="1">
        <v>1415</v>
      </c>
      <c r="AK756" s="109">
        <f t="shared" si="69"/>
        <v>0</v>
      </c>
      <c r="AL756" s="108">
        <v>54686940</v>
      </c>
      <c r="AM756" s="108">
        <f t="shared" si="70"/>
        <v>0</v>
      </c>
      <c r="AN756" s="1" t="s">
        <v>2308</v>
      </c>
      <c r="AO756" s="108">
        <f t="shared" si="71"/>
        <v>0</v>
      </c>
      <c r="AP756" s="1"/>
      <c r="AQ756" s="1"/>
      <c r="AR756" s="1"/>
      <c r="AS756" s="1"/>
      <c r="AT756" s="1"/>
      <c r="AU756" s="211"/>
    </row>
    <row r="757" spans="1:47" ht="293.25" x14ac:dyDescent="0.2">
      <c r="A757" s="1">
        <v>267</v>
      </c>
      <c r="B757" s="1" t="str">
        <f t="shared" si="67"/>
        <v>3075-267</v>
      </c>
      <c r="C757" s="99" t="s">
        <v>2294</v>
      </c>
      <c r="D757" s="100" t="s">
        <v>2295</v>
      </c>
      <c r="E757" s="100" t="s">
        <v>2578</v>
      </c>
      <c r="F757" s="99" t="s">
        <v>2328</v>
      </c>
      <c r="G757" s="117" t="s">
        <v>2329</v>
      </c>
      <c r="H757" s="102" t="s">
        <v>2579</v>
      </c>
      <c r="I757" s="100" t="s">
        <v>2300</v>
      </c>
      <c r="J757" s="100" t="s">
        <v>2301</v>
      </c>
      <c r="K757" s="100" t="s">
        <v>50</v>
      </c>
      <c r="L757" s="1" t="s">
        <v>2302</v>
      </c>
      <c r="M757" s="1" t="s">
        <v>493</v>
      </c>
      <c r="N757" s="1" t="s">
        <v>494</v>
      </c>
      <c r="O757" s="100" t="s">
        <v>2369</v>
      </c>
      <c r="P757" s="1" t="s">
        <v>3077</v>
      </c>
      <c r="Q757" s="106">
        <v>54686940</v>
      </c>
      <c r="R757" s="122">
        <v>1</v>
      </c>
      <c r="S757" s="104">
        <v>54686940</v>
      </c>
      <c r="T757" s="1" t="s">
        <v>2323</v>
      </c>
      <c r="U757" s="1" t="s">
        <v>2323</v>
      </c>
      <c r="V757" s="31" t="s">
        <v>498</v>
      </c>
      <c r="W757" s="105" t="s">
        <v>50</v>
      </c>
      <c r="X757" s="123" t="s">
        <v>3078</v>
      </c>
      <c r="Y757" s="31">
        <v>43129</v>
      </c>
      <c r="Z757" s="108">
        <v>54686940</v>
      </c>
      <c r="AA757" s="107" t="s">
        <v>2889</v>
      </c>
      <c r="AB757" s="20">
        <v>654</v>
      </c>
      <c r="AC757" s="31">
        <v>43151</v>
      </c>
      <c r="AD757" s="108">
        <v>54686940</v>
      </c>
      <c r="AE757" s="109">
        <f t="shared" si="68"/>
        <v>0</v>
      </c>
      <c r="AF757" s="20">
        <v>1477</v>
      </c>
      <c r="AG757" s="31">
        <v>43160</v>
      </c>
      <c r="AH757" s="108">
        <v>54686940</v>
      </c>
      <c r="AI757" s="1" t="s">
        <v>3079</v>
      </c>
      <c r="AJ757" s="1">
        <v>1416</v>
      </c>
      <c r="AK757" s="109">
        <f t="shared" si="69"/>
        <v>0</v>
      </c>
      <c r="AL757" s="108">
        <v>54686940</v>
      </c>
      <c r="AM757" s="108">
        <f t="shared" si="70"/>
        <v>0</v>
      </c>
      <c r="AN757" s="1" t="s">
        <v>2308</v>
      </c>
      <c r="AO757" s="108">
        <f t="shared" si="71"/>
        <v>0</v>
      </c>
      <c r="AP757" s="1"/>
      <c r="AQ757" s="1"/>
      <c r="AR757" s="1"/>
      <c r="AS757" s="1"/>
      <c r="AT757" s="1"/>
      <c r="AU757" s="211"/>
    </row>
    <row r="758" spans="1:47" ht="293.25" x14ac:dyDescent="0.2">
      <c r="A758" s="1">
        <v>268</v>
      </c>
      <c r="B758" s="1" t="str">
        <f t="shared" si="67"/>
        <v>3075-268</v>
      </c>
      <c r="C758" s="99" t="s">
        <v>2294</v>
      </c>
      <c r="D758" s="100" t="s">
        <v>2295</v>
      </c>
      <c r="E758" s="100" t="s">
        <v>2578</v>
      </c>
      <c r="F758" s="99" t="s">
        <v>2328</v>
      </c>
      <c r="G758" s="117" t="s">
        <v>2329</v>
      </c>
      <c r="H758" s="102" t="s">
        <v>2579</v>
      </c>
      <c r="I758" s="100" t="s">
        <v>2300</v>
      </c>
      <c r="J758" s="100" t="s">
        <v>2301</v>
      </c>
      <c r="K758" s="100" t="s">
        <v>50</v>
      </c>
      <c r="L758" s="1" t="s">
        <v>2302</v>
      </c>
      <c r="M758" s="1" t="s">
        <v>493</v>
      </c>
      <c r="N758" s="1" t="s">
        <v>494</v>
      </c>
      <c r="O758" s="100" t="s">
        <v>2369</v>
      </c>
      <c r="P758" s="1" t="s">
        <v>3080</v>
      </c>
      <c r="Q758" s="106">
        <v>54686940</v>
      </c>
      <c r="R758" s="122">
        <v>1</v>
      </c>
      <c r="S758" s="104">
        <v>54686940</v>
      </c>
      <c r="T758" s="1" t="s">
        <v>2323</v>
      </c>
      <c r="U758" s="1" t="s">
        <v>2323</v>
      </c>
      <c r="V758" s="31" t="s">
        <v>620</v>
      </c>
      <c r="W758" s="105" t="s">
        <v>50</v>
      </c>
      <c r="X758" s="123" t="s">
        <v>3081</v>
      </c>
      <c r="Y758" s="31">
        <v>43129</v>
      </c>
      <c r="Z758" s="108">
        <v>54686940</v>
      </c>
      <c r="AA758" s="107" t="s">
        <v>2889</v>
      </c>
      <c r="AB758" s="20">
        <v>595</v>
      </c>
      <c r="AC758" s="31">
        <v>43131</v>
      </c>
      <c r="AD758" s="108">
        <v>54686940</v>
      </c>
      <c r="AE758" s="109">
        <f t="shared" si="68"/>
        <v>0</v>
      </c>
      <c r="AF758" s="20">
        <v>1331</v>
      </c>
      <c r="AG758" s="31">
        <v>43144</v>
      </c>
      <c r="AH758" s="108">
        <v>54686940</v>
      </c>
      <c r="AI758" s="1" t="s">
        <v>3082</v>
      </c>
      <c r="AJ758" s="1">
        <v>1098</v>
      </c>
      <c r="AK758" s="109">
        <f t="shared" si="69"/>
        <v>0</v>
      </c>
      <c r="AL758" s="108">
        <v>0</v>
      </c>
      <c r="AM758" s="108">
        <f t="shared" si="70"/>
        <v>54686940</v>
      </c>
      <c r="AN758" s="1" t="s">
        <v>2308</v>
      </c>
      <c r="AO758" s="108">
        <f t="shared" si="71"/>
        <v>0</v>
      </c>
      <c r="AP758" s="1"/>
      <c r="AQ758" s="1"/>
      <c r="AR758" s="1"/>
      <c r="AS758" s="1"/>
      <c r="AT758" s="1"/>
      <c r="AU758" s="211"/>
    </row>
    <row r="759" spans="1:47" ht="293.25" x14ac:dyDescent="0.2">
      <c r="A759" s="1">
        <v>269</v>
      </c>
      <c r="B759" s="1" t="str">
        <f t="shared" si="67"/>
        <v>3075-269</v>
      </c>
      <c r="C759" s="99" t="s">
        <v>2294</v>
      </c>
      <c r="D759" s="100" t="s">
        <v>2295</v>
      </c>
      <c r="E759" s="100" t="s">
        <v>2578</v>
      </c>
      <c r="F759" s="99" t="s">
        <v>2328</v>
      </c>
      <c r="G759" s="117" t="s">
        <v>2329</v>
      </c>
      <c r="H759" s="102" t="s">
        <v>2579</v>
      </c>
      <c r="I759" s="100" t="s">
        <v>2300</v>
      </c>
      <c r="J759" s="100" t="s">
        <v>2301</v>
      </c>
      <c r="K759" s="100" t="s">
        <v>50</v>
      </c>
      <c r="L759" s="1" t="s">
        <v>2302</v>
      </c>
      <c r="M759" s="1" t="s">
        <v>493</v>
      </c>
      <c r="N759" s="1" t="s">
        <v>494</v>
      </c>
      <c r="O759" s="100" t="s">
        <v>2369</v>
      </c>
      <c r="P759" s="1" t="s">
        <v>3083</v>
      </c>
      <c r="Q759" s="106">
        <v>54686940</v>
      </c>
      <c r="R759" s="122">
        <v>1</v>
      </c>
      <c r="S759" s="104">
        <v>54686940</v>
      </c>
      <c r="T759" s="1" t="s">
        <v>2323</v>
      </c>
      <c r="U759" s="1" t="s">
        <v>2323</v>
      </c>
      <c r="V759" s="31" t="s">
        <v>620</v>
      </c>
      <c r="W759" s="105" t="s">
        <v>50</v>
      </c>
      <c r="X759" s="123" t="s">
        <v>3084</v>
      </c>
      <c r="Y759" s="31">
        <v>43131</v>
      </c>
      <c r="Z759" s="106">
        <v>54686940</v>
      </c>
      <c r="AA759" s="107" t="s">
        <v>2889</v>
      </c>
      <c r="AB759" s="20">
        <v>601</v>
      </c>
      <c r="AC759" s="31">
        <v>43132</v>
      </c>
      <c r="AD759" s="108">
        <v>54686940</v>
      </c>
      <c r="AE759" s="109">
        <f t="shared" si="68"/>
        <v>0</v>
      </c>
      <c r="AF759" s="20">
        <v>1355</v>
      </c>
      <c r="AG759" s="31">
        <v>43145</v>
      </c>
      <c r="AH759" s="108">
        <v>54686940</v>
      </c>
      <c r="AI759" s="1" t="s">
        <v>3085</v>
      </c>
      <c r="AJ759" s="1">
        <v>1094</v>
      </c>
      <c r="AK759" s="109">
        <f t="shared" si="69"/>
        <v>0</v>
      </c>
      <c r="AL759" s="108">
        <v>54686940</v>
      </c>
      <c r="AM759" s="108">
        <f t="shared" si="70"/>
        <v>0</v>
      </c>
      <c r="AN759" s="1" t="s">
        <v>2308</v>
      </c>
      <c r="AO759" s="108">
        <f t="shared" si="71"/>
        <v>0</v>
      </c>
      <c r="AP759" s="1"/>
      <c r="AQ759" s="1"/>
      <c r="AR759" s="1"/>
      <c r="AS759" s="1"/>
      <c r="AT759" s="1"/>
      <c r="AU759" s="211"/>
    </row>
    <row r="760" spans="1:47" ht="293.25" x14ac:dyDescent="0.2">
      <c r="A760" s="1">
        <v>270</v>
      </c>
      <c r="B760" s="1" t="str">
        <f t="shared" si="67"/>
        <v>3075-270</v>
      </c>
      <c r="C760" s="99" t="s">
        <v>2294</v>
      </c>
      <c r="D760" s="100" t="s">
        <v>2295</v>
      </c>
      <c r="E760" s="100" t="s">
        <v>2578</v>
      </c>
      <c r="F760" s="99" t="s">
        <v>2328</v>
      </c>
      <c r="G760" s="117" t="s">
        <v>2329</v>
      </c>
      <c r="H760" s="102" t="s">
        <v>2579</v>
      </c>
      <c r="I760" s="100" t="s">
        <v>2300</v>
      </c>
      <c r="J760" s="100" t="s">
        <v>2301</v>
      </c>
      <c r="K760" s="100" t="s">
        <v>50</v>
      </c>
      <c r="L760" s="1" t="s">
        <v>2302</v>
      </c>
      <c r="M760" s="1" t="s">
        <v>493</v>
      </c>
      <c r="N760" s="1" t="s">
        <v>494</v>
      </c>
      <c r="O760" s="100" t="s">
        <v>2369</v>
      </c>
      <c r="P760" s="1" t="s">
        <v>3086</v>
      </c>
      <c r="Q760" s="106">
        <v>54686940</v>
      </c>
      <c r="R760" s="122">
        <v>1</v>
      </c>
      <c r="S760" s="104">
        <v>54686940</v>
      </c>
      <c r="T760" s="1" t="s">
        <v>2323</v>
      </c>
      <c r="U760" s="1" t="s">
        <v>2323</v>
      </c>
      <c r="V760" s="31" t="s">
        <v>620</v>
      </c>
      <c r="W760" s="105" t="s">
        <v>50</v>
      </c>
      <c r="X760" s="123" t="s">
        <v>3087</v>
      </c>
      <c r="Y760" s="31">
        <v>43131</v>
      </c>
      <c r="Z760" s="106">
        <v>54686940</v>
      </c>
      <c r="AA760" s="107" t="s">
        <v>2889</v>
      </c>
      <c r="AB760" s="20">
        <v>626</v>
      </c>
      <c r="AC760" s="31">
        <v>43132</v>
      </c>
      <c r="AD760" s="108">
        <v>54686940</v>
      </c>
      <c r="AE760" s="109">
        <f t="shared" si="68"/>
        <v>0</v>
      </c>
      <c r="AF760" s="20">
        <v>1366</v>
      </c>
      <c r="AG760" s="31">
        <v>43147</v>
      </c>
      <c r="AH760" s="108">
        <v>54686940</v>
      </c>
      <c r="AI760" s="1" t="s">
        <v>3088</v>
      </c>
      <c r="AJ760" s="1">
        <v>1276</v>
      </c>
      <c r="AK760" s="109">
        <f t="shared" si="69"/>
        <v>0</v>
      </c>
      <c r="AL760" s="108">
        <v>54686940</v>
      </c>
      <c r="AM760" s="108">
        <f t="shared" si="70"/>
        <v>0</v>
      </c>
      <c r="AN760" s="1" t="s">
        <v>2308</v>
      </c>
      <c r="AO760" s="108">
        <f t="shared" si="71"/>
        <v>0</v>
      </c>
      <c r="AP760" s="1"/>
      <c r="AQ760" s="1"/>
      <c r="AR760" s="1"/>
      <c r="AS760" s="1"/>
      <c r="AT760" s="1"/>
      <c r="AU760" s="211"/>
    </row>
    <row r="761" spans="1:47" ht="293.25" x14ac:dyDescent="0.2">
      <c r="A761" s="1">
        <v>271</v>
      </c>
      <c r="B761" s="1" t="str">
        <f t="shared" si="67"/>
        <v>3075-271</v>
      </c>
      <c r="C761" s="99" t="s">
        <v>2294</v>
      </c>
      <c r="D761" s="100" t="s">
        <v>2295</v>
      </c>
      <c r="E761" s="100" t="s">
        <v>2578</v>
      </c>
      <c r="F761" s="99" t="s">
        <v>2328</v>
      </c>
      <c r="G761" s="117" t="s">
        <v>2329</v>
      </c>
      <c r="H761" s="102" t="s">
        <v>2579</v>
      </c>
      <c r="I761" s="100" t="s">
        <v>2300</v>
      </c>
      <c r="J761" s="100" t="s">
        <v>2301</v>
      </c>
      <c r="K761" s="100" t="s">
        <v>50</v>
      </c>
      <c r="L761" s="1" t="s">
        <v>2302</v>
      </c>
      <c r="M761" s="1" t="s">
        <v>493</v>
      </c>
      <c r="N761" s="1" t="s">
        <v>494</v>
      </c>
      <c r="O761" s="100" t="s">
        <v>2369</v>
      </c>
      <c r="P761" s="1" t="s">
        <v>3089</v>
      </c>
      <c r="Q761" s="106">
        <v>54686940</v>
      </c>
      <c r="R761" s="122">
        <v>1</v>
      </c>
      <c r="S761" s="104">
        <v>54686940</v>
      </c>
      <c r="T761" s="1" t="s">
        <v>2323</v>
      </c>
      <c r="U761" s="1" t="s">
        <v>2323</v>
      </c>
      <c r="V761" s="31" t="s">
        <v>620</v>
      </c>
      <c r="W761" s="105" t="s">
        <v>50</v>
      </c>
      <c r="X761" s="123" t="s">
        <v>3090</v>
      </c>
      <c r="Y761" s="31">
        <v>43131</v>
      </c>
      <c r="Z761" s="106">
        <v>54686940</v>
      </c>
      <c r="AA761" s="107" t="s">
        <v>2889</v>
      </c>
      <c r="AB761" s="20">
        <v>606</v>
      </c>
      <c r="AC761" s="31">
        <v>43132</v>
      </c>
      <c r="AD761" s="108">
        <v>54686940</v>
      </c>
      <c r="AE761" s="109">
        <f t="shared" si="68"/>
        <v>0</v>
      </c>
      <c r="AF761" s="20">
        <v>1345</v>
      </c>
      <c r="AG761" s="31">
        <v>43144</v>
      </c>
      <c r="AH761" s="108">
        <v>54686940</v>
      </c>
      <c r="AI761" s="1" t="s">
        <v>3091</v>
      </c>
      <c r="AJ761" s="1">
        <v>1103</v>
      </c>
      <c r="AK761" s="109">
        <f t="shared" si="69"/>
        <v>0</v>
      </c>
      <c r="AL761" s="108">
        <v>54686940</v>
      </c>
      <c r="AM761" s="108">
        <f t="shared" si="70"/>
        <v>0</v>
      </c>
      <c r="AN761" s="1" t="s">
        <v>2308</v>
      </c>
      <c r="AO761" s="108">
        <f t="shared" si="71"/>
        <v>0</v>
      </c>
      <c r="AP761" s="1"/>
      <c r="AQ761" s="1"/>
      <c r="AR761" s="1"/>
      <c r="AS761" s="1"/>
      <c r="AT761" s="1"/>
      <c r="AU761" s="211"/>
    </row>
    <row r="762" spans="1:47" ht="293.25" x14ac:dyDescent="0.2">
      <c r="A762" s="1">
        <v>272</v>
      </c>
      <c r="B762" s="1" t="str">
        <f t="shared" si="67"/>
        <v>3075-272</v>
      </c>
      <c r="C762" s="99" t="s">
        <v>2294</v>
      </c>
      <c r="D762" s="100" t="s">
        <v>2295</v>
      </c>
      <c r="E762" s="100" t="s">
        <v>2578</v>
      </c>
      <c r="F762" s="99" t="s">
        <v>2328</v>
      </c>
      <c r="G762" s="117" t="s">
        <v>2329</v>
      </c>
      <c r="H762" s="102" t="s">
        <v>2579</v>
      </c>
      <c r="I762" s="100" t="s">
        <v>2300</v>
      </c>
      <c r="J762" s="100" t="s">
        <v>2301</v>
      </c>
      <c r="K762" s="100" t="s">
        <v>50</v>
      </c>
      <c r="L762" s="1" t="s">
        <v>2302</v>
      </c>
      <c r="M762" s="1" t="s">
        <v>493</v>
      </c>
      <c r="N762" s="1" t="s">
        <v>494</v>
      </c>
      <c r="O762" s="100" t="s">
        <v>2369</v>
      </c>
      <c r="P762" s="1" t="s">
        <v>3092</v>
      </c>
      <c r="Q762" s="106">
        <v>54686940</v>
      </c>
      <c r="R762" s="122">
        <v>1</v>
      </c>
      <c r="S762" s="104">
        <v>54686940</v>
      </c>
      <c r="T762" s="1" t="s">
        <v>2323</v>
      </c>
      <c r="U762" s="1" t="s">
        <v>2323</v>
      </c>
      <c r="V762" s="31" t="s">
        <v>620</v>
      </c>
      <c r="W762" s="105" t="s">
        <v>50</v>
      </c>
      <c r="X762" s="123" t="s">
        <v>3093</v>
      </c>
      <c r="Y762" s="31">
        <v>43131</v>
      </c>
      <c r="Z762" s="106">
        <v>54686940</v>
      </c>
      <c r="AA762" s="107" t="s">
        <v>2889</v>
      </c>
      <c r="AB762" s="20">
        <v>610</v>
      </c>
      <c r="AC762" s="31">
        <v>43132</v>
      </c>
      <c r="AD762" s="108">
        <v>54686940</v>
      </c>
      <c r="AE762" s="109">
        <f t="shared" si="68"/>
        <v>0</v>
      </c>
      <c r="AF762" s="20">
        <v>1364</v>
      </c>
      <c r="AG762" s="31">
        <v>43147</v>
      </c>
      <c r="AH762" s="108">
        <v>54686940</v>
      </c>
      <c r="AI762" s="1" t="s">
        <v>3094</v>
      </c>
      <c r="AJ762" s="1">
        <v>1275</v>
      </c>
      <c r="AK762" s="109">
        <f t="shared" si="69"/>
        <v>0</v>
      </c>
      <c r="AL762" s="108">
        <v>54686940</v>
      </c>
      <c r="AM762" s="108">
        <f t="shared" si="70"/>
        <v>0</v>
      </c>
      <c r="AN762" s="1" t="s">
        <v>2308</v>
      </c>
      <c r="AO762" s="108">
        <f t="shared" si="71"/>
        <v>0</v>
      </c>
      <c r="AP762" s="1"/>
      <c r="AQ762" s="1"/>
      <c r="AR762" s="1"/>
      <c r="AS762" s="1"/>
      <c r="AT762" s="1"/>
      <c r="AU762" s="211"/>
    </row>
    <row r="763" spans="1:47" ht="293.25" x14ac:dyDescent="0.2">
      <c r="A763" s="1">
        <v>273</v>
      </c>
      <c r="B763" s="1" t="str">
        <f t="shared" si="67"/>
        <v>3075-273</v>
      </c>
      <c r="C763" s="99" t="s">
        <v>2294</v>
      </c>
      <c r="D763" s="100" t="s">
        <v>2295</v>
      </c>
      <c r="E763" s="100" t="s">
        <v>2578</v>
      </c>
      <c r="F763" s="99" t="s">
        <v>2328</v>
      </c>
      <c r="G763" s="117" t="s">
        <v>2329</v>
      </c>
      <c r="H763" s="102" t="s">
        <v>2579</v>
      </c>
      <c r="I763" s="100" t="s">
        <v>2300</v>
      </c>
      <c r="J763" s="100" t="s">
        <v>2301</v>
      </c>
      <c r="K763" s="100" t="s">
        <v>50</v>
      </c>
      <c r="L763" s="1" t="s">
        <v>2302</v>
      </c>
      <c r="M763" s="1" t="s">
        <v>493</v>
      </c>
      <c r="N763" s="1" t="s">
        <v>494</v>
      </c>
      <c r="O763" s="100" t="s">
        <v>2369</v>
      </c>
      <c r="P763" s="1" t="s">
        <v>3095</v>
      </c>
      <c r="Q763" s="106">
        <v>54686940</v>
      </c>
      <c r="R763" s="122">
        <v>1</v>
      </c>
      <c r="S763" s="104">
        <v>54686940</v>
      </c>
      <c r="T763" s="1" t="s">
        <v>2323</v>
      </c>
      <c r="U763" s="1" t="s">
        <v>2323</v>
      </c>
      <c r="V763" s="31" t="s">
        <v>620</v>
      </c>
      <c r="W763" s="105" t="s">
        <v>50</v>
      </c>
      <c r="X763" s="123" t="s">
        <v>3096</v>
      </c>
      <c r="Y763" s="31">
        <v>43131</v>
      </c>
      <c r="Z763" s="106">
        <v>54686940</v>
      </c>
      <c r="AA763" s="107" t="s">
        <v>2889</v>
      </c>
      <c r="AB763" s="20">
        <v>613</v>
      </c>
      <c r="AC763" s="31">
        <v>43132</v>
      </c>
      <c r="AD763" s="108">
        <v>54686940</v>
      </c>
      <c r="AE763" s="109">
        <f t="shared" si="68"/>
        <v>0</v>
      </c>
      <c r="AF763" s="20">
        <v>1374</v>
      </c>
      <c r="AG763" s="31">
        <v>43147</v>
      </c>
      <c r="AH763" s="108">
        <v>54686940</v>
      </c>
      <c r="AI763" s="1" t="s">
        <v>3097</v>
      </c>
      <c r="AJ763" s="1">
        <v>1278</v>
      </c>
      <c r="AK763" s="109">
        <f t="shared" si="69"/>
        <v>0</v>
      </c>
      <c r="AL763" s="108">
        <v>54686940</v>
      </c>
      <c r="AM763" s="108">
        <f t="shared" si="70"/>
        <v>0</v>
      </c>
      <c r="AN763" s="1" t="s">
        <v>2308</v>
      </c>
      <c r="AO763" s="108">
        <f t="shared" si="71"/>
        <v>0</v>
      </c>
      <c r="AP763" s="1"/>
      <c r="AQ763" s="1"/>
      <c r="AR763" s="1"/>
      <c r="AS763" s="1"/>
      <c r="AT763" s="1"/>
      <c r="AU763" s="211"/>
    </row>
    <row r="764" spans="1:47" ht="293.25" x14ac:dyDescent="0.2">
      <c r="A764" s="1">
        <v>274</v>
      </c>
      <c r="B764" s="1" t="str">
        <f t="shared" si="67"/>
        <v>3075-274</v>
      </c>
      <c r="C764" s="99" t="s">
        <v>2294</v>
      </c>
      <c r="D764" s="100" t="s">
        <v>2295</v>
      </c>
      <c r="E764" s="100" t="s">
        <v>2578</v>
      </c>
      <c r="F764" s="99" t="s">
        <v>2328</v>
      </c>
      <c r="G764" s="117" t="s">
        <v>2329</v>
      </c>
      <c r="H764" s="102" t="s">
        <v>2579</v>
      </c>
      <c r="I764" s="100" t="s">
        <v>2300</v>
      </c>
      <c r="J764" s="100" t="s">
        <v>2301</v>
      </c>
      <c r="K764" s="100" t="s">
        <v>50</v>
      </c>
      <c r="L764" s="1" t="s">
        <v>2302</v>
      </c>
      <c r="M764" s="1" t="s">
        <v>493</v>
      </c>
      <c r="N764" s="1" t="s">
        <v>494</v>
      </c>
      <c r="O764" s="100" t="s">
        <v>2369</v>
      </c>
      <c r="P764" s="1" t="s">
        <v>3098</v>
      </c>
      <c r="Q764" s="106">
        <v>54686940</v>
      </c>
      <c r="R764" s="122">
        <v>1</v>
      </c>
      <c r="S764" s="104">
        <v>54686940</v>
      </c>
      <c r="T764" s="1" t="s">
        <v>2323</v>
      </c>
      <c r="U764" s="1" t="s">
        <v>2323</v>
      </c>
      <c r="V764" s="31" t="s">
        <v>620</v>
      </c>
      <c r="W764" s="105" t="s">
        <v>50</v>
      </c>
      <c r="X764" s="123" t="s">
        <v>3099</v>
      </c>
      <c r="Y764" s="31">
        <v>43131</v>
      </c>
      <c r="Z764" s="106">
        <v>54686940</v>
      </c>
      <c r="AA764" s="107" t="s">
        <v>2889</v>
      </c>
      <c r="AB764" s="20">
        <v>616</v>
      </c>
      <c r="AC764" s="31">
        <v>43132</v>
      </c>
      <c r="AD764" s="108">
        <v>54686940</v>
      </c>
      <c r="AE764" s="109">
        <f t="shared" si="68"/>
        <v>0</v>
      </c>
      <c r="AF764" s="20">
        <v>1363</v>
      </c>
      <c r="AG764" s="31">
        <v>43147</v>
      </c>
      <c r="AH764" s="108">
        <v>54686940</v>
      </c>
      <c r="AI764" s="1" t="s">
        <v>3100</v>
      </c>
      <c r="AJ764" s="1">
        <v>1274</v>
      </c>
      <c r="AK764" s="109">
        <f t="shared" si="69"/>
        <v>0</v>
      </c>
      <c r="AL764" s="108">
        <v>54686940</v>
      </c>
      <c r="AM764" s="108">
        <f t="shared" si="70"/>
        <v>0</v>
      </c>
      <c r="AN764" s="1" t="s">
        <v>2308</v>
      </c>
      <c r="AO764" s="108">
        <f t="shared" si="71"/>
        <v>0</v>
      </c>
      <c r="AP764" s="1"/>
      <c r="AQ764" s="1"/>
      <c r="AR764" s="1"/>
      <c r="AS764" s="1"/>
      <c r="AT764" s="1"/>
      <c r="AU764" s="211"/>
    </row>
    <row r="765" spans="1:47" ht="293.25" x14ac:dyDescent="0.2">
      <c r="A765" s="1">
        <v>275</v>
      </c>
      <c r="B765" s="1" t="str">
        <f t="shared" si="67"/>
        <v>3075-275</v>
      </c>
      <c r="C765" s="99" t="s">
        <v>2294</v>
      </c>
      <c r="D765" s="100" t="s">
        <v>2295</v>
      </c>
      <c r="E765" s="100" t="s">
        <v>2578</v>
      </c>
      <c r="F765" s="99" t="s">
        <v>2328</v>
      </c>
      <c r="G765" s="117" t="s">
        <v>2329</v>
      </c>
      <c r="H765" s="102" t="s">
        <v>2579</v>
      </c>
      <c r="I765" s="100" t="s">
        <v>2300</v>
      </c>
      <c r="J765" s="100" t="s">
        <v>2301</v>
      </c>
      <c r="K765" s="100" t="s">
        <v>50</v>
      </c>
      <c r="L765" s="1" t="s">
        <v>2302</v>
      </c>
      <c r="M765" s="1" t="s">
        <v>493</v>
      </c>
      <c r="N765" s="1" t="s">
        <v>494</v>
      </c>
      <c r="O765" s="100" t="s">
        <v>2369</v>
      </c>
      <c r="P765" s="1" t="s">
        <v>3101</v>
      </c>
      <c r="Q765" s="106">
        <v>54686940</v>
      </c>
      <c r="R765" s="122">
        <v>1</v>
      </c>
      <c r="S765" s="104">
        <v>54686940</v>
      </c>
      <c r="T765" s="1" t="s">
        <v>2323</v>
      </c>
      <c r="U765" s="1" t="s">
        <v>2323</v>
      </c>
      <c r="V765" s="31" t="s">
        <v>620</v>
      </c>
      <c r="W765" s="105" t="s">
        <v>50</v>
      </c>
      <c r="X765" s="123" t="s">
        <v>3102</v>
      </c>
      <c r="Y765" s="31">
        <v>43131</v>
      </c>
      <c r="Z765" s="106">
        <v>54686940</v>
      </c>
      <c r="AA765" s="107" t="s">
        <v>2889</v>
      </c>
      <c r="AB765" s="20">
        <v>619</v>
      </c>
      <c r="AC765" s="31">
        <v>43132</v>
      </c>
      <c r="AD765" s="108">
        <v>54686940</v>
      </c>
      <c r="AE765" s="109">
        <f t="shared" si="68"/>
        <v>0</v>
      </c>
      <c r="AF765" s="20">
        <v>1344</v>
      </c>
      <c r="AG765" s="31">
        <v>43144</v>
      </c>
      <c r="AH765" s="108">
        <v>54686940</v>
      </c>
      <c r="AI765" s="1" t="s">
        <v>3103</v>
      </c>
      <c r="AJ765" s="1">
        <v>1095</v>
      </c>
      <c r="AK765" s="109">
        <f t="shared" si="69"/>
        <v>0</v>
      </c>
      <c r="AL765" s="108">
        <v>54686940</v>
      </c>
      <c r="AM765" s="108">
        <f t="shared" si="70"/>
        <v>0</v>
      </c>
      <c r="AN765" s="1" t="s">
        <v>2308</v>
      </c>
      <c r="AO765" s="108">
        <f t="shared" si="71"/>
        <v>0</v>
      </c>
      <c r="AP765" s="1"/>
      <c r="AQ765" s="1"/>
      <c r="AR765" s="1"/>
      <c r="AS765" s="1"/>
      <c r="AT765" s="1"/>
      <c r="AU765" s="211"/>
    </row>
    <row r="766" spans="1:47" ht="293.25" x14ac:dyDescent="0.2">
      <c r="A766" s="1">
        <v>276</v>
      </c>
      <c r="B766" s="1" t="str">
        <f t="shared" si="67"/>
        <v>3075-276</v>
      </c>
      <c r="C766" s="99" t="s">
        <v>2294</v>
      </c>
      <c r="D766" s="100" t="s">
        <v>2295</v>
      </c>
      <c r="E766" s="100" t="s">
        <v>2578</v>
      </c>
      <c r="F766" s="99" t="s">
        <v>2328</v>
      </c>
      <c r="G766" s="117" t="s">
        <v>2329</v>
      </c>
      <c r="H766" s="102" t="s">
        <v>2579</v>
      </c>
      <c r="I766" s="100" t="s">
        <v>2300</v>
      </c>
      <c r="J766" s="100" t="s">
        <v>2301</v>
      </c>
      <c r="K766" s="100" t="s">
        <v>50</v>
      </c>
      <c r="L766" s="1" t="s">
        <v>2302</v>
      </c>
      <c r="M766" s="1" t="s">
        <v>493</v>
      </c>
      <c r="N766" s="1" t="s">
        <v>494</v>
      </c>
      <c r="O766" s="100" t="s">
        <v>2369</v>
      </c>
      <c r="P766" s="1" t="s">
        <v>3104</v>
      </c>
      <c r="Q766" s="106">
        <v>54686940</v>
      </c>
      <c r="R766" s="122">
        <v>1</v>
      </c>
      <c r="S766" s="104">
        <v>54686940</v>
      </c>
      <c r="T766" s="1" t="s">
        <v>2323</v>
      </c>
      <c r="U766" s="1" t="s">
        <v>2323</v>
      </c>
      <c r="V766" s="31" t="s">
        <v>620</v>
      </c>
      <c r="W766" s="105" t="s">
        <v>50</v>
      </c>
      <c r="X766" s="123" t="s">
        <v>3105</v>
      </c>
      <c r="Y766" s="31">
        <v>43131</v>
      </c>
      <c r="Z766" s="106">
        <v>54686940</v>
      </c>
      <c r="AA766" s="107" t="s">
        <v>2889</v>
      </c>
      <c r="AB766" s="20">
        <v>621</v>
      </c>
      <c r="AC766" s="31">
        <v>43132</v>
      </c>
      <c r="AD766" s="108">
        <v>54686940</v>
      </c>
      <c r="AE766" s="109">
        <f t="shared" si="68"/>
        <v>0</v>
      </c>
      <c r="AF766" s="20">
        <v>1368</v>
      </c>
      <c r="AG766" s="31">
        <v>43147</v>
      </c>
      <c r="AH766" s="108">
        <v>54686940</v>
      </c>
      <c r="AI766" s="1" t="s">
        <v>3106</v>
      </c>
      <c r="AJ766" s="1">
        <v>1272</v>
      </c>
      <c r="AK766" s="109">
        <f t="shared" si="69"/>
        <v>0</v>
      </c>
      <c r="AL766" s="108">
        <v>54686940</v>
      </c>
      <c r="AM766" s="108">
        <f t="shared" si="70"/>
        <v>0</v>
      </c>
      <c r="AN766" s="1" t="s">
        <v>2308</v>
      </c>
      <c r="AO766" s="108">
        <f t="shared" si="71"/>
        <v>0</v>
      </c>
      <c r="AP766" s="1"/>
      <c r="AQ766" s="1"/>
      <c r="AR766" s="1"/>
      <c r="AS766" s="1"/>
      <c r="AT766" s="1"/>
      <c r="AU766" s="211"/>
    </row>
    <row r="767" spans="1:47" ht="293.25" x14ac:dyDescent="0.2">
      <c r="A767" s="1">
        <v>277</v>
      </c>
      <c r="B767" s="1" t="str">
        <f t="shared" si="67"/>
        <v>3075-277</v>
      </c>
      <c r="C767" s="99" t="s">
        <v>2294</v>
      </c>
      <c r="D767" s="100" t="s">
        <v>2295</v>
      </c>
      <c r="E767" s="100" t="s">
        <v>2578</v>
      </c>
      <c r="F767" s="99" t="s">
        <v>2328</v>
      </c>
      <c r="G767" s="117" t="s">
        <v>2329</v>
      </c>
      <c r="H767" s="102" t="s">
        <v>2579</v>
      </c>
      <c r="I767" s="100" t="s">
        <v>2300</v>
      </c>
      <c r="J767" s="100" t="s">
        <v>2301</v>
      </c>
      <c r="K767" s="100" t="s">
        <v>50</v>
      </c>
      <c r="L767" s="1" t="s">
        <v>2302</v>
      </c>
      <c r="M767" s="1" t="s">
        <v>493</v>
      </c>
      <c r="N767" s="1" t="s">
        <v>494</v>
      </c>
      <c r="O767" s="100" t="s">
        <v>2369</v>
      </c>
      <c r="P767" s="1" t="s">
        <v>3107</v>
      </c>
      <c r="Q767" s="106">
        <v>54686940</v>
      </c>
      <c r="R767" s="122">
        <v>1</v>
      </c>
      <c r="S767" s="104">
        <v>54686940</v>
      </c>
      <c r="T767" s="1" t="s">
        <v>2323</v>
      </c>
      <c r="U767" s="1" t="s">
        <v>2323</v>
      </c>
      <c r="V767" s="31" t="s">
        <v>620</v>
      </c>
      <c r="W767" s="105" t="s">
        <v>50</v>
      </c>
      <c r="X767" s="123" t="s">
        <v>3108</v>
      </c>
      <c r="Y767" s="31">
        <v>43131</v>
      </c>
      <c r="Z767" s="106">
        <v>54686940</v>
      </c>
      <c r="AA767" s="107" t="s">
        <v>2889</v>
      </c>
      <c r="AB767" s="20">
        <v>622</v>
      </c>
      <c r="AC767" s="31">
        <v>43132</v>
      </c>
      <c r="AD767" s="108">
        <v>54686940</v>
      </c>
      <c r="AE767" s="109">
        <f t="shared" si="68"/>
        <v>0</v>
      </c>
      <c r="AF767" s="20">
        <v>1342</v>
      </c>
      <c r="AG767" s="31">
        <v>43144</v>
      </c>
      <c r="AH767" s="108">
        <v>54686940</v>
      </c>
      <c r="AI767" s="1" t="s">
        <v>3109</v>
      </c>
      <c r="AJ767" s="1">
        <v>1096</v>
      </c>
      <c r="AK767" s="109">
        <f t="shared" si="69"/>
        <v>0</v>
      </c>
      <c r="AL767" s="108">
        <v>54686940</v>
      </c>
      <c r="AM767" s="108">
        <f t="shared" si="70"/>
        <v>0</v>
      </c>
      <c r="AN767" s="1" t="s">
        <v>2308</v>
      </c>
      <c r="AO767" s="108">
        <f t="shared" si="71"/>
        <v>0</v>
      </c>
      <c r="AP767" s="1"/>
      <c r="AQ767" s="1"/>
      <c r="AR767" s="1"/>
      <c r="AS767" s="1"/>
      <c r="AT767" s="1"/>
      <c r="AU767" s="211"/>
    </row>
    <row r="768" spans="1:47" ht="293.25" x14ac:dyDescent="0.2">
      <c r="A768" s="1">
        <v>278</v>
      </c>
      <c r="B768" s="1" t="str">
        <f t="shared" si="67"/>
        <v>3075-278</v>
      </c>
      <c r="C768" s="99" t="s">
        <v>2294</v>
      </c>
      <c r="D768" s="100" t="s">
        <v>2295</v>
      </c>
      <c r="E768" s="100" t="s">
        <v>2578</v>
      </c>
      <c r="F768" s="99" t="s">
        <v>2328</v>
      </c>
      <c r="G768" s="117" t="s">
        <v>2329</v>
      </c>
      <c r="H768" s="102" t="s">
        <v>2579</v>
      </c>
      <c r="I768" s="100" t="s">
        <v>2300</v>
      </c>
      <c r="J768" s="100" t="s">
        <v>2301</v>
      </c>
      <c r="K768" s="100" t="s">
        <v>50</v>
      </c>
      <c r="L768" s="1" t="s">
        <v>2302</v>
      </c>
      <c r="M768" s="1" t="s">
        <v>493</v>
      </c>
      <c r="N768" s="1" t="s">
        <v>494</v>
      </c>
      <c r="O768" s="100" t="s">
        <v>2369</v>
      </c>
      <c r="P768" s="1" t="s">
        <v>3110</v>
      </c>
      <c r="Q768" s="106">
        <v>54686940</v>
      </c>
      <c r="R768" s="122">
        <v>1</v>
      </c>
      <c r="S768" s="104">
        <v>54686940</v>
      </c>
      <c r="T768" s="1" t="s">
        <v>2323</v>
      </c>
      <c r="U768" s="1" t="s">
        <v>2323</v>
      </c>
      <c r="V768" s="31" t="s">
        <v>620</v>
      </c>
      <c r="W768" s="105" t="s">
        <v>50</v>
      </c>
      <c r="X768" s="123" t="s">
        <v>3111</v>
      </c>
      <c r="Y768" s="31">
        <v>43131</v>
      </c>
      <c r="Z768" s="106">
        <v>54686940</v>
      </c>
      <c r="AA768" s="107" t="s">
        <v>2889</v>
      </c>
      <c r="AB768" s="20">
        <v>624</v>
      </c>
      <c r="AC768" s="31">
        <v>43132</v>
      </c>
      <c r="AD768" s="108">
        <v>54686940</v>
      </c>
      <c r="AE768" s="109">
        <f t="shared" si="68"/>
        <v>0</v>
      </c>
      <c r="AF768" s="20">
        <v>1454</v>
      </c>
      <c r="AG768" s="31">
        <v>43152</v>
      </c>
      <c r="AH768" s="108">
        <v>54686940</v>
      </c>
      <c r="AI768" s="1" t="s">
        <v>3112</v>
      </c>
      <c r="AJ768" s="1">
        <v>1355</v>
      </c>
      <c r="AK768" s="109">
        <f t="shared" si="69"/>
        <v>0</v>
      </c>
      <c r="AL768" s="108">
        <v>54686940</v>
      </c>
      <c r="AM768" s="108">
        <f t="shared" si="70"/>
        <v>0</v>
      </c>
      <c r="AN768" s="1" t="s">
        <v>2308</v>
      </c>
      <c r="AO768" s="108">
        <f t="shared" si="71"/>
        <v>0</v>
      </c>
      <c r="AP768" s="1"/>
      <c r="AQ768" s="1"/>
      <c r="AR768" s="1"/>
      <c r="AS768" s="1"/>
      <c r="AT768" s="1"/>
      <c r="AU768" s="211"/>
    </row>
    <row r="769" spans="1:47" ht="293.25" x14ac:dyDescent="0.2">
      <c r="A769" s="1">
        <v>279</v>
      </c>
      <c r="B769" s="1" t="str">
        <f t="shared" si="67"/>
        <v>3075-279</v>
      </c>
      <c r="C769" s="99" t="s">
        <v>2294</v>
      </c>
      <c r="D769" s="100" t="s">
        <v>2295</v>
      </c>
      <c r="E769" s="100" t="s">
        <v>2578</v>
      </c>
      <c r="F769" s="99" t="s">
        <v>2328</v>
      </c>
      <c r="G769" s="117" t="s">
        <v>2329</v>
      </c>
      <c r="H769" s="102" t="s">
        <v>2579</v>
      </c>
      <c r="I769" s="100" t="s">
        <v>2300</v>
      </c>
      <c r="J769" s="100" t="s">
        <v>2301</v>
      </c>
      <c r="K769" s="100" t="s">
        <v>50</v>
      </c>
      <c r="L769" s="1" t="s">
        <v>2302</v>
      </c>
      <c r="M769" s="1" t="s">
        <v>493</v>
      </c>
      <c r="N769" s="1" t="s">
        <v>494</v>
      </c>
      <c r="O769" s="100" t="s">
        <v>2369</v>
      </c>
      <c r="P769" s="1" t="s">
        <v>3113</v>
      </c>
      <c r="Q769" s="106">
        <v>54686940</v>
      </c>
      <c r="R769" s="122">
        <v>1</v>
      </c>
      <c r="S769" s="104">
        <v>54686940</v>
      </c>
      <c r="T769" s="1" t="s">
        <v>2323</v>
      </c>
      <c r="U769" s="1" t="s">
        <v>2323</v>
      </c>
      <c r="V769" s="31" t="s">
        <v>620</v>
      </c>
      <c r="W769" s="105" t="s">
        <v>50</v>
      </c>
      <c r="X769" s="123" t="s">
        <v>3114</v>
      </c>
      <c r="Y769" s="31">
        <v>43131</v>
      </c>
      <c r="Z769" s="106">
        <v>54686940</v>
      </c>
      <c r="AA769" s="107" t="s">
        <v>2889</v>
      </c>
      <c r="AB769" s="20">
        <v>605</v>
      </c>
      <c r="AC769" s="31">
        <v>43132</v>
      </c>
      <c r="AD769" s="108">
        <v>54686940</v>
      </c>
      <c r="AE769" s="109">
        <f t="shared" si="68"/>
        <v>0</v>
      </c>
      <c r="AF769" s="20">
        <v>1341</v>
      </c>
      <c r="AG769" s="31">
        <v>43144</v>
      </c>
      <c r="AH769" s="108">
        <v>54686940</v>
      </c>
      <c r="AI769" s="1" t="s">
        <v>3115</v>
      </c>
      <c r="AJ769" s="1">
        <v>1104</v>
      </c>
      <c r="AK769" s="109">
        <f t="shared" si="69"/>
        <v>0</v>
      </c>
      <c r="AL769" s="108">
        <v>54686940</v>
      </c>
      <c r="AM769" s="108">
        <f t="shared" si="70"/>
        <v>0</v>
      </c>
      <c r="AN769" s="1" t="s">
        <v>2308</v>
      </c>
      <c r="AO769" s="108">
        <f t="shared" si="71"/>
        <v>0</v>
      </c>
      <c r="AP769" s="1"/>
      <c r="AQ769" s="1"/>
      <c r="AR769" s="1"/>
      <c r="AS769" s="1"/>
      <c r="AT769" s="1"/>
      <c r="AU769" s="211"/>
    </row>
    <row r="770" spans="1:47" ht="293.25" x14ac:dyDescent="0.2">
      <c r="A770" s="1">
        <v>280</v>
      </c>
      <c r="B770" s="1" t="str">
        <f t="shared" si="67"/>
        <v>3075-280</v>
      </c>
      <c r="C770" s="99" t="s">
        <v>2294</v>
      </c>
      <c r="D770" s="100" t="s">
        <v>2295</v>
      </c>
      <c r="E770" s="100" t="s">
        <v>2578</v>
      </c>
      <c r="F770" s="99" t="s">
        <v>2328</v>
      </c>
      <c r="G770" s="117" t="s">
        <v>2329</v>
      </c>
      <c r="H770" s="102" t="s">
        <v>2579</v>
      </c>
      <c r="I770" s="100" t="s">
        <v>2300</v>
      </c>
      <c r="J770" s="100" t="s">
        <v>2301</v>
      </c>
      <c r="K770" s="100" t="s">
        <v>50</v>
      </c>
      <c r="L770" s="1" t="s">
        <v>2302</v>
      </c>
      <c r="M770" s="1" t="s">
        <v>493</v>
      </c>
      <c r="N770" s="1" t="s">
        <v>494</v>
      </c>
      <c r="O770" s="100" t="s">
        <v>2369</v>
      </c>
      <c r="P770" s="1" t="s">
        <v>3116</v>
      </c>
      <c r="Q770" s="106">
        <v>54686940</v>
      </c>
      <c r="R770" s="122">
        <v>1</v>
      </c>
      <c r="S770" s="104">
        <v>54686940</v>
      </c>
      <c r="T770" s="1" t="s">
        <v>2323</v>
      </c>
      <c r="U770" s="1" t="s">
        <v>2323</v>
      </c>
      <c r="V770" s="31" t="s">
        <v>620</v>
      </c>
      <c r="W770" s="105" t="s">
        <v>50</v>
      </c>
      <c r="X770" s="123" t="s">
        <v>3117</v>
      </c>
      <c r="Y770" s="31">
        <v>43131</v>
      </c>
      <c r="Z770" s="106">
        <v>54686940</v>
      </c>
      <c r="AA770" s="107" t="s">
        <v>2889</v>
      </c>
      <c r="AB770" s="20">
        <v>608</v>
      </c>
      <c r="AC770" s="31">
        <v>43132</v>
      </c>
      <c r="AD770" s="108">
        <v>54686940</v>
      </c>
      <c r="AE770" s="109">
        <f t="shared" si="68"/>
        <v>0</v>
      </c>
      <c r="AF770" s="20">
        <v>1382</v>
      </c>
      <c r="AG770" s="31">
        <v>43150</v>
      </c>
      <c r="AH770" s="108">
        <v>54686940</v>
      </c>
      <c r="AI770" s="1" t="s">
        <v>3118</v>
      </c>
      <c r="AJ770" s="1">
        <v>1285</v>
      </c>
      <c r="AK770" s="109">
        <f t="shared" si="69"/>
        <v>0</v>
      </c>
      <c r="AL770" s="108">
        <v>54686940</v>
      </c>
      <c r="AM770" s="108">
        <f t="shared" si="70"/>
        <v>0</v>
      </c>
      <c r="AN770" s="1" t="s">
        <v>2308</v>
      </c>
      <c r="AO770" s="108">
        <f t="shared" si="71"/>
        <v>0</v>
      </c>
      <c r="AP770" s="1"/>
      <c r="AQ770" s="1"/>
      <c r="AR770" s="1"/>
      <c r="AS770" s="1"/>
      <c r="AT770" s="1"/>
      <c r="AU770" s="211"/>
    </row>
    <row r="771" spans="1:47" ht="293.25" x14ac:dyDescent="0.2">
      <c r="A771" s="1">
        <v>281</v>
      </c>
      <c r="B771" s="1" t="str">
        <f t="shared" si="67"/>
        <v>3075-281</v>
      </c>
      <c r="C771" s="99" t="s">
        <v>2294</v>
      </c>
      <c r="D771" s="100" t="s">
        <v>2295</v>
      </c>
      <c r="E771" s="100" t="s">
        <v>2578</v>
      </c>
      <c r="F771" s="99" t="s">
        <v>2328</v>
      </c>
      <c r="G771" s="117" t="s">
        <v>2329</v>
      </c>
      <c r="H771" s="102" t="s">
        <v>2579</v>
      </c>
      <c r="I771" s="100" t="s">
        <v>2300</v>
      </c>
      <c r="J771" s="100" t="s">
        <v>2301</v>
      </c>
      <c r="K771" s="100" t="s">
        <v>50</v>
      </c>
      <c r="L771" s="1" t="s">
        <v>2302</v>
      </c>
      <c r="M771" s="1" t="s">
        <v>493</v>
      </c>
      <c r="N771" s="1" t="s">
        <v>494</v>
      </c>
      <c r="O771" s="100" t="s">
        <v>2369</v>
      </c>
      <c r="P771" s="1" t="s">
        <v>3119</v>
      </c>
      <c r="Q771" s="106">
        <v>54686940</v>
      </c>
      <c r="R771" s="122">
        <v>1</v>
      </c>
      <c r="S771" s="104">
        <v>54686940</v>
      </c>
      <c r="T771" s="1" t="s">
        <v>2323</v>
      </c>
      <c r="U771" s="1" t="s">
        <v>2323</v>
      </c>
      <c r="V771" s="31" t="s">
        <v>620</v>
      </c>
      <c r="W771" s="105" t="s">
        <v>50</v>
      </c>
      <c r="X771" s="123" t="s">
        <v>3120</v>
      </c>
      <c r="Y771" s="31">
        <v>43131</v>
      </c>
      <c r="Z771" s="106">
        <v>54686940</v>
      </c>
      <c r="AA771" s="107" t="s">
        <v>2889</v>
      </c>
      <c r="AB771" s="20">
        <v>611</v>
      </c>
      <c r="AC771" s="31">
        <v>43132</v>
      </c>
      <c r="AD771" s="108">
        <v>54686940</v>
      </c>
      <c r="AE771" s="109">
        <f t="shared" si="68"/>
        <v>0</v>
      </c>
      <c r="AF771" s="20">
        <v>1373</v>
      </c>
      <c r="AG771" s="31">
        <v>43147</v>
      </c>
      <c r="AH771" s="108">
        <v>54686940</v>
      </c>
      <c r="AI771" s="1" t="s">
        <v>3121</v>
      </c>
      <c r="AJ771" s="1">
        <v>1279</v>
      </c>
      <c r="AK771" s="109">
        <f t="shared" si="69"/>
        <v>0</v>
      </c>
      <c r="AL771" s="108">
        <v>54686940</v>
      </c>
      <c r="AM771" s="108">
        <f t="shared" si="70"/>
        <v>0</v>
      </c>
      <c r="AN771" s="1" t="s">
        <v>2308</v>
      </c>
      <c r="AO771" s="108">
        <f t="shared" si="71"/>
        <v>0</v>
      </c>
      <c r="AP771" s="1"/>
      <c r="AQ771" s="1"/>
      <c r="AR771" s="1"/>
      <c r="AS771" s="1"/>
      <c r="AT771" s="1"/>
      <c r="AU771" s="211"/>
    </row>
    <row r="772" spans="1:47" ht="293.25" x14ac:dyDescent="0.2">
      <c r="A772" s="1">
        <v>282</v>
      </c>
      <c r="B772" s="1" t="str">
        <f t="shared" si="67"/>
        <v>3075-282</v>
      </c>
      <c r="C772" s="99" t="s">
        <v>2294</v>
      </c>
      <c r="D772" s="100" t="s">
        <v>2295</v>
      </c>
      <c r="E772" s="100" t="s">
        <v>2578</v>
      </c>
      <c r="F772" s="99" t="s">
        <v>2328</v>
      </c>
      <c r="G772" s="117" t="s">
        <v>2329</v>
      </c>
      <c r="H772" s="102" t="s">
        <v>2579</v>
      </c>
      <c r="I772" s="100" t="s">
        <v>2300</v>
      </c>
      <c r="J772" s="100" t="s">
        <v>2301</v>
      </c>
      <c r="K772" s="100" t="s">
        <v>50</v>
      </c>
      <c r="L772" s="1" t="s">
        <v>2302</v>
      </c>
      <c r="M772" s="1" t="s">
        <v>493</v>
      </c>
      <c r="N772" s="1" t="s">
        <v>494</v>
      </c>
      <c r="O772" s="100" t="s">
        <v>2369</v>
      </c>
      <c r="P772" s="1" t="s">
        <v>3122</v>
      </c>
      <c r="Q772" s="106">
        <v>54686940</v>
      </c>
      <c r="R772" s="122">
        <v>1</v>
      </c>
      <c r="S772" s="104">
        <v>54686940</v>
      </c>
      <c r="T772" s="1" t="s">
        <v>2323</v>
      </c>
      <c r="U772" s="1" t="s">
        <v>2323</v>
      </c>
      <c r="V772" s="31" t="s">
        <v>620</v>
      </c>
      <c r="W772" s="105" t="s">
        <v>50</v>
      </c>
      <c r="X772" s="123" t="s">
        <v>3123</v>
      </c>
      <c r="Y772" s="31">
        <v>43131</v>
      </c>
      <c r="Z772" s="106">
        <v>54686940</v>
      </c>
      <c r="AA772" s="107" t="s">
        <v>2889</v>
      </c>
      <c r="AB772" s="20">
        <v>612</v>
      </c>
      <c r="AC772" s="31">
        <v>43132</v>
      </c>
      <c r="AD772" s="108">
        <v>54686940</v>
      </c>
      <c r="AE772" s="109">
        <f t="shared" si="68"/>
        <v>0</v>
      </c>
      <c r="AF772" s="20">
        <v>1340</v>
      </c>
      <c r="AG772" s="31">
        <v>43144</v>
      </c>
      <c r="AH772" s="108">
        <v>54686940</v>
      </c>
      <c r="AI772" s="1" t="s">
        <v>3124</v>
      </c>
      <c r="AJ772" s="1">
        <v>1097</v>
      </c>
      <c r="AK772" s="109">
        <f t="shared" si="69"/>
        <v>0</v>
      </c>
      <c r="AL772" s="108">
        <v>54686940</v>
      </c>
      <c r="AM772" s="108">
        <f t="shared" si="70"/>
        <v>0</v>
      </c>
      <c r="AN772" s="1" t="s">
        <v>2308</v>
      </c>
      <c r="AO772" s="108">
        <f t="shared" si="71"/>
        <v>0</v>
      </c>
      <c r="AP772" s="1"/>
      <c r="AQ772" s="1"/>
      <c r="AR772" s="1"/>
      <c r="AS772" s="1"/>
      <c r="AT772" s="1"/>
      <c r="AU772" s="211"/>
    </row>
    <row r="773" spans="1:47" ht="293.25" x14ac:dyDescent="0.2">
      <c r="A773" s="1">
        <v>283</v>
      </c>
      <c r="B773" s="1" t="str">
        <f t="shared" si="67"/>
        <v>3075-283</v>
      </c>
      <c r="C773" s="99" t="s">
        <v>2294</v>
      </c>
      <c r="D773" s="100" t="s">
        <v>2295</v>
      </c>
      <c r="E773" s="100" t="s">
        <v>2578</v>
      </c>
      <c r="F773" s="99" t="s">
        <v>2328</v>
      </c>
      <c r="G773" s="117" t="s">
        <v>2329</v>
      </c>
      <c r="H773" s="102" t="s">
        <v>2579</v>
      </c>
      <c r="I773" s="100" t="s">
        <v>2300</v>
      </c>
      <c r="J773" s="100" t="s">
        <v>2301</v>
      </c>
      <c r="K773" s="100" t="s">
        <v>50</v>
      </c>
      <c r="L773" s="1" t="s">
        <v>2302</v>
      </c>
      <c r="M773" s="1" t="s">
        <v>493</v>
      </c>
      <c r="N773" s="1" t="s">
        <v>494</v>
      </c>
      <c r="O773" s="100" t="s">
        <v>2369</v>
      </c>
      <c r="P773" s="1" t="s">
        <v>3125</v>
      </c>
      <c r="Q773" s="106">
        <v>54686940</v>
      </c>
      <c r="R773" s="122">
        <v>1</v>
      </c>
      <c r="S773" s="104">
        <v>54686940</v>
      </c>
      <c r="T773" s="1" t="s">
        <v>2323</v>
      </c>
      <c r="U773" s="1" t="s">
        <v>2323</v>
      </c>
      <c r="V773" s="31" t="s">
        <v>620</v>
      </c>
      <c r="W773" s="105" t="s">
        <v>50</v>
      </c>
      <c r="X773" s="123" t="s">
        <v>3126</v>
      </c>
      <c r="Y773" s="31">
        <v>43131</v>
      </c>
      <c r="Z773" s="106">
        <v>54686940</v>
      </c>
      <c r="AA773" s="107" t="s">
        <v>2889</v>
      </c>
      <c r="AB773" s="20">
        <v>615</v>
      </c>
      <c r="AC773" s="31">
        <v>43132</v>
      </c>
      <c r="AD773" s="108">
        <v>54686940</v>
      </c>
      <c r="AE773" s="109">
        <f t="shared" si="68"/>
        <v>0</v>
      </c>
      <c r="AF773" s="20">
        <v>1343</v>
      </c>
      <c r="AG773" s="31">
        <v>43144</v>
      </c>
      <c r="AH773" s="108">
        <v>54686940</v>
      </c>
      <c r="AI773" s="1" t="s">
        <v>3127</v>
      </c>
      <c r="AJ773" s="1">
        <v>1100</v>
      </c>
      <c r="AK773" s="109">
        <f t="shared" si="69"/>
        <v>0</v>
      </c>
      <c r="AL773" s="108">
        <v>54686940</v>
      </c>
      <c r="AM773" s="108">
        <f t="shared" si="70"/>
        <v>0</v>
      </c>
      <c r="AN773" s="1" t="s">
        <v>2308</v>
      </c>
      <c r="AO773" s="108">
        <f t="shared" si="71"/>
        <v>0</v>
      </c>
      <c r="AP773" s="1"/>
      <c r="AQ773" s="1"/>
      <c r="AR773" s="1"/>
      <c r="AS773" s="1"/>
      <c r="AT773" s="1"/>
      <c r="AU773" s="211"/>
    </row>
    <row r="774" spans="1:47" ht="293.25" x14ac:dyDescent="0.2">
      <c r="A774" s="1">
        <v>284</v>
      </c>
      <c r="B774" s="1" t="str">
        <f t="shared" si="67"/>
        <v>3075-284</v>
      </c>
      <c r="C774" s="99" t="s">
        <v>2294</v>
      </c>
      <c r="D774" s="100" t="s">
        <v>2295</v>
      </c>
      <c r="E774" s="100" t="s">
        <v>2578</v>
      </c>
      <c r="F774" s="99" t="s">
        <v>2328</v>
      </c>
      <c r="G774" s="117" t="s">
        <v>2329</v>
      </c>
      <c r="H774" s="102" t="s">
        <v>2579</v>
      </c>
      <c r="I774" s="100" t="s">
        <v>2300</v>
      </c>
      <c r="J774" s="100" t="s">
        <v>2301</v>
      </c>
      <c r="K774" s="100" t="s">
        <v>50</v>
      </c>
      <c r="L774" s="1" t="s">
        <v>2302</v>
      </c>
      <c r="M774" s="1" t="s">
        <v>493</v>
      </c>
      <c r="N774" s="1" t="s">
        <v>494</v>
      </c>
      <c r="O774" s="100" t="s">
        <v>2369</v>
      </c>
      <c r="P774" s="1" t="s">
        <v>3128</v>
      </c>
      <c r="Q774" s="106">
        <v>54686940</v>
      </c>
      <c r="R774" s="122">
        <v>1</v>
      </c>
      <c r="S774" s="104">
        <v>54686940</v>
      </c>
      <c r="T774" s="1" t="s">
        <v>2323</v>
      </c>
      <c r="U774" s="1" t="s">
        <v>2323</v>
      </c>
      <c r="V774" s="31" t="s">
        <v>620</v>
      </c>
      <c r="W774" s="105" t="s">
        <v>50</v>
      </c>
      <c r="X774" s="123" t="s">
        <v>3129</v>
      </c>
      <c r="Y774" s="31">
        <v>43131</v>
      </c>
      <c r="Z774" s="106">
        <v>54686940</v>
      </c>
      <c r="AA774" s="107" t="s">
        <v>2889</v>
      </c>
      <c r="AB774" s="20">
        <v>617</v>
      </c>
      <c r="AC774" s="31">
        <v>43132</v>
      </c>
      <c r="AD774" s="108">
        <v>54686940</v>
      </c>
      <c r="AE774" s="109">
        <f t="shared" si="68"/>
        <v>0</v>
      </c>
      <c r="AF774" s="20">
        <v>1365</v>
      </c>
      <c r="AG774" s="31">
        <v>43147</v>
      </c>
      <c r="AH774" s="108">
        <v>54686940</v>
      </c>
      <c r="AI774" s="1" t="s">
        <v>3130</v>
      </c>
      <c r="AJ774" s="1">
        <v>1277</v>
      </c>
      <c r="AK774" s="109">
        <f t="shared" si="69"/>
        <v>0</v>
      </c>
      <c r="AL774" s="108">
        <v>54686940</v>
      </c>
      <c r="AM774" s="108">
        <f t="shared" si="70"/>
        <v>0</v>
      </c>
      <c r="AN774" s="1" t="s">
        <v>2308</v>
      </c>
      <c r="AO774" s="108">
        <f t="shared" si="71"/>
        <v>0</v>
      </c>
      <c r="AP774" s="1"/>
      <c r="AQ774" s="1"/>
      <c r="AR774" s="1"/>
      <c r="AS774" s="1"/>
      <c r="AT774" s="1"/>
      <c r="AU774" s="211"/>
    </row>
    <row r="775" spans="1:47" ht="293.25" x14ac:dyDescent="0.2">
      <c r="A775" s="1">
        <v>285</v>
      </c>
      <c r="B775" s="1" t="str">
        <f t="shared" si="67"/>
        <v>3075-285</v>
      </c>
      <c r="C775" s="99" t="s">
        <v>2294</v>
      </c>
      <c r="D775" s="100" t="s">
        <v>2295</v>
      </c>
      <c r="E775" s="100" t="s">
        <v>2578</v>
      </c>
      <c r="F775" s="99" t="s">
        <v>2328</v>
      </c>
      <c r="G775" s="117" t="s">
        <v>2329</v>
      </c>
      <c r="H775" s="102" t="s">
        <v>2579</v>
      </c>
      <c r="I775" s="100" t="s">
        <v>2300</v>
      </c>
      <c r="J775" s="100" t="s">
        <v>2301</v>
      </c>
      <c r="K775" s="100" t="s">
        <v>50</v>
      </c>
      <c r="L775" s="1" t="s">
        <v>2302</v>
      </c>
      <c r="M775" s="1" t="s">
        <v>493</v>
      </c>
      <c r="N775" s="1" t="s">
        <v>494</v>
      </c>
      <c r="O775" s="100" t="s">
        <v>2369</v>
      </c>
      <c r="P775" s="1" t="s">
        <v>3131</v>
      </c>
      <c r="Q775" s="106">
        <v>54686940</v>
      </c>
      <c r="R775" s="122">
        <v>1</v>
      </c>
      <c r="S775" s="104">
        <v>54686940</v>
      </c>
      <c r="T775" s="1" t="s">
        <v>2323</v>
      </c>
      <c r="U775" s="1" t="s">
        <v>2323</v>
      </c>
      <c r="V775" s="31" t="s">
        <v>507</v>
      </c>
      <c r="W775" s="105" t="s">
        <v>50</v>
      </c>
      <c r="X775" s="123" t="s">
        <v>3132</v>
      </c>
      <c r="Y775" s="31">
        <v>43131</v>
      </c>
      <c r="Z775" s="106">
        <v>54686940</v>
      </c>
      <c r="AA775" s="107" t="s">
        <v>2889</v>
      </c>
      <c r="AB775" s="20">
        <v>618</v>
      </c>
      <c r="AC775" s="31">
        <v>43132</v>
      </c>
      <c r="AD775" s="108">
        <v>54686940</v>
      </c>
      <c r="AE775" s="109">
        <f t="shared" si="68"/>
        <v>0</v>
      </c>
      <c r="AF775" s="20">
        <v>1663</v>
      </c>
      <c r="AG775" s="31">
        <v>43192</v>
      </c>
      <c r="AH775" s="108">
        <v>54686940</v>
      </c>
      <c r="AI775" s="1" t="s">
        <v>3133</v>
      </c>
      <c r="AJ775" s="1">
        <v>1628</v>
      </c>
      <c r="AK775" s="109">
        <f t="shared" si="69"/>
        <v>0</v>
      </c>
      <c r="AL775" s="108">
        <v>54686940</v>
      </c>
      <c r="AM775" s="108">
        <f t="shared" si="70"/>
        <v>0</v>
      </c>
      <c r="AN775" s="1" t="s">
        <v>2308</v>
      </c>
      <c r="AO775" s="108">
        <f t="shared" si="71"/>
        <v>0</v>
      </c>
      <c r="AP775" s="1"/>
      <c r="AQ775" s="1"/>
      <c r="AR775" s="1"/>
      <c r="AS775" s="1"/>
      <c r="AT775" s="1"/>
      <c r="AU775" s="211"/>
    </row>
    <row r="776" spans="1:47" ht="293.25" x14ac:dyDescent="0.2">
      <c r="A776" s="1">
        <v>286</v>
      </c>
      <c r="B776" s="1" t="str">
        <f t="shared" si="67"/>
        <v>3075-286</v>
      </c>
      <c r="C776" s="99" t="s">
        <v>2294</v>
      </c>
      <c r="D776" s="100" t="s">
        <v>2295</v>
      </c>
      <c r="E776" s="100" t="s">
        <v>2578</v>
      </c>
      <c r="F776" s="99" t="s">
        <v>2328</v>
      </c>
      <c r="G776" s="117" t="s">
        <v>2329</v>
      </c>
      <c r="H776" s="102" t="s">
        <v>2579</v>
      </c>
      <c r="I776" s="100" t="s">
        <v>2300</v>
      </c>
      <c r="J776" s="100" t="s">
        <v>2301</v>
      </c>
      <c r="K776" s="100" t="s">
        <v>50</v>
      </c>
      <c r="L776" s="1" t="s">
        <v>2302</v>
      </c>
      <c r="M776" s="1" t="s">
        <v>493</v>
      </c>
      <c r="N776" s="1" t="s">
        <v>494</v>
      </c>
      <c r="O776" s="100" t="s">
        <v>2369</v>
      </c>
      <c r="P776" s="1" t="s">
        <v>3134</v>
      </c>
      <c r="Q776" s="106">
        <v>54686940</v>
      </c>
      <c r="R776" s="122">
        <v>1</v>
      </c>
      <c r="S776" s="104">
        <v>54686940</v>
      </c>
      <c r="T776" s="1" t="s">
        <v>2323</v>
      </c>
      <c r="U776" s="1" t="s">
        <v>2323</v>
      </c>
      <c r="V776" s="31" t="s">
        <v>620</v>
      </c>
      <c r="W776" s="105" t="s">
        <v>50</v>
      </c>
      <c r="X776" s="123" t="s">
        <v>3135</v>
      </c>
      <c r="Y776" s="31">
        <v>43131</v>
      </c>
      <c r="Z776" s="106">
        <v>54686940</v>
      </c>
      <c r="AA776" s="107" t="s">
        <v>2889</v>
      </c>
      <c r="AB776" s="20">
        <v>620</v>
      </c>
      <c r="AC776" s="31">
        <v>43132</v>
      </c>
      <c r="AD776" s="108">
        <v>54686940</v>
      </c>
      <c r="AE776" s="109">
        <f t="shared" si="68"/>
        <v>0</v>
      </c>
      <c r="AF776" s="20">
        <v>1017</v>
      </c>
      <c r="AG776" s="31">
        <v>43140</v>
      </c>
      <c r="AH776" s="108">
        <v>54686940</v>
      </c>
      <c r="AI776" s="1" t="s">
        <v>3136</v>
      </c>
      <c r="AJ776" s="1">
        <v>766</v>
      </c>
      <c r="AK776" s="109">
        <f t="shared" si="69"/>
        <v>0</v>
      </c>
      <c r="AL776" s="108">
        <v>54686940</v>
      </c>
      <c r="AM776" s="108">
        <f t="shared" si="70"/>
        <v>0</v>
      </c>
      <c r="AN776" s="1" t="s">
        <v>2308</v>
      </c>
      <c r="AO776" s="108">
        <f t="shared" si="71"/>
        <v>0</v>
      </c>
      <c r="AP776" s="1"/>
      <c r="AQ776" s="1"/>
      <c r="AR776" s="1"/>
      <c r="AS776" s="1"/>
      <c r="AT776" s="1"/>
      <c r="AU776" s="211"/>
    </row>
    <row r="777" spans="1:47" ht="293.25" x14ac:dyDescent="0.2">
      <c r="A777" s="1">
        <v>287</v>
      </c>
      <c r="B777" s="1" t="str">
        <f t="shared" si="67"/>
        <v>3075-287</v>
      </c>
      <c r="C777" s="99" t="s">
        <v>2294</v>
      </c>
      <c r="D777" s="100" t="s">
        <v>2295</v>
      </c>
      <c r="E777" s="100" t="s">
        <v>2578</v>
      </c>
      <c r="F777" s="99" t="s">
        <v>2328</v>
      </c>
      <c r="G777" s="117" t="s">
        <v>2329</v>
      </c>
      <c r="H777" s="102" t="s">
        <v>2579</v>
      </c>
      <c r="I777" s="100" t="s">
        <v>2300</v>
      </c>
      <c r="J777" s="100" t="s">
        <v>2301</v>
      </c>
      <c r="K777" s="100" t="s">
        <v>50</v>
      </c>
      <c r="L777" s="1" t="s">
        <v>2302</v>
      </c>
      <c r="M777" s="1" t="s">
        <v>493</v>
      </c>
      <c r="N777" s="1" t="s">
        <v>494</v>
      </c>
      <c r="O777" s="100" t="s">
        <v>2369</v>
      </c>
      <c r="P777" s="1" t="s">
        <v>3137</v>
      </c>
      <c r="Q777" s="106">
        <v>54686940</v>
      </c>
      <c r="R777" s="122">
        <v>1</v>
      </c>
      <c r="S777" s="104">
        <v>54686940</v>
      </c>
      <c r="T777" s="1" t="s">
        <v>2323</v>
      </c>
      <c r="U777" s="1" t="s">
        <v>2323</v>
      </c>
      <c r="V777" s="31" t="s">
        <v>620</v>
      </c>
      <c r="W777" s="105" t="s">
        <v>50</v>
      </c>
      <c r="X777" s="123" t="s">
        <v>3138</v>
      </c>
      <c r="Y777" s="31">
        <v>43131</v>
      </c>
      <c r="Z777" s="106">
        <v>54686940</v>
      </c>
      <c r="AA777" s="107" t="s">
        <v>2889</v>
      </c>
      <c r="AB777" s="20">
        <v>623</v>
      </c>
      <c r="AC777" s="31">
        <v>43132</v>
      </c>
      <c r="AD777" s="108">
        <v>54686940</v>
      </c>
      <c r="AE777" s="109">
        <f t="shared" si="68"/>
        <v>0</v>
      </c>
      <c r="AF777" s="20">
        <v>1370</v>
      </c>
      <c r="AG777" s="31">
        <v>43147</v>
      </c>
      <c r="AH777" s="108">
        <v>54686940</v>
      </c>
      <c r="AI777" s="1" t="s">
        <v>3139</v>
      </c>
      <c r="AJ777" s="1">
        <v>1270</v>
      </c>
      <c r="AK777" s="109">
        <f t="shared" si="69"/>
        <v>0</v>
      </c>
      <c r="AL777" s="108">
        <v>54686940</v>
      </c>
      <c r="AM777" s="108">
        <f t="shared" si="70"/>
        <v>0</v>
      </c>
      <c r="AN777" s="1" t="s">
        <v>2308</v>
      </c>
      <c r="AO777" s="108">
        <f t="shared" si="71"/>
        <v>0</v>
      </c>
      <c r="AP777" s="1"/>
      <c r="AQ777" s="1"/>
      <c r="AR777" s="1"/>
      <c r="AS777" s="1"/>
      <c r="AT777" s="1"/>
      <c r="AU777" s="211"/>
    </row>
    <row r="778" spans="1:47" ht="293.25" x14ac:dyDescent="0.2">
      <c r="A778" s="1">
        <v>288</v>
      </c>
      <c r="B778" s="1" t="str">
        <f t="shared" si="67"/>
        <v>3075-288</v>
      </c>
      <c r="C778" s="99" t="s">
        <v>2294</v>
      </c>
      <c r="D778" s="100" t="s">
        <v>2295</v>
      </c>
      <c r="E778" s="100" t="s">
        <v>2578</v>
      </c>
      <c r="F778" s="99" t="s">
        <v>2328</v>
      </c>
      <c r="G778" s="117" t="s">
        <v>2329</v>
      </c>
      <c r="H778" s="102" t="s">
        <v>2579</v>
      </c>
      <c r="I778" s="100" t="s">
        <v>2300</v>
      </c>
      <c r="J778" s="100" t="s">
        <v>2301</v>
      </c>
      <c r="K778" s="100" t="s">
        <v>50</v>
      </c>
      <c r="L778" s="1" t="s">
        <v>2302</v>
      </c>
      <c r="M778" s="1" t="s">
        <v>493</v>
      </c>
      <c r="N778" s="1" t="s">
        <v>494</v>
      </c>
      <c r="O778" s="100" t="s">
        <v>2369</v>
      </c>
      <c r="P778" s="1" t="s">
        <v>3140</v>
      </c>
      <c r="Q778" s="106">
        <v>54686940</v>
      </c>
      <c r="R778" s="122">
        <v>1</v>
      </c>
      <c r="S778" s="104">
        <v>54686940</v>
      </c>
      <c r="T778" s="1" t="s">
        <v>2323</v>
      </c>
      <c r="U778" s="1" t="s">
        <v>2323</v>
      </c>
      <c r="V778" s="31" t="s">
        <v>620</v>
      </c>
      <c r="W778" s="105" t="s">
        <v>50</v>
      </c>
      <c r="X778" s="123" t="s">
        <v>3141</v>
      </c>
      <c r="Y778" s="31">
        <v>43131</v>
      </c>
      <c r="Z778" s="106">
        <v>54686940</v>
      </c>
      <c r="AA778" s="107" t="s">
        <v>2889</v>
      </c>
      <c r="AB778" s="20">
        <v>625</v>
      </c>
      <c r="AC778" s="31">
        <v>43132</v>
      </c>
      <c r="AD778" s="108">
        <v>54686940</v>
      </c>
      <c r="AE778" s="109">
        <f t="shared" si="68"/>
        <v>0</v>
      </c>
      <c r="AF778" s="20">
        <v>1339</v>
      </c>
      <c r="AG778" s="31">
        <v>43144</v>
      </c>
      <c r="AH778" s="108">
        <v>54686940</v>
      </c>
      <c r="AI778" s="1" t="s">
        <v>3142</v>
      </c>
      <c r="AJ778" s="1">
        <v>1105</v>
      </c>
      <c r="AK778" s="109">
        <f t="shared" si="69"/>
        <v>0</v>
      </c>
      <c r="AL778" s="108">
        <v>54686940</v>
      </c>
      <c r="AM778" s="108">
        <f t="shared" si="70"/>
        <v>0</v>
      </c>
      <c r="AN778" s="1" t="s">
        <v>2308</v>
      </c>
      <c r="AO778" s="108">
        <f t="shared" si="71"/>
        <v>0</v>
      </c>
      <c r="AP778" s="1"/>
      <c r="AQ778" s="1"/>
      <c r="AR778" s="1"/>
      <c r="AS778" s="1"/>
      <c r="AT778" s="1"/>
      <c r="AU778" s="211"/>
    </row>
    <row r="779" spans="1:47" ht="293.25" x14ac:dyDescent="0.2">
      <c r="A779" s="1">
        <v>289</v>
      </c>
      <c r="B779" s="1" t="str">
        <f t="shared" si="67"/>
        <v>3075-289</v>
      </c>
      <c r="C779" s="99" t="s">
        <v>2294</v>
      </c>
      <c r="D779" s="100" t="s">
        <v>2295</v>
      </c>
      <c r="E779" s="100" t="s">
        <v>2578</v>
      </c>
      <c r="F779" s="99" t="s">
        <v>2328</v>
      </c>
      <c r="G779" s="117" t="s">
        <v>2329</v>
      </c>
      <c r="H779" s="102" t="s">
        <v>2579</v>
      </c>
      <c r="I779" s="100" t="s">
        <v>2300</v>
      </c>
      <c r="J779" s="100" t="s">
        <v>2301</v>
      </c>
      <c r="K779" s="100" t="s">
        <v>50</v>
      </c>
      <c r="L779" s="1" t="s">
        <v>2302</v>
      </c>
      <c r="M779" s="1" t="s">
        <v>493</v>
      </c>
      <c r="N779" s="1" t="s">
        <v>494</v>
      </c>
      <c r="O779" s="100" t="s">
        <v>2369</v>
      </c>
      <c r="P779" s="1" t="s">
        <v>3143</v>
      </c>
      <c r="Q779" s="106">
        <v>54686940</v>
      </c>
      <c r="R779" s="122">
        <v>1</v>
      </c>
      <c r="S779" s="104">
        <v>54686940</v>
      </c>
      <c r="T779" s="1" t="s">
        <v>2323</v>
      </c>
      <c r="U779" s="1" t="s">
        <v>2323</v>
      </c>
      <c r="V779" s="31" t="s">
        <v>620</v>
      </c>
      <c r="W779" s="105" t="s">
        <v>50</v>
      </c>
      <c r="X779" s="123" t="s">
        <v>3144</v>
      </c>
      <c r="Y779" s="31">
        <v>43131</v>
      </c>
      <c r="Z779" s="106">
        <v>54686940</v>
      </c>
      <c r="AA779" s="107" t="s">
        <v>2889</v>
      </c>
      <c r="AB779" s="20">
        <v>596</v>
      </c>
      <c r="AC779" s="31">
        <v>43132</v>
      </c>
      <c r="AD779" s="108">
        <v>54686940</v>
      </c>
      <c r="AE779" s="109">
        <f t="shared" si="68"/>
        <v>0</v>
      </c>
      <c r="AF779" s="20">
        <v>1337</v>
      </c>
      <c r="AG779" s="31">
        <v>43144</v>
      </c>
      <c r="AH779" s="108">
        <v>54686940</v>
      </c>
      <c r="AI779" s="1" t="s">
        <v>3145</v>
      </c>
      <c r="AJ779" s="1">
        <v>1101</v>
      </c>
      <c r="AK779" s="109">
        <f t="shared" si="69"/>
        <v>0</v>
      </c>
      <c r="AL779" s="108">
        <v>54686940</v>
      </c>
      <c r="AM779" s="108">
        <f t="shared" si="70"/>
        <v>0</v>
      </c>
      <c r="AN779" s="1" t="s">
        <v>2308</v>
      </c>
      <c r="AO779" s="108">
        <f t="shared" si="71"/>
        <v>0</v>
      </c>
      <c r="AP779" s="1"/>
      <c r="AQ779" s="1"/>
      <c r="AR779" s="1"/>
      <c r="AS779" s="1"/>
      <c r="AT779" s="1"/>
      <c r="AU779" s="211"/>
    </row>
    <row r="780" spans="1:47" ht="293.25" x14ac:dyDescent="0.2">
      <c r="A780" s="1">
        <v>290</v>
      </c>
      <c r="B780" s="1" t="str">
        <f t="shared" si="67"/>
        <v>3075-290</v>
      </c>
      <c r="C780" s="99" t="s">
        <v>2294</v>
      </c>
      <c r="D780" s="100" t="s">
        <v>2295</v>
      </c>
      <c r="E780" s="100" t="s">
        <v>2578</v>
      </c>
      <c r="F780" s="99" t="s">
        <v>2328</v>
      </c>
      <c r="G780" s="117" t="s">
        <v>2329</v>
      </c>
      <c r="H780" s="102" t="s">
        <v>2579</v>
      </c>
      <c r="I780" s="100" t="s">
        <v>2300</v>
      </c>
      <c r="J780" s="100" t="s">
        <v>2301</v>
      </c>
      <c r="K780" s="100" t="s">
        <v>50</v>
      </c>
      <c r="L780" s="1" t="s">
        <v>2302</v>
      </c>
      <c r="M780" s="1" t="s">
        <v>493</v>
      </c>
      <c r="N780" s="1" t="s">
        <v>494</v>
      </c>
      <c r="O780" s="100" t="s">
        <v>2369</v>
      </c>
      <c r="P780" s="1" t="s">
        <v>3146</v>
      </c>
      <c r="Q780" s="106">
        <v>54686940</v>
      </c>
      <c r="R780" s="122">
        <v>1</v>
      </c>
      <c r="S780" s="104">
        <v>54686940</v>
      </c>
      <c r="T780" s="1" t="s">
        <v>2323</v>
      </c>
      <c r="U780" s="1" t="s">
        <v>2323</v>
      </c>
      <c r="V780" s="31" t="s">
        <v>620</v>
      </c>
      <c r="W780" s="105" t="s">
        <v>50</v>
      </c>
      <c r="X780" s="123" t="s">
        <v>3147</v>
      </c>
      <c r="Y780" s="31">
        <v>43131</v>
      </c>
      <c r="Z780" s="106">
        <v>54686940</v>
      </c>
      <c r="AA780" s="107" t="s">
        <v>2889</v>
      </c>
      <c r="AB780" s="20">
        <v>597</v>
      </c>
      <c r="AC780" s="31">
        <v>43132</v>
      </c>
      <c r="AD780" s="108">
        <v>54686940</v>
      </c>
      <c r="AE780" s="109">
        <f t="shared" si="68"/>
        <v>0</v>
      </c>
      <c r="AF780" s="20">
        <v>1372</v>
      </c>
      <c r="AG780" s="31">
        <v>43147</v>
      </c>
      <c r="AH780" s="108">
        <v>54686940</v>
      </c>
      <c r="AI780" s="1" t="s">
        <v>3148</v>
      </c>
      <c r="AJ780" s="1">
        <v>1271</v>
      </c>
      <c r="AK780" s="109">
        <f t="shared" si="69"/>
        <v>0</v>
      </c>
      <c r="AL780" s="108">
        <v>54686940</v>
      </c>
      <c r="AM780" s="108">
        <f t="shared" si="70"/>
        <v>0</v>
      </c>
      <c r="AN780" s="1" t="s">
        <v>2308</v>
      </c>
      <c r="AO780" s="108">
        <f t="shared" si="71"/>
        <v>0</v>
      </c>
      <c r="AP780" s="1"/>
      <c r="AQ780" s="1"/>
      <c r="AR780" s="1"/>
      <c r="AS780" s="1"/>
      <c r="AT780" s="1"/>
      <c r="AU780" s="211"/>
    </row>
    <row r="781" spans="1:47" ht="293.25" x14ac:dyDescent="0.2">
      <c r="A781" s="1">
        <v>291</v>
      </c>
      <c r="B781" s="1" t="str">
        <f t="shared" si="67"/>
        <v>3075-291</v>
      </c>
      <c r="C781" s="99" t="s">
        <v>2294</v>
      </c>
      <c r="D781" s="100" t="s">
        <v>2295</v>
      </c>
      <c r="E781" s="100" t="s">
        <v>2578</v>
      </c>
      <c r="F781" s="99" t="s">
        <v>2328</v>
      </c>
      <c r="G781" s="117" t="s">
        <v>2329</v>
      </c>
      <c r="H781" s="102" t="s">
        <v>2579</v>
      </c>
      <c r="I781" s="100" t="s">
        <v>2300</v>
      </c>
      <c r="J781" s="100" t="s">
        <v>2301</v>
      </c>
      <c r="K781" s="100" t="s">
        <v>50</v>
      </c>
      <c r="L781" s="1" t="s">
        <v>2302</v>
      </c>
      <c r="M781" s="1" t="s">
        <v>493</v>
      </c>
      <c r="N781" s="1" t="s">
        <v>494</v>
      </c>
      <c r="O781" s="100" t="s">
        <v>2369</v>
      </c>
      <c r="P781" s="1" t="s">
        <v>3149</v>
      </c>
      <c r="Q781" s="106">
        <v>54686940</v>
      </c>
      <c r="R781" s="122">
        <v>1</v>
      </c>
      <c r="S781" s="104">
        <v>0</v>
      </c>
      <c r="T781" s="1" t="s">
        <v>2323</v>
      </c>
      <c r="U781" s="1" t="s">
        <v>2323</v>
      </c>
      <c r="V781" s="31"/>
      <c r="W781" s="105" t="s">
        <v>50</v>
      </c>
      <c r="X781" s="123" t="s">
        <v>3150</v>
      </c>
      <c r="Y781" s="31">
        <v>43131</v>
      </c>
      <c r="Z781" s="106">
        <f>54686940-54686940</f>
        <v>0</v>
      </c>
      <c r="AA781" s="107" t="s">
        <v>2889</v>
      </c>
      <c r="AB781" s="20"/>
      <c r="AC781" s="31"/>
      <c r="AD781" s="108"/>
      <c r="AE781" s="109">
        <v>0</v>
      </c>
      <c r="AF781" s="20"/>
      <c r="AG781" s="31"/>
      <c r="AH781" s="108"/>
      <c r="AI781" s="1"/>
      <c r="AJ781" s="1"/>
      <c r="AK781" s="109">
        <f t="shared" si="69"/>
        <v>0</v>
      </c>
      <c r="AL781" s="108"/>
      <c r="AM781" s="108">
        <f t="shared" si="70"/>
        <v>0</v>
      </c>
      <c r="AN781" s="1" t="s">
        <v>2308</v>
      </c>
      <c r="AO781" s="108">
        <f t="shared" si="71"/>
        <v>0</v>
      </c>
      <c r="AP781" s="1" t="s">
        <v>3151</v>
      </c>
      <c r="AQ781" s="1"/>
      <c r="AR781" s="1" t="s">
        <v>2786</v>
      </c>
      <c r="AS781" s="1"/>
      <c r="AT781" s="1"/>
      <c r="AU781" s="211"/>
    </row>
    <row r="782" spans="1:47" ht="293.25" x14ac:dyDescent="0.2">
      <c r="A782" s="1">
        <v>292</v>
      </c>
      <c r="B782" s="1" t="str">
        <f t="shared" si="67"/>
        <v>3075-292</v>
      </c>
      <c r="C782" s="99" t="s">
        <v>2294</v>
      </c>
      <c r="D782" s="100" t="s">
        <v>2295</v>
      </c>
      <c r="E782" s="100" t="s">
        <v>2578</v>
      </c>
      <c r="F782" s="99" t="s">
        <v>2328</v>
      </c>
      <c r="G782" s="117" t="s">
        <v>2329</v>
      </c>
      <c r="H782" s="102" t="s">
        <v>2579</v>
      </c>
      <c r="I782" s="100" t="s">
        <v>2300</v>
      </c>
      <c r="J782" s="100" t="s">
        <v>2301</v>
      </c>
      <c r="K782" s="100" t="s">
        <v>50</v>
      </c>
      <c r="L782" s="1" t="s">
        <v>2302</v>
      </c>
      <c r="M782" s="1" t="s">
        <v>493</v>
      </c>
      <c r="N782" s="1" t="s">
        <v>494</v>
      </c>
      <c r="O782" s="100" t="s">
        <v>2369</v>
      </c>
      <c r="P782" s="1" t="s">
        <v>3152</v>
      </c>
      <c r="Q782" s="106">
        <v>54686940</v>
      </c>
      <c r="R782" s="122">
        <v>1</v>
      </c>
      <c r="S782" s="104">
        <v>54686940</v>
      </c>
      <c r="T782" s="1" t="s">
        <v>2323</v>
      </c>
      <c r="U782" s="1" t="s">
        <v>2323</v>
      </c>
      <c r="V782" s="31" t="s">
        <v>498</v>
      </c>
      <c r="W782" s="105" t="s">
        <v>50</v>
      </c>
      <c r="X782" s="123" t="s">
        <v>3153</v>
      </c>
      <c r="Y782" s="31">
        <v>43131</v>
      </c>
      <c r="Z782" s="106">
        <v>54686940</v>
      </c>
      <c r="AA782" s="107" t="s">
        <v>2889</v>
      </c>
      <c r="AB782" s="20">
        <v>599</v>
      </c>
      <c r="AC782" s="31">
        <v>43132</v>
      </c>
      <c r="AD782" s="108">
        <v>54686940</v>
      </c>
      <c r="AE782" s="109">
        <f t="shared" ref="AE782:AE844" si="72">S782-Z782</f>
        <v>0</v>
      </c>
      <c r="AF782" s="20">
        <v>1485</v>
      </c>
      <c r="AG782" s="31">
        <v>43160</v>
      </c>
      <c r="AH782" s="108">
        <v>54686940</v>
      </c>
      <c r="AI782" s="1" t="s">
        <v>3154</v>
      </c>
      <c r="AJ782" s="1">
        <v>1460</v>
      </c>
      <c r="AK782" s="109">
        <f t="shared" si="69"/>
        <v>0</v>
      </c>
      <c r="AL782" s="108">
        <v>54686940</v>
      </c>
      <c r="AM782" s="108">
        <f t="shared" si="70"/>
        <v>0</v>
      </c>
      <c r="AN782" s="1" t="s">
        <v>2308</v>
      </c>
      <c r="AO782" s="108">
        <f t="shared" si="71"/>
        <v>0</v>
      </c>
      <c r="AP782" s="1"/>
      <c r="AQ782" s="1"/>
      <c r="AR782" s="1"/>
      <c r="AS782" s="1"/>
      <c r="AT782" s="1"/>
      <c r="AU782" s="211"/>
    </row>
    <row r="783" spans="1:47" ht="293.25" x14ac:dyDescent="0.2">
      <c r="A783" s="1">
        <v>293</v>
      </c>
      <c r="B783" s="1" t="str">
        <f t="shared" si="67"/>
        <v>3075-293</v>
      </c>
      <c r="C783" s="99" t="s">
        <v>2294</v>
      </c>
      <c r="D783" s="100" t="s">
        <v>2295</v>
      </c>
      <c r="E783" s="100" t="s">
        <v>2578</v>
      </c>
      <c r="F783" s="99" t="s">
        <v>2328</v>
      </c>
      <c r="G783" s="117" t="s">
        <v>2329</v>
      </c>
      <c r="H783" s="102" t="s">
        <v>2579</v>
      </c>
      <c r="I783" s="100" t="s">
        <v>2300</v>
      </c>
      <c r="J783" s="100" t="s">
        <v>2301</v>
      </c>
      <c r="K783" s="100" t="s">
        <v>50</v>
      </c>
      <c r="L783" s="1" t="s">
        <v>2302</v>
      </c>
      <c r="M783" s="1" t="s">
        <v>493</v>
      </c>
      <c r="N783" s="1" t="s">
        <v>494</v>
      </c>
      <c r="O783" s="100" t="s">
        <v>2369</v>
      </c>
      <c r="P783" s="1" t="s">
        <v>3155</v>
      </c>
      <c r="Q783" s="106">
        <v>54686940</v>
      </c>
      <c r="R783" s="122">
        <v>1</v>
      </c>
      <c r="S783" s="104">
        <v>54686940</v>
      </c>
      <c r="T783" s="1" t="s">
        <v>2323</v>
      </c>
      <c r="U783" s="1" t="s">
        <v>2323</v>
      </c>
      <c r="V783" s="31" t="s">
        <v>498</v>
      </c>
      <c r="W783" s="105" t="s">
        <v>50</v>
      </c>
      <c r="X783" s="123" t="s">
        <v>3156</v>
      </c>
      <c r="Y783" s="31">
        <v>43131</v>
      </c>
      <c r="Z783" s="106">
        <v>54686940</v>
      </c>
      <c r="AA783" s="107" t="s">
        <v>2889</v>
      </c>
      <c r="AB783" s="20">
        <v>600</v>
      </c>
      <c r="AC783" s="31">
        <v>43132</v>
      </c>
      <c r="AD783" s="108">
        <v>54686940</v>
      </c>
      <c r="AE783" s="109">
        <f t="shared" si="72"/>
        <v>0</v>
      </c>
      <c r="AF783" s="20">
        <v>1483</v>
      </c>
      <c r="AG783" s="31">
        <v>43160</v>
      </c>
      <c r="AH783" s="108">
        <v>54686940</v>
      </c>
      <c r="AI783" s="1" t="s">
        <v>3157</v>
      </c>
      <c r="AJ783" s="1">
        <v>1461</v>
      </c>
      <c r="AK783" s="109">
        <f t="shared" si="69"/>
        <v>0</v>
      </c>
      <c r="AL783" s="108">
        <v>54686940</v>
      </c>
      <c r="AM783" s="108">
        <f t="shared" si="70"/>
        <v>0</v>
      </c>
      <c r="AN783" s="1" t="s">
        <v>2308</v>
      </c>
      <c r="AO783" s="108">
        <f t="shared" si="71"/>
        <v>0</v>
      </c>
      <c r="AP783" s="1"/>
      <c r="AQ783" s="1"/>
      <c r="AR783" s="1"/>
      <c r="AS783" s="1"/>
      <c r="AT783" s="1"/>
      <c r="AU783" s="211"/>
    </row>
    <row r="784" spans="1:47" ht="165.75" x14ac:dyDescent="0.2">
      <c r="A784" s="1">
        <v>294</v>
      </c>
      <c r="B784" s="1" t="str">
        <f t="shared" si="67"/>
        <v>3075-294</v>
      </c>
      <c r="C784" s="99" t="s">
        <v>2294</v>
      </c>
      <c r="D784" s="100" t="s">
        <v>2295</v>
      </c>
      <c r="E784" s="99" t="s">
        <v>2317</v>
      </c>
      <c r="F784" s="99" t="s">
        <v>2318</v>
      </c>
      <c r="G784" s="101" t="s">
        <v>2319</v>
      </c>
      <c r="H784" s="102" t="s">
        <v>2320</v>
      </c>
      <c r="I784" s="100" t="s">
        <v>2300</v>
      </c>
      <c r="J784" s="100" t="s">
        <v>2301</v>
      </c>
      <c r="K784" s="100" t="s">
        <v>50</v>
      </c>
      <c r="L784" s="1" t="s">
        <v>2302</v>
      </c>
      <c r="M784" s="1" t="s">
        <v>493</v>
      </c>
      <c r="N784" s="1" t="s">
        <v>494</v>
      </c>
      <c r="O784" s="100" t="s">
        <v>2321</v>
      </c>
      <c r="P784" s="112" t="s">
        <v>3158</v>
      </c>
      <c r="Q784" s="103">
        <v>22950000</v>
      </c>
      <c r="R784" s="1">
        <v>1</v>
      </c>
      <c r="S784" s="104">
        <v>22950000</v>
      </c>
      <c r="T784" s="1" t="s">
        <v>2323</v>
      </c>
      <c r="U784" s="1" t="s">
        <v>2323</v>
      </c>
      <c r="V784" s="31" t="s">
        <v>507</v>
      </c>
      <c r="W784" s="105" t="s">
        <v>50</v>
      </c>
      <c r="X784" s="123" t="s">
        <v>3159</v>
      </c>
      <c r="Y784" s="31">
        <v>43131</v>
      </c>
      <c r="Z784" s="106">
        <v>22950000</v>
      </c>
      <c r="AA784" s="107" t="s">
        <v>2929</v>
      </c>
      <c r="AB784" s="20">
        <v>602</v>
      </c>
      <c r="AC784" s="31">
        <v>43132</v>
      </c>
      <c r="AD784" s="108">
        <v>22950000</v>
      </c>
      <c r="AE784" s="109">
        <f t="shared" si="72"/>
        <v>0</v>
      </c>
      <c r="AF784" s="20">
        <v>1781</v>
      </c>
      <c r="AG784" s="31">
        <v>43202</v>
      </c>
      <c r="AH784" s="108">
        <v>22950000</v>
      </c>
      <c r="AI784" s="1" t="s">
        <v>3160</v>
      </c>
      <c r="AJ784" s="1">
        <v>1856</v>
      </c>
      <c r="AK784" s="109">
        <f t="shared" si="69"/>
        <v>0</v>
      </c>
      <c r="AL784" s="108">
        <v>0</v>
      </c>
      <c r="AM784" s="108">
        <f t="shared" si="70"/>
        <v>22950000</v>
      </c>
      <c r="AN784" s="1" t="s">
        <v>2308</v>
      </c>
      <c r="AO784" s="108">
        <f t="shared" si="71"/>
        <v>0</v>
      </c>
      <c r="AP784" s="1"/>
      <c r="AQ784" s="1"/>
      <c r="AR784" s="1"/>
      <c r="AS784" s="1"/>
      <c r="AT784" s="1"/>
      <c r="AU784" s="211"/>
    </row>
    <row r="785" spans="1:47" ht="140.25" x14ac:dyDescent="0.2">
      <c r="A785" s="1">
        <v>295</v>
      </c>
      <c r="B785" s="1" t="str">
        <f t="shared" si="67"/>
        <v>3075-295</v>
      </c>
      <c r="C785" s="99" t="s">
        <v>2294</v>
      </c>
      <c r="D785" s="100" t="s">
        <v>2295</v>
      </c>
      <c r="E785" s="99" t="s">
        <v>2317</v>
      </c>
      <c r="F785" s="99" t="s">
        <v>2318</v>
      </c>
      <c r="G785" s="101" t="s">
        <v>2319</v>
      </c>
      <c r="H785" s="102" t="s">
        <v>2320</v>
      </c>
      <c r="I785" s="100" t="s">
        <v>2300</v>
      </c>
      <c r="J785" s="100" t="s">
        <v>2301</v>
      </c>
      <c r="K785" s="100" t="s">
        <v>50</v>
      </c>
      <c r="L785" s="1" t="s">
        <v>2302</v>
      </c>
      <c r="M785" s="1" t="s">
        <v>493</v>
      </c>
      <c r="N785" s="1" t="s">
        <v>494</v>
      </c>
      <c r="O785" s="100" t="s">
        <v>2321</v>
      </c>
      <c r="P785" s="112" t="s">
        <v>3161</v>
      </c>
      <c r="Q785" s="103">
        <v>59034400</v>
      </c>
      <c r="R785" s="1">
        <v>1</v>
      </c>
      <c r="S785" s="104">
        <v>59034400</v>
      </c>
      <c r="T785" s="1" t="s">
        <v>2323</v>
      </c>
      <c r="U785" s="1" t="s">
        <v>2323</v>
      </c>
      <c r="V785" s="31" t="s">
        <v>1352</v>
      </c>
      <c r="W785" s="105" t="s">
        <v>50</v>
      </c>
      <c r="X785" s="123" t="s">
        <v>3162</v>
      </c>
      <c r="Y785" s="31">
        <v>43131</v>
      </c>
      <c r="Z785" s="106">
        <v>59034400</v>
      </c>
      <c r="AA785" s="107" t="s">
        <v>2929</v>
      </c>
      <c r="AB785" s="20">
        <v>604</v>
      </c>
      <c r="AC785" s="31">
        <v>43132</v>
      </c>
      <c r="AD785" s="108">
        <v>59034400</v>
      </c>
      <c r="AE785" s="109">
        <f t="shared" si="72"/>
        <v>0</v>
      </c>
      <c r="AF785" s="20">
        <v>1993</v>
      </c>
      <c r="AG785" s="31">
        <v>43256</v>
      </c>
      <c r="AH785" s="108">
        <v>59034400</v>
      </c>
      <c r="AI785" s="1" t="s">
        <v>3163</v>
      </c>
      <c r="AJ785" s="1">
        <v>2191</v>
      </c>
      <c r="AK785" s="109">
        <f t="shared" si="69"/>
        <v>0</v>
      </c>
      <c r="AL785" s="108">
        <v>59034400</v>
      </c>
      <c r="AM785" s="108">
        <f t="shared" si="70"/>
        <v>0</v>
      </c>
      <c r="AN785" s="1" t="s">
        <v>2308</v>
      </c>
      <c r="AO785" s="108">
        <f t="shared" si="71"/>
        <v>0</v>
      </c>
      <c r="AP785" s="1"/>
      <c r="AQ785" s="1"/>
      <c r="AR785" s="1"/>
      <c r="AS785" s="1"/>
      <c r="AT785" s="1"/>
      <c r="AU785" s="211"/>
    </row>
    <row r="786" spans="1:47" ht="165.75" x14ac:dyDescent="0.2">
      <c r="A786" s="1">
        <v>296</v>
      </c>
      <c r="B786" s="1" t="str">
        <f t="shared" si="67"/>
        <v>3075-296</v>
      </c>
      <c r="C786" s="99" t="s">
        <v>2294</v>
      </c>
      <c r="D786" s="100" t="s">
        <v>2295</v>
      </c>
      <c r="E786" s="99" t="s">
        <v>2317</v>
      </c>
      <c r="F786" s="99" t="s">
        <v>2318</v>
      </c>
      <c r="G786" s="101" t="s">
        <v>2319</v>
      </c>
      <c r="H786" s="102" t="s">
        <v>2320</v>
      </c>
      <c r="I786" s="100" t="s">
        <v>2300</v>
      </c>
      <c r="J786" s="100" t="s">
        <v>2301</v>
      </c>
      <c r="K786" s="100" t="s">
        <v>50</v>
      </c>
      <c r="L786" s="1" t="s">
        <v>2302</v>
      </c>
      <c r="M786" s="1" t="s">
        <v>493</v>
      </c>
      <c r="N786" s="1" t="s">
        <v>494</v>
      </c>
      <c r="O786" s="100" t="s">
        <v>2321</v>
      </c>
      <c r="P786" s="112" t="s">
        <v>3164</v>
      </c>
      <c r="Q786" s="103">
        <v>81785300</v>
      </c>
      <c r="R786" s="1">
        <v>1</v>
      </c>
      <c r="S786" s="104">
        <v>81785300</v>
      </c>
      <c r="T786" s="1" t="s">
        <v>2323</v>
      </c>
      <c r="U786" s="1" t="s">
        <v>2323</v>
      </c>
      <c r="V786" s="31" t="s">
        <v>507</v>
      </c>
      <c r="W786" s="105" t="s">
        <v>50</v>
      </c>
      <c r="X786" s="123" t="s">
        <v>3165</v>
      </c>
      <c r="Y786" s="31">
        <v>43131</v>
      </c>
      <c r="Z786" s="106">
        <v>81785300</v>
      </c>
      <c r="AA786" s="107" t="s">
        <v>2929</v>
      </c>
      <c r="AB786" s="20">
        <v>607</v>
      </c>
      <c r="AC786" s="31">
        <v>43132</v>
      </c>
      <c r="AD786" s="108">
        <v>81785300</v>
      </c>
      <c r="AE786" s="109">
        <f t="shared" si="72"/>
        <v>0</v>
      </c>
      <c r="AF786" s="20">
        <v>1782</v>
      </c>
      <c r="AG786" s="31">
        <v>43202</v>
      </c>
      <c r="AH786" s="108">
        <v>81785300</v>
      </c>
      <c r="AI786" s="1" t="s">
        <v>3166</v>
      </c>
      <c r="AJ786" s="1">
        <v>1857</v>
      </c>
      <c r="AK786" s="109">
        <f t="shared" si="69"/>
        <v>0</v>
      </c>
      <c r="AL786" s="108">
        <v>24535590</v>
      </c>
      <c r="AM786" s="108">
        <f t="shared" si="70"/>
        <v>57249710</v>
      </c>
      <c r="AN786" s="1" t="s">
        <v>2308</v>
      </c>
      <c r="AO786" s="108">
        <f t="shared" si="71"/>
        <v>0</v>
      </c>
      <c r="AP786" s="1"/>
      <c r="AQ786" s="1"/>
      <c r="AR786" s="1"/>
      <c r="AS786" s="1"/>
      <c r="AT786" s="1"/>
      <c r="AU786" s="211"/>
    </row>
    <row r="787" spans="1:47" ht="165.75" x14ac:dyDescent="0.2">
      <c r="A787" s="1">
        <v>297</v>
      </c>
      <c r="B787" s="1" t="str">
        <f t="shared" si="67"/>
        <v>3075-297</v>
      </c>
      <c r="C787" s="99" t="s">
        <v>2294</v>
      </c>
      <c r="D787" s="100" t="s">
        <v>2295</v>
      </c>
      <c r="E787" s="99" t="s">
        <v>2317</v>
      </c>
      <c r="F787" s="99" t="s">
        <v>2318</v>
      </c>
      <c r="G787" s="101" t="s">
        <v>2319</v>
      </c>
      <c r="H787" s="102" t="s">
        <v>2320</v>
      </c>
      <c r="I787" s="100" t="s">
        <v>2300</v>
      </c>
      <c r="J787" s="100" t="s">
        <v>2301</v>
      </c>
      <c r="K787" s="100" t="s">
        <v>50</v>
      </c>
      <c r="L787" s="1" t="s">
        <v>2302</v>
      </c>
      <c r="M787" s="1" t="s">
        <v>493</v>
      </c>
      <c r="N787" s="1" t="s">
        <v>494</v>
      </c>
      <c r="O787" s="100" t="s">
        <v>2321</v>
      </c>
      <c r="P787" s="112" t="s">
        <v>3167</v>
      </c>
      <c r="Q787" s="103">
        <v>64571600</v>
      </c>
      <c r="R787" s="1">
        <v>1</v>
      </c>
      <c r="S787" s="104">
        <v>64571600</v>
      </c>
      <c r="T787" s="1" t="s">
        <v>2323</v>
      </c>
      <c r="U787" s="1" t="s">
        <v>2323</v>
      </c>
      <c r="V787" s="31" t="s">
        <v>2211</v>
      </c>
      <c r="W787" s="105" t="s">
        <v>50</v>
      </c>
      <c r="X787" s="123" t="s">
        <v>3168</v>
      </c>
      <c r="Y787" s="31">
        <v>43131</v>
      </c>
      <c r="Z787" s="106">
        <v>64571600</v>
      </c>
      <c r="AA787" s="107" t="s">
        <v>2929</v>
      </c>
      <c r="AB787" s="20">
        <v>609</v>
      </c>
      <c r="AC787" s="31">
        <v>43132</v>
      </c>
      <c r="AD787" s="108">
        <v>64571600</v>
      </c>
      <c r="AE787" s="109">
        <f t="shared" si="72"/>
        <v>0</v>
      </c>
      <c r="AF787" s="20">
        <v>1957</v>
      </c>
      <c r="AG787" s="31">
        <v>43245</v>
      </c>
      <c r="AH787" s="108">
        <v>64571600</v>
      </c>
      <c r="AI787" s="1" t="s">
        <v>3169</v>
      </c>
      <c r="AJ787" s="1">
        <v>2119</v>
      </c>
      <c r="AK787" s="109">
        <f t="shared" si="69"/>
        <v>0</v>
      </c>
      <c r="AL787" s="108">
        <v>0</v>
      </c>
      <c r="AM787" s="108">
        <f t="shared" si="70"/>
        <v>64571600</v>
      </c>
      <c r="AN787" s="1" t="s">
        <v>2308</v>
      </c>
      <c r="AO787" s="108">
        <f t="shared" si="71"/>
        <v>0</v>
      </c>
      <c r="AP787" s="1"/>
      <c r="AQ787" s="1"/>
      <c r="AR787" s="1"/>
      <c r="AS787" s="1"/>
      <c r="AT787" s="1"/>
      <c r="AU787" s="211"/>
    </row>
    <row r="788" spans="1:47" ht="204" x14ac:dyDescent="0.2">
      <c r="A788" s="1">
        <v>298</v>
      </c>
      <c r="B788" s="1" t="str">
        <f t="shared" si="67"/>
        <v>3075-298</v>
      </c>
      <c r="C788" s="99" t="s">
        <v>2294</v>
      </c>
      <c r="D788" s="100" t="s">
        <v>2295</v>
      </c>
      <c r="E788" s="100" t="s">
        <v>2327</v>
      </c>
      <c r="F788" s="99" t="s">
        <v>2328</v>
      </c>
      <c r="G788" s="101" t="s">
        <v>2329</v>
      </c>
      <c r="H788" s="102" t="s">
        <v>2330</v>
      </c>
      <c r="I788" s="100" t="s">
        <v>2300</v>
      </c>
      <c r="J788" s="100" t="s">
        <v>2331</v>
      </c>
      <c r="K788" s="100" t="s">
        <v>50</v>
      </c>
      <c r="L788" s="1" t="s">
        <v>2302</v>
      </c>
      <c r="M788" s="1" t="s">
        <v>493</v>
      </c>
      <c r="N788" s="1" t="s">
        <v>494</v>
      </c>
      <c r="O788" s="100" t="s">
        <v>2321</v>
      </c>
      <c r="P788" s="100" t="s">
        <v>3170</v>
      </c>
      <c r="Q788" s="103">
        <v>30749982</v>
      </c>
      <c r="R788" s="1">
        <v>1</v>
      </c>
      <c r="S788" s="104">
        <v>30749982</v>
      </c>
      <c r="T788" s="1" t="s">
        <v>2323</v>
      </c>
      <c r="U788" s="1" t="s">
        <v>2323</v>
      </c>
      <c r="V788" s="31" t="s">
        <v>498</v>
      </c>
      <c r="W788" s="105" t="s">
        <v>50</v>
      </c>
      <c r="X788" s="123" t="s">
        <v>3171</v>
      </c>
      <c r="Y788" s="31">
        <v>43131</v>
      </c>
      <c r="Z788" s="106">
        <v>30749982</v>
      </c>
      <c r="AA788" s="107" t="s">
        <v>3172</v>
      </c>
      <c r="AB788" s="20">
        <v>614</v>
      </c>
      <c r="AC788" s="31">
        <v>43132</v>
      </c>
      <c r="AD788" s="108">
        <v>30749982</v>
      </c>
      <c r="AE788" s="109">
        <f t="shared" si="72"/>
        <v>0</v>
      </c>
      <c r="AF788" s="20">
        <v>1621</v>
      </c>
      <c r="AG788" s="31">
        <v>43182</v>
      </c>
      <c r="AH788" s="108">
        <v>30749982</v>
      </c>
      <c r="AI788" s="1" t="s">
        <v>3173</v>
      </c>
      <c r="AJ788" s="1">
        <v>1541</v>
      </c>
      <c r="AK788" s="109">
        <f t="shared" si="69"/>
        <v>0</v>
      </c>
      <c r="AL788" s="108">
        <v>30749982</v>
      </c>
      <c r="AM788" s="108">
        <f t="shared" si="70"/>
        <v>0</v>
      </c>
      <c r="AN788" s="1" t="s">
        <v>2308</v>
      </c>
      <c r="AO788" s="108">
        <f t="shared" si="71"/>
        <v>0</v>
      </c>
      <c r="AP788" s="1"/>
      <c r="AQ788" s="1"/>
      <c r="AR788" s="1"/>
      <c r="AS788" s="1"/>
      <c r="AT788" s="1"/>
      <c r="AU788" s="211"/>
    </row>
    <row r="789" spans="1:47" ht="293.25" x14ac:dyDescent="0.2">
      <c r="A789" s="1">
        <v>299</v>
      </c>
      <c r="B789" s="1" t="str">
        <f t="shared" si="67"/>
        <v>3075-299</v>
      </c>
      <c r="C789" s="99" t="s">
        <v>2294</v>
      </c>
      <c r="D789" s="100" t="s">
        <v>2295</v>
      </c>
      <c r="E789" s="100" t="s">
        <v>2578</v>
      </c>
      <c r="F789" s="99" t="s">
        <v>2328</v>
      </c>
      <c r="G789" s="117" t="s">
        <v>2329</v>
      </c>
      <c r="H789" s="102" t="s">
        <v>2579</v>
      </c>
      <c r="I789" s="100" t="s">
        <v>2300</v>
      </c>
      <c r="J789" s="100" t="s">
        <v>2301</v>
      </c>
      <c r="K789" s="100" t="s">
        <v>50</v>
      </c>
      <c r="L789" s="1" t="s">
        <v>2302</v>
      </c>
      <c r="M789" s="1" t="s">
        <v>493</v>
      </c>
      <c r="N789" s="1" t="s">
        <v>494</v>
      </c>
      <c r="O789" s="100" t="s">
        <v>2369</v>
      </c>
      <c r="P789" s="1" t="s">
        <v>3174</v>
      </c>
      <c r="Q789" s="106">
        <v>54686940</v>
      </c>
      <c r="R789" s="122">
        <v>1</v>
      </c>
      <c r="S789" s="104">
        <v>54686940</v>
      </c>
      <c r="T789" s="1" t="s">
        <v>2323</v>
      </c>
      <c r="U789" s="1" t="s">
        <v>2323</v>
      </c>
      <c r="V789" s="31" t="s">
        <v>498</v>
      </c>
      <c r="W789" s="105" t="s">
        <v>50</v>
      </c>
      <c r="X789" s="123" t="s">
        <v>3175</v>
      </c>
      <c r="Y789" s="31">
        <v>43133</v>
      </c>
      <c r="Z789" s="106">
        <v>54686940</v>
      </c>
      <c r="AA789" s="107" t="s">
        <v>2889</v>
      </c>
      <c r="AB789" s="20">
        <v>635</v>
      </c>
      <c r="AC789" s="31">
        <v>43139</v>
      </c>
      <c r="AD789" s="108">
        <v>54686940</v>
      </c>
      <c r="AE789" s="109">
        <f t="shared" si="72"/>
        <v>0</v>
      </c>
      <c r="AF789" s="20">
        <v>1480</v>
      </c>
      <c r="AG789" s="31">
        <v>43160</v>
      </c>
      <c r="AH789" s="108">
        <v>54686940</v>
      </c>
      <c r="AI789" s="1" t="s">
        <v>3176</v>
      </c>
      <c r="AJ789" s="1">
        <v>1414</v>
      </c>
      <c r="AK789" s="109">
        <f t="shared" si="69"/>
        <v>0</v>
      </c>
      <c r="AL789" s="108">
        <v>54686940</v>
      </c>
      <c r="AM789" s="108">
        <f t="shared" si="70"/>
        <v>0</v>
      </c>
      <c r="AN789" s="1" t="s">
        <v>2308</v>
      </c>
      <c r="AO789" s="108">
        <f t="shared" si="71"/>
        <v>0</v>
      </c>
      <c r="AP789" s="1"/>
      <c r="AQ789" s="1"/>
      <c r="AR789" s="1"/>
      <c r="AS789" s="1"/>
      <c r="AT789" s="1"/>
      <c r="AU789" s="211"/>
    </row>
    <row r="790" spans="1:47" ht="293.25" x14ac:dyDescent="0.2">
      <c r="A790" s="1">
        <v>300</v>
      </c>
      <c r="B790" s="1" t="str">
        <f t="shared" si="67"/>
        <v>3075-300</v>
      </c>
      <c r="C790" s="99" t="s">
        <v>2294</v>
      </c>
      <c r="D790" s="100" t="s">
        <v>2295</v>
      </c>
      <c r="E790" s="100" t="s">
        <v>2578</v>
      </c>
      <c r="F790" s="99" t="s">
        <v>2328</v>
      </c>
      <c r="G790" s="117" t="s">
        <v>2329</v>
      </c>
      <c r="H790" s="102" t="s">
        <v>2579</v>
      </c>
      <c r="I790" s="100" t="s">
        <v>2300</v>
      </c>
      <c r="J790" s="100" t="s">
        <v>2301</v>
      </c>
      <c r="K790" s="100" t="s">
        <v>50</v>
      </c>
      <c r="L790" s="1" t="s">
        <v>2302</v>
      </c>
      <c r="M790" s="1" t="s">
        <v>493</v>
      </c>
      <c r="N790" s="1" t="s">
        <v>494</v>
      </c>
      <c r="O790" s="100" t="s">
        <v>2369</v>
      </c>
      <c r="P790" s="1" t="s">
        <v>3177</v>
      </c>
      <c r="Q790" s="106">
        <v>54686940</v>
      </c>
      <c r="R790" s="122">
        <v>1</v>
      </c>
      <c r="S790" s="104">
        <v>54686940</v>
      </c>
      <c r="T790" s="1" t="s">
        <v>2323</v>
      </c>
      <c r="U790" s="1" t="s">
        <v>2323</v>
      </c>
      <c r="V790" s="31" t="s">
        <v>498</v>
      </c>
      <c r="W790" s="105" t="s">
        <v>50</v>
      </c>
      <c r="X790" s="123" t="s">
        <v>3178</v>
      </c>
      <c r="Y790" s="31">
        <v>43133</v>
      </c>
      <c r="Z790" s="106">
        <v>54686940</v>
      </c>
      <c r="AA790" s="107" t="s">
        <v>2889</v>
      </c>
      <c r="AB790" s="20">
        <v>633</v>
      </c>
      <c r="AC790" s="31">
        <v>43138</v>
      </c>
      <c r="AD790" s="108">
        <v>54686940</v>
      </c>
      <c r="AE790" s="109">
        <f t="shared" si="72"/>
        <v>0</v>
      </c>
      <c r="AF790" s="20">
        <v>1479</v>
      </c>
      <c r="AG790" s="31">
        <v>43160</v>
      </c>
      <c r="AH790" s="108">
        <v>54686940</v>
      </c>
      <c r="AI790" s="1" t="s">
        <v>3179</v>
      </c>
      <c r="AJ790" s="1">
        <v>1417</v>
      </c>
      <c r="AK790" s="109">
        <f t="shared" si="69"/>
        <v>0</v>
      </c>
      <c r="AL790" s="108">
        <v>54686940</v>
      </c>
      <c r="AM790" s="108">
        <f t="shared" si="70"/>
        <v>0</v>
      </c>
      <c r="AN790" s="1" t="s">
        <v>2308</v>
      </c>
      <c r="AO790" s="108">
        <f t="shared" si="71"/>
        <v>0</v>
      </c>
      <c r="AP790" s="1"/>
      <c r="AQ790" s="1"/>
      <c r="AR790" s="1"/>
      <c r="AS790" s="1"/>
      <c r="AT790" s="1"/>
      <c r="AU790" s="211"/>
    </row>
    <row r="791" spans="1:47" ht="293.25" x14ac:dyDescent="0.2">
      <c r="A791" s="1">
        <v>301</v>
      </c>
      <c r="B791" s="1" t="str">
        <f t="shared" si="67"/>
        <v>3075-301</v>
      </c>
      <c r="C791" s="99" t="s">
        <v>2294</v>
      </c>
      <c r="D791" s="100" t="s">
        <v>2295</v>
      </c>
      <c r="E791" s="100" t="s">
        <v>2578</v>
      </c>
      <c r="F791" s="99" t="s">
        <v>2328</v>
      </c>
      <c r="G791" s="117" t="s">
        <v>2329</v>
      </c>
      <c r="H791" s="102" t="s">
        <v>2579</v>
      </c>
      <c r="I791" s="100" t="s">
        <v>2300</v>
      </c>
      <c r="J791" s="100" t="s">
        <v>2301</v>
      </c>
      <c r="K791" s="100" t="s">
        <v>50</v>
      </c>
      <c r="L791" s="1" t="s">
        <v>2302</v>
      </c>
      <c r="M791" s="1" t="s">
        <v>493</v>
      </c>
      <c r="N791" s="1" t="s">
        <v>494</v>
      </c>
      <c r="O791" s="100" t="s">
        <v>2369</v>
      </c>
      <c r="P791" s="1" t="s">
        <v>3180</v>
      </c>
      <c r="Q791" s="106">
        <v>54686940</v>
      </c>
      <c r="R791" s="122">
        <v>1</v>
      </c>
      <c r="S791" s="104">
        <v>54686940</v>
      </c>
      <c r="T791" s="1" t="s">
        <v>2323</v>
      </c>
      <c r="U791" s="1" t="s">
        <v>2323</v>
      </c>
      <c r="V791" s="31" t="s">
        <v>620</v>
      </c>
      <c r="W791" s="105" t="s">
        <v>50</v>
      </c>
      <c r="X791" s="123" t="s">
        <v>3181</v>
      </c>
      <c r="Y791" s="31">
        <v>43133</v>
      </c>
      <c r="Z791" s="106">
        <v>54686940</v>
      </c>
      <c r="AA791" s="107" t="s">
        <v>2889</v>
      </c>
      <c r="AB791" s="20">
        <v>631</v>
      </c>
      <c r="AC791" s="31">
        <v>43137</v>
      </c>
      <c r="AD791" s="108">
        <v>54686940</v>
      </c>
      <c r="AE791" s="109">
        <f t="shared" si="72"/>
        <v>0</v>
      </c>
      <c r="AF791" s="20">
        <v>1377</v>
      </c>
      <c r="AG791" s="31">
        <v>43147</v>
      </c>
      <c r="AH791" s="108">
        <v>54686940</v>
      </c>
      <c r="AI791" s="1" t="s">
        <v>3182</v>
      </c>
      <c r="AJ791" s="1">
        <v>1281</v>
      </c>
      <c r="AK791" s="109">
        <f t="shared" si="69"/>
        <v>0</v>
      </c>
      <c r="AL791" s="108">
        <v>54686940</v>
      </c>
      <c r="AM791" s="108">
        <f t="shared" si="70"/>
        <v>0</v>
      </c>
      <c r="AN791" s="1" t="s">
        <v>2308</v>
      </c>
      <c r="AO791" s="108">
        <f t="shared" si="71"/>
        <v>0</v>
      </c>
      <c r="AP791" s="1"/>
      <c r="AQ791" s="1"/>
      <c r="AR791" s="1"/>
      <c r="AS791" s="1"/>
      <c r="AT791" s="1"/>
      <c r="AU791" s="211"/>
    </row>
    <row r="792" spans="1:47" ht="293.25" x14ac:dyDescent="0.2">
      <c r="A792" s="1">
        <v>302</v>
      </c>
      <c r="B792" s="1" t="str">
        <f t="shared" si="67"/>
        <v>3075-302</v>
      </c>
      <c r="C792" s="99" t="s">
        <v>2294</v>
      </c>
      <c r="D792" s="100" t="s">
        <v>2295</v>
      </c>
      <c r="E792" s="100" t="s">
        <v>2578</v>
      </c>
      <c r="F792" s="99" t="s">
        <v>2328</v>
      </c>
      <c r="G792" s="117" t="s">
        <v>2329</v>
      </c>
      <c r="H792" s="102" t="s">
        <v>2579</v>
      </c>
      <c r="I792" s="100" t="s">
        <v>2300</v>
      </c>
      <c r="J792" s="100" t="s">
        <v>2301</v>
      </c>
      <c r="K792" s="100" t="s">
        <v>50</v>
      </c>
      <c r="L792" s="1" t="s">
        <v>2302</v>
      </c>
      <c r="M792" s="1" t="s">
        <v>493</v>
      </c>
      <c r="N792" s="1" t="s">
        <v>494</v>
      </c>
      <c r="O792" s="100" t="s">
        <v>2369</v>
      </c>
      <c r="P792" s="1" t="s">
        <v>3183</v>
      </c>
      <c r="Q792" s="106">
        <v>54686940</v>
      </c>
      <c r="R792" s="122">
        <v>1</v>
      </c>
      <c r="S792" s="104">
        <v>54686940</v>
      </c>
      <c r="T792" s="1" t="s">
        <v>2323</v>
      </c>
      <c r="U792" s="1" t="s">
        <v>2323</v>
      </c>
      <c r="V792" s="31" t="s">
        <v>620</v>
      </c>
      <c r="W792" s="105" t="s">
        <v>50</v>
      </c>
      <c r="X792" s="123" t="s">
        <v>3184</v>
      </c>
      <c r="Y792" s="31">
        <v>43133</v>
      </c>
      <c r="Z792" s="106">
        <v>54686940</v>
      </c>
      <c r="AA792" s="107" t="s">
        <v>2889</v>
      </c>
      <c r="AB792" s="20">
        <v>634</v>
      </c>
      <c r="AC792" s="31">
        <v>43138</v>
      </c>
      <c r="AD792" s="108">
        <v>54686940</v>
      </c>
      <c r="AE792" s="109">
        <f t="shared" si="72"/>
        <v>0</v>
      </c>
      <c r="AF792" s="20">
        <v>1376</v>
      </c>
      <c r="AG792" s="31">
        <v>43147</v>
      </c>
      <c r="AH792" s="108">
        <v>54686940</v>
      </c>
      <c r="AI792" s="1" t="s">
        <v>3185</v>
      </c>
      <c r="AJ792" s="1">
        <v>1282</v>
      </c>
      <c r="AK792" s="109">
        <f t="shared" si="69"/>
        <v>0</v>
      </c>
      <c r="AL792" s="108">
        <v>54686940</v>
      </c>
      <c r="AM792" s="108">
        <f t="shared" si="70"/>
        <v>0</v>
      </c>
      <c r="AN792" s="1" t="s">
        <v>2308</v>
      </c>
      <c r="AO792" s="108">
        <f t="shared" si="71"/>
        <v>0</v>
      </c>
      <c r="AP792" s="1"/>
      <c r="AQ792" s="1"/>
      <c r="AR792" s="1"/>
      <c r="AS792" s="1"/>
      <c r="AT792" s="1"/>
      <c r="AU792" s="211"/>
    </row>
    <row r="793" spans="1:47" ht="293.25" x14ac:dyDescent="0.2">
      <c r="A793" s="1">
        <v>303</v>
      </c>
      <c r="B793" s="1" t="str">
        <f t="shared" si="67"/>
        <v>3075-303</v>
      </c>
      <c r="C793" s="99" t="s">
        <v>2294</v>
      </c>
      <c r="D793" s="100" t="s">
        <v>2295</v>
      </c>
      <c r="E793" s="100" t="s">
        <v>2578</v>
      </c>
      <c r="F793" s="99" t="s">
        <v>2328</v>
      </c>
      <c r="G793" s="117" t="s">
        <v>2329</v>
      </c>
      <c r="H793" s="102" t="s">
        <v>2579</v>
      </c>
      <c r="I793" s="100" t="s">
        <v>2300</v>
      </c>
      <c r="J793" s="100" t="s">
        <v>2301</v>
      </c>
      <c r="K793" s="100" t="s">
        <v>50</v>
      </c>
      <c r="L793" s="1" t="s">
        <v>2302</v>
      </c>
      <c r="M793" s="1" t="s">
        <v>493</v>
      </c>
      <c r="N793" s="1" t="s">
        <v>494</v>
      </c>
      <c r="O793" s="100" t="s">
        <v>2369</v>
      </c>
      <c r="P793" s="1" t="s">
        <v>3186</v>
      </c>
      <c r="Q793" s="106">
        <v>54686940</v>
      </c>
      <c r="R793" s="122">
        <v>1</v>
      </c>
      <c r="S793" s="104">
        <v>54686940</v>
      </c>
      <c r="T793" s="1" t="s">
        <v>2323</v>
      </c>
      <c r="U793" s="1" t="s">
        <v>2323</v>
      </c>
      <c r="V793" s="31" t="s">
        <v>498</v>
      </c>
      <c r="W793" s="105" t="s">
        <v>50</v>
      </c>
      <c r="X793" s="123" t="s">
        <v>3187</v>
      </c>
      <c r="Y793" s="31">
        <v>43138</v>
      </c>
      <c r="Z793" s="108">
        <v>54686940</v>
      </c>
      <c r="AA793" s="107" t="s">
        <v>2889</v>
      </c>
      <c r="AB793" s="20">
        <v>641</v>
      </c>
      <c r="AC793" s="31">
        <v>43140</v>
      </c>
      <c r="AD793" s="108">
        <v>54686940</v>
      </c>
      <c r="AE793" s="109">
        <f t="shared" si="72"/>
        <v>0</v>
      </c>
      <c r="AF793" s="20">
        <v>1582</v>
      </c>
      <c r="AG793" s="31">
        <v>43174</v>
      </c>
      <c r="AH793" s="108">
        <v>54686940</v>
      </c>
      <c r="AI793" s="1" t="s">
        <v>3188</v>
      </c>
      <c r="AJ793" s="1">
        <v>1509</v>
      </c>
      <c r="AK793" s="109">
        <f t="shared" si="69"/>
        <v>0</v>
      </c>
      <c r="AL793" s="108">
        <v>54686940</v>
      </c>
      <c r="AM793" s="108">
        <f t="shared" si="70"/>
        <v>0</v>
      </c>
      <c r="AN793" s="1" t="s">
        <v>2308</v>
      </c>
      <c r="AO793" s="108">
        <f t="shared" si="71"/>
        <v>0</v>
      </c>
      <c r="AP793" s="1"/>
      <c r="AQ793" s="1"/>
      <c r="AR793" s="1"/>
      <c r="AS793" s="1"/>
      <c r="AT793" s="1"/>
      <c r="AU793" s="211"/>
    </row>
    <row r="794" spans="1:47" ht="293.25" x14ac:dyDescent="0.2">
      <c r="A794" s="1">
        <v>304</v>
      </c>
      <c r="B794" s="1" t="str">
        <f t="shared" si="67"/>
        <v>3075-304</v>
      </c>
      <c r="C794" s="99" t="s">
        <v>2294</v>
      </c>
      <c r="D794" s="100" t="s">
        <v>2295</v>
      </c>
      <c r="E794" s="100" t="s">
        <v>2578</v>
      </c>
      <c r="F794" s="99" t="s">
        <v>2328</v>
      </c>
      <c r="G794" s="117" t="s">
        <v>2329</v>
      </c>
      <c r="H794" s="102" t="s">
        <v>2579</v>
      </c>
      <c r="I794" s="100" t="s">
        <v>2300</v>
      </c>
      <c r="J794" s="100" t="s">
        <v>2301</v>
      </c>
      <c r="K794" s="100" t="s">
        <v>50</v>
      </c>
      <c r="L794" s="1" t="s">
        <v>2302</v>
      </c>
      <c r="M794" s="1" t="s">
        <v>493</v>
      </c>
      <c r="N794" s="1" t="s">
        <v>494</v>
      </c>
      <c r="O794" s="100" t="s">
        <v>2369</v>
      </c>
      <c r="P794" s="1" t="s">
        <v>3189</v>
      </c>
      <c r="Q794" s="106">
        <v>54686940</v>
      </c>
      <c r="R794" s="122">
        <v>1</v>
      </c>
      <c r="S794" s="104">
        <v>54686940</v>
      </c>
      <c r="T794" s="1" t="s">
        <v>2323</v>
      </c>
      <c r="U794" s="1" t="s">
        <v>2323</v>
      </c>
      <c r="V794" s="31" t="s">
        <v>620</v>
      </c>
      <c r="W794" s="105" t="s">
        <v>50</v>
      </c>
      <c r="X794" s="123" t="s">
        <v>3190</v>
      </c>
      <c r="Y794" s="31">
        <v>43138</v>
      </c>
      <c r="Z794" s="108">
        <v>54686940</v>
      </c>
      <c r="AA794" s="107" t="s">
        <v>2889</v>
      </c>
      <c r="AB794" s="20">
        <v>642</v>
      </c>
      <c r="AC794" s="31">
        <v>43140</v>
      </c>
      <c r="AD794" s="108">
        <v>54686940</v>
      </c>
      <c r="AE794" s="109">
        <f t="shared" si="72"/>
        <v>0</v>
      </c>
      <c r="AF794" s="20">
        <v>1381</v>
      </c>
      <c r="AG794" s="31">
        <v>43150</v>
      </c>
      <c r="AH794" s="108">
        <v>54686940</v>
      </c>
      <c r="AI794" s="1" t="s">
        <v>3191</v>
      </c>
      <c r="AJ794" s="1">
        <v>1284</v>
      </c>
      <c r="AK794" s="109">
        <f t="shared" si="69"/>
        <v>0</v>
      </c>
      <c r="AL794" s="108">
        <v>54686940</v>
      </c>
      <c r="AM794" s="108">
        <f t="shared" si="70"/>
        <v>0</v>
      </c>
      <c r="AN794" s="1" t="s">
        <v>2308</v>
      </c>
      <c r="AO794" s="108">
        <f t="shared" si="71"/>
        <v>0</v>
      </c>
      <c r="AP794" s="1"/>
      <c r="AQ794" s="1"/>
      <c r="AR794" s="1"/>
      <c r="AS794" s="1"/>
      <c r="AT794" s="1"/>
      <c r="AU794" s="211"/>
    </row>
    <row r="795" spans="1:47" ht="293.25" x14ac:dyDescent="0.2">
      <c r="A795" s="1">
        <v>305</v>
      </c>
      <c r="B795" s="1" t="str">
        <f t="shared" si="67"/>
        <v>3075-305</v>
      </c>
      <c r="C795" s="99" t="s">
        <v>2294</v>
      </c>
      <c r="D795" s="100" t="s">
        <v>2295</v>
      </c>
      <c r="E795" s="100" t="s">
        <v>2578</v>
      </c>
      <c r="F795" s="99" t="s">
        <v>2328</v>
      </c>
      <c r="G795" s="117" t="s">
        <v>2329</v>
      </c>
      <c r="H795" s="102" t="s">
        <v>2579</v>
      </c>
      <c r="I795" s="100" t="s">
        <v>2300</v>
      </c>
      <c r="J795" s="100" t="s">
        <v>2301</v>
      </c>
      <c r="K795" s="100" t="s">
        <v>50</v>
      </c>
      <c r="L795" s="1" t="s">
        <v>2302</v>
      </c>
      <c r="M795" s="1" t="s">
        <v>493</v>
      </c>
      <c r="N795" s="1" t="s">
        <v>494</v>
      </c>
      <c r="O795" s="100" t="s">
        <v>2369</v>
      </c>
      <c r="P795" s="1" t="s">
        <v>3192</v>
      </c>
      <c r="Q795" s="106">
        <v>54686940</v>
      </c>
      <c r="R795" s="122">
        <v>1</v>
      </c>
      <c r="S795" s="104">
        <v>54686940</v>
      </c>
      <c r="T795" s="1" t="s">
        <v>2323</v>
      </c>
      <c r="U795" s="1" t="s">
        <v>2323</v>
      </c>
      <c r="V795" s="31" t="s">
        <v>620</v>
      </c>
      <c r="W795" s="105" t="s">
        <v>50</v>
      </c>
      <c r="X795" s="123" t="s">
        <v>3193</v>
      </c>
      <c r="Y795" s="31">
        <v>43138</v>
      </c>
      <c r="Z795" s="108">
        <v>54686940</v>
      </c>
      <c r="AA795" s="107" t="s">
        <v>2889</v>
      </c>
      <c r="AB795" s="20">
        <v>637</v>
      </c>
      <c r="AC795" s="31">
        <v>43139</v>
      </c>
      <c r="AD795" s="108">
        <v>54686940</v>
      </c>
      <c r="AE795" s="109">
        <f t="shared" si="72"/>
        <v>0</v>
      </c>
      <c r="AF795" s="20">
        <v>1375</v>
      </c>
      <c r="AG795" s="31">
        <v>43147</v>
      </c>
      <c r="AH795" s="108">
        <v>54686940</v>
      </c>
      <c r="AI795" s="1" t="s">
        <v>3194</v>
      </c>
      <c r="AJ795" s="1">
        <v>1283</v>
      </c>
      <c r="AK795" s="109">
        <f t="shared" si="69"/>
        <v>0</v>
      </c>
      <c r="AL795" s="108">
        <v>54686940</v>
      </c>
      <c r="AM795" s="108">
        <f t="shared" si="70"/>
        <v>0</v>
      </c>
      <c r="AN795" s="1" t="s">
        <v>2308</v>
      </c>
      <c r="AO795" s="108">
        <f t="shared" si="71"/>
        <v>0</v>
      </c>
      <c r="AP795" s="1"/>
      <c r="AQ795" s="1"/>
      <c r="AR795" s="1"/>
      <c r="AS795" s="1"/>
      <c r="AT795" s="1"/>
      <c r="AU795" s="211"/>
    </row>
    <row r="796" spans="1:47" ht="293.25" x14ac:dyDescent="0.2">
      <c r="A796" s="1">
        <v>306</v>
      </c>
      <c r="B796" s="1" t="str">
        <f t="shared" si="67"/>
        <v>3075-306</v>
      </c>
      <c r="C796" s="99" t="s">
        <v>2294</v>
      </c>
      <c r="D796" s="100" t="s">
        <v>2295</v>
      </c>
      <c r="E796" s="100" t="s">
        <v>2578</v>
      </c>
      <c r="F796" s="99" t="s">
        <v>2328</v>
      </c>
      <c r="G796" s="117" t="s">
        <v>2329</v>
      </c>
      <c r="H796" s="102" t="s">
        <v>2579</v>
      </c>
      <c r="I796" s="100" t="s">
        <v>2300</v>
      </c>
      <c r="J796" s="100" t="s">
        <v>2301</v>
      </c>
      <c r="K796" s="100" t="s">
        <v>50</v>
      </c>
      <c r="L796" s="1" t="s">
        <v>2302</v>
      </c>
      <c r="M796" s="1" t="s">
        <v>493</v>
      </c>
      <c r="N796" s="1" t="s">
        <v>494</v>
      </c>
      <c r="O796" s="100" t="s">
        <v>2369</v>
      </c>
      <c r="P796" s="1" t="s">
        <v>3195</v>
      </c>
      <c r="Q796" s="106">
        <v>54686940</v>
      </c>
      <c r="R796" s="122">
        <v>1</v>
      </c>
      <c r="S796" s="104">
        <v>54686940</v>
      </c>
      <c r="T796" s="1" t="s">
        <v>2323</v>
      </c>
      <c r="U796" s="1" t="s">
        <v>2323</v>
      </c>
      <c r="V796" s="31" t="s">
        <v>498</v>
      </c>
      <c r="W796" s="105" t="s">
        <v>50</v>
      </c>
      <c r="X796" s="123" t="s">
        <v>3196</v>
      </c>
      <c r="Y796" s="31">
        <v>43138</v>
      </c>
      <c r="Z796" s="108">
        <v>54686940</v>
      </c>
      <c r="AA796" s="107" t="s">
        <v>2889</v>
      </c>
      <c r="AB796" s="20">
        <v>636</v>
      </c>
      <c r="AC796" s="31">
        <v>43139</v>
      </c>
      <c r="AD796" s="108">
        <v>54686940</v>
      </c>
      <c r="AE796" s="109">
        <f t="shared" si="72"/>
        <v>0</v>
      </c>
      <c r="AF796" s="20">
        <v>1481</v>
      </c>
      <c r="AG796" s="31">
        <v>43160</v>
      </c>
      <c r="AH796" s="108">
        <v>54686940</v>
      </c>
      <c r="AI796" s="1" t="s">
        <v>3197</v>
      </c>
      <c r="AJ796" s="1">
        <v>1418</v>
      </c>
      <c r="AK796" s="109">
        <f t="shared" si="69"/>
        <v>0</v>
      </c>
      <c r="AL796" s="108">
        <v>54686940</v>
      </c>
      <c r="AM796" s="108">
        <f t="shared" si="70"/>
        <v>0</v>
      </c>
      <c r="AN796" s="1" t="s">
        <v>2308</v>
      </c>
      <c r="AO796" s="108">
        <f t="shared" si="71"/>
        <v>0</v>
      </c>
      <c r="AP796" s="1"/>
      <c r="AQ796" s="1"/>
      <c r="AR796" s="1"/>
      <c r="AS796" s="1"/>
      <c r="AT796" s="1"/>
      <c r="AU796" s="211"/>
    </row>
    <row r="797" spans="1:47" ht="293.25" x14ac:dyDescent="0.2">
      <c r="A797" s="1">
        <v>307</v>
      </c>
      <c r="B797" s="1" t="str">
        <f t="shared" si="67"/>
        <v>3075-307</v>
      </c>
      <c r="C797" s="99" t="s">
        <v>2294</v>
      </c>
      <c r="D797" s="100" t="s">
        <v>2295</v>
      </c>
      <c r="E797" s="100" t="s">
        <v>2578</v>
      </c>
      <c r="F797" s="99" t="s">
        <v>2328</v>
      </c>
      <c r="G797" s="117" t="s">
        <v>2329</v>
      </c>
      <c r="H797" s="102" t="s">
        <v>2579</v>
      </c>
      <c r="I797" s="100" t="s">
        <v>2300</v>
      </c>
      <c r="J797" s="100" t="s">
        <v>2301</v>
      </c>
      <c r="K797" s="100" t="s">
        <v>50</v>
      </c>
      <c r="L797" s="1" t="s">
        <v>2302</v>
      </c>
      <c r="M797" s="1" t="s">
        <v>493</v>
      </c>
      <c r="N797" s="1" t="s">
        <v>494</v>
      </c>
      <c r="O797" s="100" t="s">
        <v>2369</v>
      </c>
      <c r="P797" s="1" t="s">
        <v>3198</v>
      </c>
      <c r="Q797" s="106">
        <v>54686940</v>
      </c>
      <c r="R797" s="122">
        <v>1</v>
      </c>
      <c r="S797" s="104">
        <v>54686940</v>
      </c>
      <c r="T797" s="1" t="s">
        <v>2323</v>
      </c>
      <c r="U797" s="1" t="s">
        <v>2323</v>
      </c>
      <c r="V797" s="31" t="s">
        <v>498</v>
      </c>
      <c r="W797" s="105" t="s">
        <v>50</v>
      </c>
      <c r="X797" s="123" t="s">
        <v>3199</v>
      </c>
      <c r="Y797" s="31">
        <v>43138</v>
      </c>
      <c r="Z797" s="108">
        <v>54686940</v>
      </c>
      <c r="AA797" s="107" t="s">
        <v>2889</v>
      </c>
      <c r="AB797" s="20">
        <v>638</v>
      </c>
      <c r="AC797" s="31">
        <v>43139</v>
      </c>
      <c r="AD797" s="108">
        <v>54686940</v>
      </c>
      <c r="AE797" s="109">
        <f t="shared" si="72"/>
        <v>0</v>
      </c>
      <c r="AF797" s="20">
        <v>1583</v>
      </c>
      <c r="AG797" s="31">
        <v>43174</v>
      </c>
      <c r="AH797" s="108">
        <v>54686940</v>
      </c>
      <c r="AI797" s="1" t="s">
        <v>3200</v>
      </c>
      <c r="AJ797" s="1">
        <v>1510</v>
      </c>
      <c r="AK797" s="109">
        <f t="shared" si="69"/>
        <v>0</v>
      </c>
      <c r="AL797" s="108">
        <v>54686940</v>
      </c>
      <c r="AM797" s="108">
        <f t="shared" si="70"/>
        <v>0</v>
      </c>
      <c r="AN797" s="1" t="s">
        <v>2308</v>
      </c>
      <c r="AO797" s="108">
        <f t="shared" si="71"/>
        <v>0</v>
      </c>
      <c r="AP797" s="1"/>
      <c r="AQ797" s="1"/>
      <c r="AR797" s="1"/>
      <c r="AS797" s="1"/>
      <c r="AT797" s="1"/>
      <c r="AU797" s="211"/>
    </row>
    <row r="798" spans="1:47" ht="153" x14ac:dyDescent="0.2">
      <c r="A798" s="1">
        <v>308</v>
      </c>
      <c r="B798" s="1" t="str">
        <f t="shared" si="67"/>
        <v>3075-308</v>
      </c>
      <c r="C798" s="99" t="s">
        <v>2294</v>
      </c>
      <c r="D798" s="100" t="s">
        <v>2295</v>
      </c>
      <c r="E798" s="100" t="s">
        <v>2296</v>
      </c>
      <c r="F798" s="99" t="s">
        <v>2318</v>
      </c>
      <c r="G798" s="110" t="s">
        <v>3201</v>
      </c>
      <c r="H798" s="115" t="s">
        <v>3202</v>
      </c>
      <c r="I798" s="100" t="s">
        <v>2300</v>
      </c>
      <c r="J798" s="100" t="s">
        <v>2301</v>
      </c>
      <c r="K798" s="116" t="s">
        <v>50</v>
      </c>
      <c r="L798" s="1" t="s">
        <v>2302</v>
      </c>
      <c r="M798" s="1" t="s">
        <v>493</v>
      </c>
      <c r="N798" s="1" t="s">
        <v>494</v>
      </c>
      <c r="O798" s="100" t="s">
        <v>2353</v>
      </c>
      <c r="P798" s="100" t="s">
        <v>3203</v>
      </c>
      <c r="Q798" s="106">
        <v>614764</v>
      </c>
      <c r="R798" s="1">
        <v>1</v>
      </c>
      <c r="S798" s="104">
        <v>614764</v>
      </c>
      <c r="T798" s="1" t="s">
        <v>2323</v>
      </c>
      <c r="U798" s="1" t="s">
        <v>2323</v>
      </c>
      <c r="V798" s="31" t="s">
        <v>507</v>
      </c>
      <c r="W798" s="105">
        <v>1</v>
      </c>
      <c r="X798" s="123" t="s">
        <v>3204</v>
      </c>
      <c r="Y798" s="31">
        <v>43138</v>
      </c>
      <c r="Z798" s="108">
        <v>614764</v>
      </c>
      <c r="AA798" s="107" t="s">
        <v>3205</v>
      </c>
      <c r="AB798" s="20">
        <v>643</v>
      </c>
      <c r="AC798" s="31">
        <v>43140</v>
      </c>
      <c r="AD798" s="108">
        <v>614764</v>
      </c>
      <c r="AE798" s="109">
        <f t="shared" si="72"/>
        <v>0</v>
      </c>
      <c r="AF798" s="20">
        <v>1779</v>
      </c>
      <c r="AG798" s="31">
        <v>43202</v>
      </c>
      <c r="AH798" s="108">
        <v>614764</v>
      </c>
      <c r="AI798" s="1" t="s">
        <v>3206</v>
      </c>
      <c r="AJ798" s="1">
        <v>1286</v>
      </c>
      <c r="AK798" s="109">
        <f t="shared" si="69"/>
        <v>0</v>
      </c>
      <c r="AL798" s="108">
        <v>614764</v>
      </c>
      <c r="AM798" s="108">
        <f t="shared" si="70"/>
        <v>0</v>
      </c>
      <c r="AN798" s="1" t="s">
        <v>2308</v>
      </c>
      <c r="AO798" s="108">
        <f t="shared" si="71"/>
        <v>0</v>
      </c>
      <c r="AP798" s="1"/>
      <c r="AQ798" s="1"/>
      <c r="AR798" s="1"/>
      <c r="AS798" s="1"/>
      <c r="AT798" s="1"/>
      <c r="AU798" s="211"/>
    </row>
    <row r="799" spans="1:47" ht="293.25" x14ac:dyDescent="0.2">
      <c r="A799" s="1">
        <v>309</v>
      </c>
      <c r="B799" s="1" t="str">
        <f t="shared" si="67"/>
        <v>3075-309</v>
      </c>
      <c r="C799" s="99" t="s">
        <v>2294</v>
      </c>
      <c r="D799" s="100" t="s">
        <v>2295</v>
      </c>
      <c r="E799" s="100" t="s">
        <v>2578</v>
      </c>
      <c r="F799" s="99" t="s">
        <v>2328</v>
      </c>
      <c r="G799" s="117" t="s">
        <v>2329</v>
      </c>
      <c r="H799" s="102" t="s">
        <v>2579</v>
      </c>
      <c r="I799" s="100" t="s">
        <v>2300</v>
      </c>
      <c r="J799" s="100" t="s">
        <v>2301</v>
      </c>
      <c r="K799" s="100" t="s">
        <v>50</v>
      </c>
      <c r="L799" s="1" t="s">
        <v>2302</v>
      </c>
      <c r="M799" s="1" t="s">
        <v>493</v>
      </c>
      <c r="N799" s="1" t="s">
        <v>494</v>
      </c>
      <c r="O799" s="100" t="s">
        <v>2369</v>
      </c>
      <c r="P799" s="1" t="s">
        <v>3207</v>
      </c>
      <c r="Q799" s="106">
        <v>54886940</v>
      </c>
      <c r="R799" s="122">
        <v>1</v>
      </c>
      <c r="S799" s="104">
        <v>54686940</v>
      </c>
      <c r="T799" s="1" t="s">
        <v>2323</v>
      </c>
      <c r="U799" s="1" t="s">
        <v>2323</v>
      </c>
      <c r="V799" s="31" t="s">
        <v>620</v>
      </c>
      <c r="W799" s="105" t="s">
        <v>50</v>
      </c>
      <c r="X799" s="123" t="s">
        <v>3208</v>
      </c>
      <c r="Y799" s="31">
        <v>43140</v>
      </c>
      <c r="Z799" s="106">
        <v>54686940</v>
      </c>
      <c r="AA799" s="107" t="s">
        <v>2889</v>
      </c>
      <c r="AB799" s="20">
        <v>646</v>
      </c>
      <c r="AC799" s="31">
        <v>43144</v>
      </c>
      <c r="AD799" s="108">
        <v>54686940</v>
      </c>
      <c r="AE799" s="109">
        <f t="shared" si="72"/>
        <v>0</v>
      </c>
      <c r="AF799" s="20">
        <v>1461</v>
      </c>
      <c r="AG799" s="31">
        <v>43154</v>
      </c>
      <c r="AH799" s="108">
        <v>54686940</v>
      </c>
      <c r="AI799" s="1" t="s">
        <v>3154</v>
      </c>
      <c r="AJ799" s="1">
        <v>1356</v>
      </c>
      <c r="AK799" s="109">
        <f t="shared" si="69"/>
        <v>0</v>
      </c>
      <c r="AL799" s="108">
        <v>54686940</v>
      </c>
      <c r="AM799" s="108">
        <f t="shared" si="70"/>
        <v>0</v>
      </c>
      <c r="AN799" s="1" t="s">
        <v>2308</v>
      </c>
      <c r="AO799" s="108">
        <f t="shared" si="71"/>
        <v>0</v>
      </c>
      <c r="AP799" s="1"/>
      <c r="AQ799" s="1"/>
      <c r="AR799" s="1"/>
      <c r="AS799" s="1"/>
      <c r="AT799" s="1"/>
      <c r="AU799" s="211"/>
    </row>
    <row r="800" spans="1:47" ht="293.25" x14ac:dyDescent="0.2">
      <c r="A800" s="1">
        <v>310</v>
      </c>
      <c r="B800" s="1" t="str">
        <f t="shared" si="67"/>
        <v>3075-310</v>
      </c>
      <c r="C800" s="99" t="s">
        <v>2294</v>
      </c>
      <c r="D800" s="100" t="s">
        <v>2295</v>
      </c>
      <c r="E800" s="100" t="s">
        <v>2578</v>
      </c>
      <c r="F800" s="99" t="s">
        <v>2328</v>
      </c>
      <c r="G800" s="117" t="s">
        <v>2329</v>
      </c>
      <c r="H800" s="102" t="s">
        <v>2579</v>
      </c>
      <c r="I800" s="100" t="s">
        <v>2300</v>
      </c>
      <c r="J800" s="100" t="s">
        <v>2301</v>
      </c>
      <c r="K800" s="100" t="s">
        <v>50</v>
      </c>
      <c r="L800" s="1" t="s">
        <v>2302</v>
      </c>
      <c r="M800" s="1" t="s">
        <v>493</v>
      </c>
      <c r="N800" s="1" t="s">
        <v>494</v>
      </c>
      <c r="O800" s="100" t="s">
        <v>2369</v>
      </c>
      <c r="P800" s="1" t="s">
        <v>3209</v>
      </c>
      <c r="Q800" s="106">
        <v>54886940</v>
      </c>
      <c r="R800" s="122">
        <v>1</v>
      </c>
      <c r="S800" s="104">
        <v>54686940</v>
      </c>
      <c r="T800" s="1" t="s">
        <v>2323</v>
      </c>
      <c r="U800" s="1" t="s">
        <v>2323</v>
      </c>
      <c r="V800" s="31" t="s">
        <v>498</v>
      </c>
      <c r="W800" s="105" t="s">
        <v>50</v>
      </c>
      <c r="X800" s="123" t="s">
        <v>3210</v>
      </c>
      <c r="Y800" s="31">
        <v>43140</v>
      </c>
      <c r="Z800" s="106">
        <v>54686940</v>
      </c>
      <c r="AA800" s="107" t="s">
        <v>2889</v>
      </c>
      <c r="AB800" s="20">
        <v>647</v>
      </c>
      <c r="AC800" s="31">
        <v>43144</v>
      </c>
      <c r="AD800" s="108">
        <v>54686940</v>
      </c>
      <c r="AE800" s="109">
        <f t="shared" si="72"/>
        <v>0</v>
      </c>
      <c r="AF800" s="20">
        <v>1478</v>
      </c>
      <c r="AG800" s="31">
        <v>43160</v>
      </c>
      <c r="AH800" s="108">
        <v>54686940</v>
      </c>
      <c r="AI800" s="1" t="s">
        <v>3211</v>
      </c>
      <c r="AJ800" s="1">
        <v>1413</v>
      </c>
      <c r="AK800" s="109">
        <f t="shared" si="69"/>
        <v>0</v>
      </c>
      <c r="AL800" s="108">
        <v>54686940</v>
      </c>
      <c r="AM800" s="108">
        <f t="shared" si="70"/>
        <v>0</v>
      </c>
      <c r="AN800" s="1" t="s">
        <v>2308</v>
      </c>
      <c r="AO800" s="108">
        <f t="shared" si="71"/>
        <v>0</v>
      </c>
      <c r="AP800" s="1"/>
      <c r="AQ800" s="1"/>
      <c r="AR800" s="1"/>
      <c r="AS800" s="1"/>
      <c r="AT800" s="1"/>
      <c r="AU800" s="211"/>
    </row>
    <row r="801" spans="1:47" ht="293.25" x14ac:dyDescent="0.2">
      <c r="A801" s="1">
        <v>311</v>
      </c>
      <c r="B801" s="1" t="str">
        <f t="shared" si="67"/>
        <v>3075-311</v>
      </c>
      <c r="C801" s="99" t="s">
        <v>2294</v>
      </c>
      <c r="D801" s="100" t="s">
        <v>2295</v>
      </c>
      <c r="E801" s="100" t="s">
        <v>2578</v>
      </c>
      <c r="F801" s="99" t="s">
        <v>2328</v>
      </c>
      <c r="G801" s="117" t="s">
        <v>2329</v>
      </c>
      <c r="H801" s="102" t="s">
        <v>2579</v>
      </c>
      <c r="I801" s="100" t="s">
        <v>2300</v>
      </c>
      <c r="J801" s="100" t="s">
        <v>2301</v>
      </c>
      <c r="K801" s="100" t="s">
        <v>50</v>
      </c>
      <c r="L801" s="1" t="s">
        <v>2302</v>
      </c>
      <c r="M801" s="1" t="s">
        <v>493</v>
      </c>
      <c r="N801" s="1" t="s">
        <v>494</v>
      </c>
      <c r="O801" s="100" t="s">
        <v>2369</v>
      </c>
      <c r="P801" s="1" t="s">
        <v>3212</v>
      </c>
      <c r="Q801" s="106">
        <v>54886940</v>
      </c>
      <c r="R801" s="122">
        <v>1</v>
      </c>
      <c r="S801" s="104">
        <v>54686940</v>
      </c>
      <c r="T801" s="1" t="s">
        <v>2323</v>
      </c>
      <c r="U801" s="1" t="s">
        <v>2323</v>
      </c>
      <c r="V801" s="31" t="s">
        <v>2211</v>
      </c>
      <c r="W801" s="105" t="s">
        <v>50</v>
      </c>
      <c r="X801" s="123" t="s">
        <v>3213</v>
      </c>
      <c r="Y801" s="31">
        <v>43140</v>
      </c>
      <c r="Z801" s="106">
        <v>54686940</v>
      </c>
      <c r="AA801" s="107" t="s">
        <v>2889</v>
      </c>
      <c r="AB801" s="20">
        <v>645</v>
      </c>
      <c r="AC801" s="31">
        <v>43144</v>
      </c>
      <c r="AD801" s="108">
        <v>54686940</v>
      </c>
      <c r="AE801" s="109">
        <f t="shared" si="72"/>
        <v>0</v>
      </c>
      <c r="AF801" s="20">
        <v>1852</v>
      </c>
      <c r="AG801" s="31">
        <v>43223</v>
      </c>
      <c r="AH801" s="108">
        <v>54686940</v>
      </c>
      <c r="AI801" s="1" t="s">
        <v>3214</v>
      </c>
      <c r="AJ801" s="1">
        <v>1960</v>
      </c>
      <c r="AK801" s="109">
        <f t="shared" si="69"/>
        <v>0</v>
      </c>
      <c r="AL801" s="108">
        <v>54686940</v>
      </c>
      <c r="AM801" s="108">
        <f t="shared" si="70"/>
        <v>0</v>
      </c>
      <c r="AN801" s="1" t="s">
        <v>2308</v>
      </c>
      <c r="AO801" s="108">
        <f t="shared" si="71"/>
        <v>0</v>
      </c>
      <c r="AP801" s="1"/>
      <c r="AQ801" s="1"/>
      <c r="AR801" s="1"/>
      <c r="AS801" s="1"/>
      <c r="AT801" s="1"/>
      <c r="AU801" s="211"/>
    </row>
    <row r="802" spans="1:47" ht="216.75" x14ac:dyDescent="0.2">
      <c r="A802" s="1">
        <v>312</v>
      </c>
      <c r="B802" s="1" t="str">
        <f t="shared" si="67"/>
        <v>3075-312</v>
      </c>
      <c r="C802" s="99" t="s">
        <v>2294</v>
      </c>
      <c r="D802" s="100" t="s">
        <v>2295</v>
      </c>
      <c r="E802" s="100" t="s">
        <v>2327</v>
      </c>
      <c r="F802" s="99" t="s">
        <v>2328</v>
      </c>
      <c r="G802" s="101" t="s">
        <v>2329</v>
      </c>
      <c r="H802" s="102" t="s">
        <v>2330</v>
      </c>
      <c r="I802" s="100" t="s">
        <v>2300</v>
      </c>
      <c r="J802" s="100" t="s">
        <v>2331</v>
      </c>
      <c r="K802" s="100" t="s">
        <v>50</v>
      </c>
      <c r="L802" s="1" t="s">
        <v>2302</v>
      </c>
      <c r="M802" s="1" t="s">
        <v>493</v>
      </c>
      <c r="N802" s="1" t="s">
        <v>494</v>
      </c>
      <c r="O802" s="100" t="s">
        <v>2321</v>
      </c>
      <c r="P802" s="100" t="s">
        <v>3215</v>
      </c>
      <c r="Q802" s="103">
        <v>39062100</v>
      </c>
      <c r="R802" s="1">
        <v>1</v>
      </c>
      <c r="S802" s="104">
        <v>39062100</v>
      </c>
      <c r="T802" s="1" t="s">
        <v>2323</v>
      </c>
      <c r="U802" s="1" t="s">
        <v>2323</v>
      </c>
      <c r="V802" s="31" t="s">
        <v>498</v>
      </c>
      <c r="W802" s="105" t="s">
        <v>50</v>
      </c>
      <c r="X802" s="123" t="s">
        <v>3216</v>
      </c>
      <c r="Y802" s="31">
        <v>43140</v>
      </c>
      <c r="Z802" s="106">
        <v>39062100</v>
      </c>
      <c r="AA802" s="107" t="s">
        <v>3172</v>
      </c>
      <c r="AB802" s="20">
        <v>644</v>
      </c>
      <c r="AC802" s="31">
        <v>43144</v>
      </c>
      <c r="AD802" s="108">
        <v>39062100</v>
      </c>
      <c r="AE802" s="109">
        <f t="shared" si="72"/>
        <v>0</v>
      </c>
      <c r="AF802" s="20">
        <v>1581</v>
      </c>
      <c r="AG802" s="31">
        <v>43174</v>
      </c>
      <c r="AH802" s="108">
        <v>39062100</v>
      </c>
      <c r="AI802" s="1" t="s">
        <v>3217</v>
      </c>
      <c r="AJ802" s="1">
        <v>1540</v>
      </c>
      <c r="AK802" s="109">
        <f t="shared" si="69"/>
        <v>0</v>
      </c>
      <c r="AL802" s="108">
        <v>0</v>
      </c>
      <c r="AM802" s="108">
        <f t="shared" si="70"/>
        <v>39062100</v>
      </c>
      <c r="AN802" s="1" t="s">
        <v>2308</v>
      </c>
      <c r="AO802" s="108">
        <f t="shared" si="71"/>
        <v>0</v>
      </c>
      <c r="AP802" s="1"/>
      <c r="AQ802" s="1"/>
      <c r="AR802" s="1"/>
      <c r="AS802" s="1"/>
      <c r="AT802" s="1"/>
      <c r="AU802" s="211"/>
    </row>
    <row r="803" spans="1:47" ht="293.25" x14ac:dyDescent="0.2">
      <c r="A803" s="1">
        <v>313</v>
      </c>
      <c r="B803" s="1" t="str">
        <f t="shared" si="67"/>
        <v>3075-313</v>
      </c>
      <c r="C803" s="99" t="s">
        <v>2294</v>
      </c>
      <c r="D803" s="100" t="s">
        <v>2295</v>
      </c>
      <c r="E803" s="100" t="s">
        <v>2578</v>
      </c>
      <c r="F803" s="99" t="s">
        <v>2328</v>
      </c>
      <c r="G803" s="117" t="s">
        <v>2329</v>
      </c>
      <c r="H803" s="102" t="s">
        <v>2579</v>
      </c>
      <c r="I803" s="100" t="s">
        <v>2300</v>
      </c>
      <c r="J803" s="100" t="s">
        <v>2301</v>
      </c>
      <c r="K803" s="100" t="s">
        <v>50</v>
      </c>
      <c r="L803" s="1" t="s">
        <v>2302</v>
      </c>
      <c r="M803" s="1" t="s">
        <v>493</v>
      </c>
      <c r="N803" s="1" t="s">
        <v>494</v>
      </c>
      <c r="O803" s="100" t="s">
        <v>2369</v>
      </c>
      <c r="P803" s="1" t="s">
        <v>3218</v>
      </c>
      <c r="Q803" s="106">
        <v>54686940</v>
      </c>
      <c r="R803" s="122">
        <v>1</v>
      </c>
      <c r="S803" s="104">
        <v>54686940</v>
      </c>
      <c r="T803" s="1" t="s">
        <v>2323</v>
      </c>
      <c r="U803" s="1" t="s">
        <v>2323</v>
      </c>
      <c r="V803" s="31" t="s">
        <v>507</v>
      </c>
      <c r="W803" s="105" t="s">
        <v>50</v>
      </c>
      <c r="X803" s="123" t="s">
        <v>3219</v>
      </c>
      <c r="Y803" s="31">
        <v>43147</v>
      </c>
      <c r="Z803" s="106">
        <v>54686940</v>
      </c>
      <c r="AA803" s="107" t="s">
        <v>2889</v>
      </c>
      <c r="AB803" s="20">
        <v>650</v>
      </c>
      <c r="AC803" s="31">
        <v>43150</v>
      </c>
      <c r="AD803" s="108">
        <v>54686940</v>
      </c>
      <c r="AE803" s="109">
        <f t="shared" si="72"/>
        <v>0</v>
      </c>
      <c r="AF803" s="20">
        <v>1737</v>
      </c>
      <c r="AG803" s="31">
        <v>43196</v>
      </c>
      <c r="AH803" s="108">
        <v>54686940</v>
      </c>
      <c r="AI803" s="1" t="s">
        <v>3220</v>
      </c>
      <c r="AJ803" s="1">
        <v>1748</v>
      </c>
      <c r="AK803" s="109">
        <f t="shared" si="69"/>
        <v>0</v>
      </c>
      <c r="AL803" s="108">
        <v>54686940</v>
      </c>
      <c r="AM803" s="108">
        <f t="shared" si="70"/>
        <v>0</v>
      </c>
      <c r="AN803" s="1" t="s">
        <v>2308</v>
      </c>
      <c r="AO803" s="108">
        <f t="shared" si="71"/>
        <v>0</v>
      </c>
      <c r="AP803" s="1"/>
      <c r="AQ803" s="1"/>
      <c r="AR803" s="1"/>
      <c r="AS803" s="1"/>
      <c r="AT803" s="1"/>
      <c r="AU803" s="211"/>
    </row>
    <row r="804" spans="1:47" ht="293.25" x14ac:dyDescent="0.2">
      <c r="A804" s="1">
        <v>314</v>
      </c>
      <c r="B804" s="1" t="str">
        <f t="shared" si="67"/>
        <v>3075-314</v>
      </c>
      <c r="C804" s="99" t="s">
        <v>2294</v>
      </c>
      <c r="D804" s="100" t="s">
        <v>2295</v>
      </c>
      <c r="E804" s="100" t="s">
        <v>2578</v>
      </c>
      <c r="F804" s="99" t="s">
        <v>2328</v>
      </c>
      <c r="G804" s="117" t="s">
        <v>2329</v>
      </c>
      <c r="H804" s="102" t="s">
        <v>2579</v>
      </c>
      <c r="I804" s="100" t="s">
        <v>2300</v>
      </c>
      <c r="J804" s="100" t="s">
        <v>2301</v>
      </c>
      <c r="K804" s="100" t="s">
        <v>50</v>
      </c>
      <c r="L804" s="1" t="s">
        <v>2302</v>
      </c>
      <c r="M804" s="1" t="s">
        <v>493</v>
      </c>
      <c r="N804" s="1" t="s">
        <v>494</v>
      </c>
      <c r="O804" s="100" t="s">
        <v>2369</v>
      </c>
      <c r="P804" s="1" t="s">
        <v>3221</v>
      </c>
      <c r="Q804" s="106">
        <v>54686940</v>
      </c>
      <c r="R804" s="122">
        <v>1</v>
      </c>
      <c r="S804" s="104">
        <v>54686940</v>
      </c>
      <c r="T804" s="1" t="s">
        <v>2323</v>
      </c>
      <c r="U804" s="1" t="s">
        <v>2323</v>
      </c>
      <c r="V804" s="31" t="s">
        <v>498</v>
      </c>
      <c r="W804" s="105" t="s">
        <v>50</v>
      </c>
      <c r="X804" s="123" t="s">
        <v>3222</v>
      </c>
      <c r="Y804" s="31">
        <v>43147</v>
      </c>
      <c r="Z804" s="106">
        <v>54686940</v>
      </c>
      <c r="AA804" s="107" t="s">
        <v>2889</v>
      </c>
      <c r="AB804" s="20">
        <v>657</v>
      </c>
      <c r="AC804" s="31">
        <v>43153</v>
      </c>
      <c r="AD804" s="108">
        <v>54686940</v>
      </c>
      <c r="AE804" s="109">
        <f t="shared" si="72"/>
        <v>0</v>
      </c>
      <c r="AF804" s="20">
        <v>1577</v>
      </c>
      <c r="AG804" s="31">
        <v>43174</v>
      </c>
      <c r="AH804" s="108">
        <v>54686940</v>
      </c>
      <c r="AI804" s="1" t="s">
        <v>3223</v>
      </c>
      <c r="AJ804" s="1">
        <v>1511</v>
      </c>
      <c r="AK804" s="109">
        <f t="shared" si="69"/>
        <v>0</v>
      </c>
      <c r="AL804" s="108">
        <v>0</v>
      </c>
      <c r="AM804" s="108">
        <f t="shared" si="70"/>
        <v>54686940</v>
      </c>
      <c r="AN804" s="1" t="s">
        <v>2308</v>
      </c>
      <c r="AO804" s="108">
        <f t="shared" si="71"/>
        <v>0</v>
      </c>
      <c r="AP804" s="1"/>
      <c r="AQ804" s="1"/>
      <c r="AR804" s="1"/>
      <c r="AS804" s="1"/>
      <c r="AT804" s="1"/>
      <c r="AU804" s="211"/>
    </row>
    <row r="805" spans="1:47" ht="293.25" x14ac:dyDescent="0.2">
      <c r="A805" s="1">
        <v>315</v>
      </c>
      <c r="B805" s="1" t="str">
        <f t="shared" si="67"/>
        <v>3075-315</v>
      </c>
      <c r="C805" s="99" t="s">
        <v>2294</v>
      </c>
      <c r="D805" s="100" t="s">
        <v>2295</v>
      </c>
      <c r="E805" s="100" t="s">
        <v>2578</v>
      </c>
      <c r="F805" s="99" t="s">
        <v>2328</v>
      </c>
      <c r="G805" s="117" t="s">
        <v>2329</v>
      </c>
      <c r="H805" s="102" t="s">
        <v>2579</v>
      </c>
      <c r="I805" s="100" t="s">
        <v>2300</v>
      </c>
      <c r="J805" s="100" t="s">
        <v>2301</v>
      </c>
      <c r="K805" s="100" t="s">
        <v>50</v>
      </c>
      <c r="L805" s="1" t="s">
        <v>2302</v>
      </c>
      <c r="M805" s="1" t="s">
        <v>493</v>
      </c>
      <c r="N805" s="1" t="s">
        <v>494</v>
      </c>
      <c r="O805" s="100" t="s">
        <v>2369</v>
      </c>
      <c r="P805" s="1" t="s">
        <v>3224</v>
      </c>
      <c r="Q805" s="106">
        <v>54686940</v>
      </c>
      <c r="R805" s="122">
        <v>1</v>
      </c>
      <c r="S805" s="104">
        <v>54686940</v>
      </c>
      <c r="T805" s="1" t="s">
        <v>2323</v>
      </c>
      <c r="U805" s="1" t="s">
        <v>2323</v>
      </c>
      <c r="V805" s="31" t="s">
        <v>498</v>
      </c>
      <c r="W805" s="105" t="s">
        <v>50</v>
      </c>
      <c r="X805" s="123" t="s">
        <v>3225</v>
      </c>
      <c r="Y805" s="31">
        <v>43147</v>
      </c>
      <c r="Z805" s="106">
        <v>54686940</v>
      </c>
      <c r="AA805" s="107" t="s">
        <v>2889</v>
      </c>
      <c r="AB805" s="20">
        <v>651</v>
      </c>
      <c r="AC805" s="31">
        <v>43150</v>
      </c>
      <c r="AD805" s="108">
        <v>54686940</v>
      </c>
      <c r="AE805" s="109">
        <f t="shared" si="72"/>
        <v>0</v>
      </c>
      <c r="AF805" s="20">
        <v>1578</v>
      </c>
      <c r="AG805" s="31">
        <v>43174</v>
      </c>
      <c r="AH805" s="108">
        <v>54686940</v>
      </c>
      <c r="AI805" s="1" t="s">
        <v>3226</v>
      </c>
      <c r="AJ805" s="1">
        <v>1512</v>
      </c>
      <c r="AK805" s="109">
        <f t="shared" si="69"/>
        <v>0</v>
      </c>
      <c r="AL805" s="108">
        <v>54686940</v>
      </c>
      <c r="AM805" s="108">
        <f t="shared" si="70"/>
        <v>0</v>
      </c>
      <c r="AN805" s="1" t="s">
        <v>2308</v>
      </c>
      <c r="AO805" s="108">
        <f t="shared" si="71"/>
        <v>0</v>
      </c>
      <c r="AP805" s="1"/>
      <c r="AQ805" s="1"/>
      <c r="AR805" s="1"/>
      <c r="AS805" s="1"/>
      <c r="AT805" s="1"/>
      <c r="AU805" s="211"/>
    </row>
    <row r="806" spans="1:47" ht="293.25" x14ac:dyDescent="0.2">
      <c r="A806" s="1">
        <v>316</v>
      </c>
      <c r="B806" s="1" t="str">
        <f t="shared" si="67"/>
        <v>3075-316</v>
      </c>
      <c r="C806" s="99" t="s">
        <v>2294</v>
      </c>
      <c r="D806" s="100" t="s">
        <v>2295</v>
      </c>
      <c r="E806" s="100" t="s">
        <v>2578</v>
      </c>
      <c r="F806" s="99" t="s">
        <v>2328</v>
      </c>
      <c r="G806" s="117" t="s">
        <v>2329</v>
      </c>
      <c r="H806" s="102" t="s">
        <v>2579</v>
      </c>
      <c r="I806" s="100" t="s">
        <v>2300</v>
      </c>
      <c r="J806" s="100" t="s">
        <v>2301</v>
      </c>
      <c r="K806" s="100" t="s">
        <v>50</v>
      </c>
      <c r="L806" s="1" t="s">
        <v>2302</v>
      </c>
      <c r="M806" s="1" t="s">
        <v>493</v>
      </c>
      <c r="N806" s="1" t="s">
        <v>494</v>
      </c>
      <c r="O806" s="100" t="s">
        <v>2369</v>
      </c>
      <c r="P806" s="1" t="s">
        <v>3227</v>
      </c>
      <c r="Q806" s="106">
        <v>54686940</v>
      </c>
      <c r="R806" s="122">
        <v>1</v>
      </c>
      <c r="S806" s="104">
        <v>54686940</v>
      </c>
      <c r="T806" s="1" t="s">
        <v>2323</v>
      </c>
      <c r="U806" s="1" t="s">
        <v>2323</v>
      </c>
      <c r="V806" s="31" t="s">
        <v>498</v>
      </c>
      <c r="W806" s="105" t="s">
        <v>50</v>
      </c>
      <c r="X806" s="123" t="s">
        <v>3228</v>
      </c>
      <c r="Y806" s="31">
        <v>43147</v>
      </c>
      <c r="Z806" s="106">
        <v>54686940</v>
      </c>
      <c r="AA806" s="107" t="s">
        <v>2889</v>
      </c>
      <c r="AB806" s="20">
        <v>652</v>
      </c>
      <c r="AC806" s="31">
        <v>43150</v>
      </c>
      <c r="AD806" s="108">
        <v>54686940</v>
      </c>
      <c r="AE806" s="109">
        <f t="shared" si="72"/>
        <v>0</v>
      </c>
      <c r="AF806" s="20">
        <v>1579</v>
      </c>
      <c r="AG806" s="31">
        <v>43174</v>
      </c>
      <c r="AH806" s="108">
        <v>54686940</v>
      </c>
      <c r="AI806" s="1" t="s">
        <v>3229</v>
      </c>
      <c r="AJ806" s="1">
        <v>1513</v>
      </c>
      <c r="AK806" s="109">
        <f t="shared" si="69"/>
        <v>0</v>
      </c>
      <c r="AL806" s="108">
        <v>54686940</v>
      </c>
      <c r="AM806" s="108">
        <f t="shared" si="70"/>
        <v>0</v>
      </c>
      <c r="AN806" s="1" t="s">
        <v>2308</v>
      </c>
      <c r="AO806" s="108">
        <f t="shared" si="71"/>
        <v>0</v>
      </c>
      <c r="AP806" s="1"/>
      <c r="AQ806" s="1"/>
      <c r="AR806" s="1"/>
      <c r="AS806" s="1"/>
      <c r="AT806" s="1"/>
      <c r="AU806" s="211"/>
    </row>
    <row r="807" spans="1:47" ht="178.5" x14ac:dyDescent="0.2">
      <c r="A807" s="1">
        <v>317</v>
      </c>
      <c r="B807" s="1" t="str">
        <f t="shared" si="67"/>
        <v>3075-317</v>
      </c>
      <c r="C807" s="99" t="s">
        <v>2294</v>
      </c>
      <c r="D807" s="100" t="s">
        <v>2295</v>
      </c>
      <c r="E807" s="99" t="s">
        <v>2351</v>
      </c>
      <c r="F807" s="99" t="s">
        <v>2328</v>
      </c>
      <c r="G807" s="101" t="s">
        <v>2329</v>
      </c>
      <c r="H807" s="102" t="s">
        <v>2352</v>
      </c>
      <c r="I807" s="100" t="s">
        <v>2300</v>
      </c>
      <c r="J807" s="100" t="s">
        <v>2301</v>
      </c>
      <c r="K807" s="100" t="s">
        <v>50</v>
      </c>
      <c r="L807" s="1" t="s">
        <v>2302</v>
      </c>
      <c r="M807" s="1" t="s">
        <v>493</v>
      </c>
      <c r="N807" s="1" t="s">
        <v>494</v>
      </c>
      <c r="O807" s="100" t="s">
        <v>2353</v>
      </c>
      <c r="P807" s="100" t="s">
        <v>2354</v>
      </c>
      <c r="Q807" s="103">
        <v>2031457538</v>
      </c>
      <c r="R807" s="1">
        <v>1</v>
      </c>
      <c r="S807" s="104">
        <v>2031457538</v>
      </c>
      <c r="T807" s="1" t="s">
        <v>2323</v>
      </c>
      <c r="U807" s="1" t="s">
        <v>2323</v>
      </c>
      <c r="V807" s="31" t="s">
        <v>1352</v>
      </c>
      <c r="W807" s="105" t="s">
        <v>50</v>
      </c>
      <c r="X807" s="123" t="s">
        <v>3230</v>
      </c>
      <c r="Y807" s="31">
        <v>43147</v>
      </c>
      <c r="Z807" s="106">
        <v>2031457538</v>
      </c>
      <c r="AA807" s="107" t="s">
        <v>3231</v>
      </c>
      <c r="AB807" s="20">
        <v>649</v>
      </c>
      <c r="AC807" s="31">
        <v>43150</v>
      </c>
      <c r="AD807" s="108">
        <v>2031457538</v>
      </c>
      <c r="AE807" s="109">
        <f t="shared" si="72"/>
        <v>0</v>
      </c>
      <c r="AF807" s="20" t="s">
        <v>2356</v>
      </c>
      <c r="AG807" s="31" t="s">
        <v>2356</v>
      </c>
      <c r="AH807" s="108">
        <v>2017984942</v>
      </c>
      <c r="AI807" s="1" t="s">
        <v>2356</v>
      </c>
      <c r="AJ807" s="1" t="s">
        <v>2356</v>
      </c>
      <c r="AK807" s="109">
        <f t="shared" si="69"/>
        <v>13472596</v>
      </c>
      <c r="AL807" s="108">
        <v>571024003</v>
      </c>
      <c r="AM807" s="108">
        <f t="shared" si="70"/>
        <v>1446960939</v>
      </c>
      <c r="AN807" s="1" t="s">
        <v>2308</v>
      </c>
      <c r="AO807" s="108">
        <f t="shared" si="71"/>
        <v>13472596</v>
      </c>
      <c r="AP807" s="1"/>
      <c r="AQ807" s="1"/>
      <c r="AR807" s="1"/>
      <c r="AS807" s="1"/>
      <c r="AT807" s="1"/>
      <c r="AU807" s="211"/>
    </row>
    <row r="808" spans="1:47" ht="293.25" x14ac:dyDescent="0.2">
      <c r="A808" s="1">
        <v>318</v>
      </c>
      <c r="B808" s="1" t="str">
        <f t="shared" si="67"/>
        <v>3075-318</v>
      </c>
      <c r="C808" s="99" t="s">
        <v>2294</v>
      </c>
      <c r="D808" s="100" t="s">
        <v>2295</v>
      </c>
      <c r="E808" s="100" t="s">
        <v>2578</v>
      </c>
      <c r="F808" s="99" t="s">
        <v>2328</v>
      </c>
      <c r="G808" s="117" t="s">
        <v>2329</v>
      </c>
      <c r="H808" s="102" t="s">
        <v>2579</v>
      </c>
      <c r="I808" s="100" t="s">
        <v>2300</v>
      </c>
      <c r="J808" s="100" t="s">
        <v>2301</v>
      </c>
      <c r="K808" s="100" t="s">
        <v>50</v>
      </c>
      <c r="L808" s="1" t="s">
        <v>2302</v>
      </c>
      <c r="M808" s="1" t="s">
        <v>493</v>
      </c>
      <c r="N808" s="1" t="s">
        <v>494</v>
      </c>
      <c r="O808" s="100" t="s">
        <v>2369</v>
      </c>
      <c r="P808" s="1" t="s">
        <v>3232</v>
      </c>
      <c r="Q808" s="106">
        <v>54686940</v>
      </c>
      <c r="R808" s="122">
        <v>1</v>
      </c>
      <c r="S808" s="104">
        <v>54686940</v>
      </c>
      <c r="T808" s="1" t="s">
        <v>2323</v>
      </c>
      <c r="U808" s="1" t="s">
        <v>2323</v>
      </c>
      <c r="V808" s="31" t="s">
        <v>498</v>
      </c>
      <c r="W808" s="105" t="s">
        <v>50</v>
      </c>
      <c r="X808" s="123" t="s">
        <v>3233</v>
      </c>
      <c r="Y808" s="31">
        <v>43151</v>
      </c>
      <c r="Z808" s="106">
        <v>54686940</v>
      </c>
      <c r="AA808" s="107" t="s">
        <v>2889</v>
      </c>
      <c r="AB808" s="20">
        <v>656</v>
      </c>
      <c r="AC808" s="31">
        <v>43151</v>
      </c>
      <c r="AD808" s="108">
        <v>54686940</v>
      </c>
      <c r="AE808" s="109">
        <f t="shared" si="72"/>
        <v>0</v>
      </c>
      <c r="AF808" s="20">
        <v>1482</v>
      </c>
      <c r="AG808" s="31">
        <v>43160</v>
      </c>
      <c r="AH808" s="108">
        <v>54686940</v>
      </c>
      <c r="AI808" s="1" t="s">
        <v>3234</v>
      </c>
      <c r="AJ808" s="1">
        <v>1462</v>
      </c>
      <c r="AK808" s="109">
        <f t="shared" si="69"/>
        <v>0</v>
      </c>
      <c r="AL808" s="108">
        <v>54686940</v>
      </c>
      <c r="AM808" s="108">
        <f t="shared" si="70"/>
        <v>0</v>
      </c>
      <c r="AN808" s="1" t="s">
        <v>2308</v>
      </c>
      <c r="AO808" s="108">
        <f t="shared" si="71"/>
        <v>0</v>
      </c>
      <c r="AP808" s="1"/>
      <c r="AQ808" s="1"/>
      <c r="AR808" s="1"/>
      <c r="AS808" s="1"/>
      <c r="AT808" s="1"/>
      <c r="AU808" s="211"/>
    </row>
    <row r="809" spans="1:47" ht="293.25" x14ac:dyDescent="0.2">
      <c r="A809" s="1">
        <v>319</v>
      </c>
      <c r="B809" s="1" t="str">
        <f t="shared" si="67"/>
        <v>3075-319</v>
      </c>
      <c r="C809" s="99" t="s">
        <v>2294</v>
      </c>
      <c r="D809" s="100" t="s">
        <v>2295</v>
      </c>
      <c r="E809" s="100" t="s">
        <v>2578</v>
      </c>
      <c r="F809" s="99" t="s">
        <v>2328</v>
      </c>
      <c r="G809" s="117" t="s">
        <v>2329</v>
      </c>
      <c r="H809" s="102" t="s">
        <v>2579</v>
      </c>
      <c r="I809" s="100" t="s">
        <v>2300</v>
      </c>
      <c r="J809" s="100" t="s">
        <v>2301</v>
      </c>
      <c r="K809" s="100" t="s">
        <v>50</v>
      </c>
      <c r="L809" s="1" t="s">
        <v>2302</v>
      </c>
      <c r="M809" s="1" t="s">
        <v>493</v>
      </c>
      <c r="N809" s="1" t="s">
        <v>494</v>
      </c>
      <c r="O809" s="100" t="s">
        <v>2369</v>
      </c>
      <c r="P809" s="1" t="s">
        <v>3235</v>
      </c>
      <c r="Q809" s="106">
        <v>54686940</v>
      </c>
      <c r="R809" s="122">
        <v>1</v>
      </c>
      <c r="S809" s="104">
        <v>54686940</v>
      </c>
      <c r="T809" s="1" t="s">
        <v>2323</v>
      </c>
      <c r="U809" s="1" t="s">
        <v>2323</v>
      </c>
      <c r="V809" s="31" t="s">
        <v>498</v>
      </c>
      <c r="W809" s="105" t="s">
        <v>50</v>
      </c>
      <c r="X809" s="123" t="s">
        <v>3236</v>
      </c>
      <c r="Y809" s="31">
        <v>43152</v>
      </c>
      <c r="Z809" s="106">
        <v>54686940</v>
      </c>
      <c r="AA809" s="107" t="s">
        <v>2889</v>
      </c>
      <c r="AB809" s="20">
        <v>658</v>
      </c>
      <c r="AC809" s="31">
        <v>43154</v>
      </c>
      <c r="AD809" s="108">
        <v>54686940</v>
      </c>
      <c r="AE809" s="109">
        <f t="shared" si="72"/>
        <v>0</v>
      </c>
      <c r="AF809" s="20">
        <v>1610</v>
      </c>
      <c r="AG809" s="31">
        <v>43180</v>
      </c>
      <c r="AH809" s="108">
        <v>54686940</v>
      </c>
      <c r="AI809" s="1" t="s">
        <v>3237</v>
      </c>
      <c r="AJ809" s="1">
        <v>1608</v>
      </c>
      <c r="AK809" s="109">
        <f t="shared" si="69"/>
        <v>0</v>
      </c>
      <c r="AL809" s="108">
        <v>54686940</v>
      </c>
      <c r="AM809" s="108">
        <f t="shared" si="70"/>
        <v>0</v>
      </c>
      <c r="AN809" s="1" t="s">
        <v>2308</v>
      </c>
      <c r="AO809" s="108">
        <f t="shared" si="71"/>
        <v>0</v>
      </c>
      <c r="AP809" s="1"/>
      <c r="AQ809" s="1"/>
      <c r="AR809" s="1"/>
      <c r="AS809" s="1"/>
      <c r="AT809" s="1"/>
      <c r="AU809" s="211"/>
    </row>
    <row r="810" spans="1:47" ht="293.25" x14ac:dyDescent="0.2">
      <c r="A810" s="1">
        <v>320</v>
      </c>
      <c r="B810" s="1" t="str">
        <f t="shared" si="67"/>
        <v>3075-320</v>
      </c>
      <c r="C810" s="99" t="s">
        <v>2294</v>
      </c>
      <c r="D810" s="100" t="s">
        <v>2295</v>
      </c>
      <c r="E810" s="100" t="s">
        <v>2578</v>
      </c>
      <c r="F810" s="99" t="s">
        <v>2328</v>
      </c>
      <c r="G810" s="117" t="s">
        <v>2329</v>
      </c>
      <c r="H810" s="102" t="s">
        <v>2579</v>
      </c>
      <c r="I810" s="100" t="s">
        <v>2300</v>
      </c>
      <c r="J810" s="100" t="s">
        <v>2301</v>
      </c>
      <c r="K810" s="100" t="s">
        <v>50</v>
      </c>
      <c r="L810" s="1" t="s">
        <v>2302</v>
      </c>
      <c r="M810" s="1" t="s">
        <v>493</v>
      </c>
      <c r="N810" s="1" t="s">
        <v>494</v>
      </c>
      <c r="O810" s="100" t="s">
        <v>2369</v>
      </c>
      <c r="P810" s="1" t="s">
        <v>3238</v>
      </c>
      <c r="Q810" s="106">
        <v>54686940</v>
      </c>
      <c r="R810" s="122">
        <v>1</v>
      </c>
      <c r="S810" s="104">
        <v>54686940</v>
      </c>
      <c r="T810" s="1" t="s">
        <v>2323</v>
      </c>
      <c r="U810" s="1" t="s">
        <v>2323</v>
      </c>
      <c r="V810" s="31" t="s">
        <v>498</v>
      </c>
      <c r="W810" s="105" t="s">
        <v>50</v>
      </c>
      <c r="X810" s="123" t="s">
        <v>3239</v>
      </c>
      <c r="Y810" s="31">
        <v>43152</v>
      </c>
      <c r="Z810" s="106">
        <v>54686940</v>
      </c>
      <c r="AA810" s="107" t="s">
        <v>2889</v>
      </c>
      <c r="AB810" s="20">
        <v>660</v>
      </c>
      <c r="AC810" s="31">
        <v>43154</v>
      </c>
      <c r="AD810" s="108">
        <v>54686940</v>
      </c>
      <c r="AE810" s="109">
        <f t="shared" si="72"/>
        <v>0</v>
      </c>
      <c r="AF810" s="20">
        <v>1611</v>
      </c>
      <c r="AG810" s="31">
        <v>43180</v>
      </c>
      <c r="AH810" s="108">
        <v>54686940</v>
      </c>
      <c r="AI810" s="1" t="s">
        <v>3240</v>
      </c>
      <c r="AJ810" s="1">
        <v>1609</v>
      </c>
      <c r="AK810" s="109">
        <f t="shared" si="69"/>
        <v>0</v>
      </c>
      <c r="AL810" s="108">
        <v>54686940</v>
      </c>
      <c r="AM810" s="108">
        <f t="shared" si="70"/>
        <v>0</v>
      </c>
      <c r="AN810" s="1" t="s">
        <v>2308</v>
      </c>
      <c r="AO810" s="108">
        <f t="shared" si="71"/>
        <v>0</v>
      </c>
      <c r="AP810" s="1"/>
      <c r="AQ810" s="1"/>
      <c r="AR810" s="1"/>
      <c r="AS810" s="1"/>
      <c r="AT810" s="1"/>
      <c r="AU810" s="211"/>
    </row>
    <row r="811" spans="1:47" ht="293.25" x14ac:dyDescent="0.2">
      <c r="A811" s="1">
        <v>321</v>
      </c>
      <c r="B811" s="1" t="str">
        <f t="shared" ref="B811:B874" si="73">CONCATENATE("3075","-",A811)</f>
        <v>3075-321</v>
      </c>
      <c r="C811" s="99" t="s">
        <v>2294</v>
      </c>
      <c r="D811" s="100" t="s">
        <v>2295</v>
      </c>
      <c r="E811" s="100" t="s">
        <v>2578</v>
      </c>
      <c r="F811" s="99" t="s">
        <v>2328</v>
      </c>
      <c r="G811" s="117" t="s">
        <v>2329</v>
      </c>
      <c r="H811" s="102" t="s">
        <v>2579</v>
      </c>
      <c r="I811" s="100" t="s">
        <v>2300</v>
      </c>
      <c r="J811" s="100" t="s">
        <v>2301</v>
      </c>
      <c r="K811" s="100" t="s">
        <v>50</v>
      </c>
      <c r="L811" s="1" t="s">
        <v>2302</v>
      </c>
      <c r="M811" s="1" t="s">
        <v>493</v>
      </c>
      <c r="N811" s="1" t="s">
        <v>494</v>
      </c>
      <c r="O811" s="100" t="s">
        <v>2369</v>
      </c>
      <c r="P811" s="1" t="s">
        <v>3241</v>
      </c>
      <c r="Q811" s="106">
        <v>54686940</v>
      </c>
      <c r="R811" s="122">
        <v>1</v>
      </c>
      <c r="S811" s="104">
        <v>54686940</v>
      </c>
      <c r="T811" s="1" t="s">
        <v>2323</v>
      </c>
      <c r="U811" s="1" t="s">
        <v>2323</v>
      </c>
      <c r="V811" s="31" t="s">
        <v>498</v>
      </c>
      <c r="W811" s="105" t="s">
        <v>50</v>
      </c>
      <c r="X811" s="123" t="s">
        <v>3242</v>
      </c>
      <c r="Y811" s="31">
        <v>43159</v>
      </c>
      <c r="Z811" s="106">
        <v>54686940</v>
      </c>
      <c r="AA811" s="107" t="s">
        <v>2889</v>
      </c>
      <c r="AB811" s="20">
        <v>668</v>
      </c>
      <c r="AC811" s="31">
        <v>43160</v>
      </c>
      <c r="AD811" s="108">
        <v>54686940</v>
      </c>
      <c r="AE811" s="109">
        <f t="shared" si="72"/>
        <v>0</v>
      </c>
      <c r="AF811" s="20">
        <v>1640</v>
      </c>
      <c r="AG811" s="31">
        <v>43182</v>
      </c>
      <c r="AH811" s="108">
        <v>54686940</v>
      </c>
      <c r="AI811" s="1" t="s">
        <v>3243</v>
      </c>
      <c r="AJ811" s="1">
        <v>1631</v>
      </c>
      <c r="AK811" s="109">
        <f t="shared" ref="AK811:AK874" si="74">AD811-AH811</f>
        <v>0</v>
      </c>
      <c r="AL811" s="108">
        <v>54686940</v>
      </c>
      <c r="AM811" s="108">
        <f t="shared" ref="AM811:AM874" si="75">AH811-AL811</f>
        <v>0</v>
      </c>
      <c r="AN811" s="1" t="s">
        <v>2308</v>
      </c>
      <c r="AO811" s="108">
        <f t="shared" ref="AO811:AO874" si="76">S811-AH811</f>
        <v>0</v>
      </c>
      <c r="AP811" s="1"/>
      <c r="AQ811" s="1"/>
      <c r="AR811" s="1"/>
      <c r="AS811" s="1"/>
      <c r="AT811" s="1"/>
      <c r="AU811" s="211"/>
    </row>
    <row r="812" spans="1:47" ht="293.25" x14ac:dyDescent="0.2">
      <c r="A812" s="1">
        <v>322</v>
      </c>
      <c r="B812" s="1" t="str">
        <f t="shared" si="73"/>
        <v>3075-322</v>
      </c>
      <c r="C812" s="99" t="s">
        <v>2294</v>
      </c>
      <c r="D812" s="100" t="s">
        <v>2295</v>
      </c>
      <c r="E812" s="100" t="s">
        <v>2578</v>
      </c>
      <c r="F812" s="99" t="s">
        <v>2328</v>
      </c>
      <c r="G812" s="117" t="s">
        <v>2329</v>
      </c>
      <c r="H812" s="102" t="s">
        <v>2579</v>
      </c>
      <c r="I812" s="100" t="s">
        <v>2300</v>
      </c>
      <c r="J812" s="100" t="s">
        <v>2301</v>
      </c>
      <c r="K812" s="100" t="s">
        <v>50</v>
      </c>
      <c r="L812" s="1" t="s">
        <v>2302</v>
      </c>
      <c r="M812" s="1" t="s">
        <v>493</v>
      </c>
      <c r="N812" s="1" t="s">
        <v>494</v>
      </c>
      <c r="O812" s="100" t="s">
        <v>2369</v>
      </c>
      <c r="P812" s="1" t="s">
        <v>3244</v>
      </c>
      <c r="Q812" s="106">
        <v>54686940</v>
      </c>
      <c r="R812" s="122">
        <v>1</v>
      </c>
      <c r="S812" s="104">
        <v>54686940</v>
      </c>
      <c r="T812" s="1" t="s">
        <v>2323</v>
      </c>
      <c r="U812" s="1" t="s">
        <v>2323</v>
      </c>
      <c r="V812" s="31" t="s">
        <v>507</v>
      </c>
      <c r="W812" s="105" t="s">
        <v>50</v>
      </c>
      <c r="X812" s="123" t="s">
        <v>3245</v>
      </c>
      <c r="Y812" s="31">
        <v>43159</v>
      </c>
      <c r="Z812" s="106">
        <v>54686940</v>
      </c>
      <c r="AA812" s="107" t="s">
        <v>2889</v>
      </c>
      <c r="AB812" s="20">
        <v>666</v>
      </c>
      <c r="AC812" s="31">
        <v>43160</v>
      </c>
      <c r="AD812" s="108">
        <v>54686940</v>
      </c>
      <c r="AE812" s="109">
        <f t="shared" si="72"/>
        <v>0</v>
      </c>
      <c r="AF812" s="20">
        <v>1764</v>
      </c>
      <c r="AG812" s="31">
        <v>43201</v>
      </c>
      <c r="AH812" s="108">
        <v>54686940</v>
      </c>
      <c r="AI812" s="1" t="s">
        <v>3246</v>
      </c>
      <c r="AJ812" s="1">
        <v>1774</v>
      </c>
      <c r="AK812" s="109">
        <f t="shared" si="74"/>
        <v>0</v>
      </c>
      <c r="AL812" s="108">
        <v>54686940</v>
      </c>
      <c r="AM812" s="108">
        <f t="shared" si="75"/>
        <v>0</v>
      </c>
      <c r="AN812" s="1" t="s">
        <v>2308</v>
      </c>
      <c r="AO812" s="108">
        <f t="shared" si="76"/>
        <v>0</v>
      </c>
      <c r="AP812" s="1"/>
      <c r="AQ812" s="1"/>
      <c r="AR812" s="1"/>
      <c r="AS812" s="1"/>
      <c r="AT812" s="1"/>
      <c r="AU812" s="211"/>
    </row>
    <row r="813" spans="1:47" ht="293.25" x14ac:dyDescent="0.2">
      <c r="A813" s="1">
        <v>323</v>
      </c>
      <c r="B813" s="1" t="str">
        <f t="shared" si="73"/>
        <v>3075-323</v>
      </c>
      <c r="C813" s="99" t="s">
        <v>2294</v>
      </c>
      <c r="D813" s="100" t="s">
        <v>2295</v>
      </c>
      <c r="E813" s="100" t="s">
        <v>2578</v>
      </c>
      <c r="F813" s="99" t="s">
        <v>2328</v>
      </c>
      <c r="G813" s="117" t="s">
        <v>2329</v>
      </c>
      <c r="H813" s="102" t="s">
        <v>2579</v>
      </c>
      <c r="I813" s="100" t="s">
        <v>2300</v>
      </c>
      <c r="J813" s="100" t="s">
        <v>2301</v>
      </c>
      <c r="K813" s="100" t="s">
        <v>50</v>
      </c>
      <c r="L813" s="1" t="s">
        <v>2302</v>
      </c>
      <c r="M813" s="1" t="s">
        <v>493</v>
      </c>
      <c r="N813" s="1" t="s">
        <v>494</v>
      </c>
      <c r="O813" s="100" t="s">
        <v>2369</v>
      </c>
      <c r="P813" s="1" t="s">
        <v>3247</v>
      </c>
      <c r="Q813" s="106">
        <v>54686940</v>
      </c>
      <c r="R813" s="122">
        <v>1</v>
      </c>
      <c r="S813" s="104">
        <v>54686940</v>
      </c>
      <c r="T813" s="1" t="s">
        <v>2323</v>
      </c>
      <c r="U813" s="1" t="s">
        <v>2323</v>
      </c>
      <c r="V813" s="31" t="s">
        <v>507</v>
      </c>
      <c r="W813" s="105" t="s">
        <v>50</v>
      </c>
      <c r="X813" s="123" t="s">
        <v>3248</v>
      </c>
      <c r="Y813" s="31">
        <v>43159</v>
      </c>
      <c r="Z813" s="106">
        <v>54686940</v>
      </c>
      <c r="AA813" s="107" t="s">
        <v>2889</v>
      </c>
      <c r="AB813" s="20">
        <v>670</v>
      </c>
      <c r="AC813" s="31">
        <v>43161</v>
      </c>
      <c r="AD813" s="108">
        <v>54686940</v>
      </c>
      <c r="AE813" s="109">
        <f t="shared" si="72"/>
        <v>0</v>
      </c>
      <c r="AF813" s="20">
        <v>1807</v>
      </c>
      <c r="AG813" s="31">
        <v>43207</v>
      </c>
      <c r="AH813" s="108">
        <v>54686940</v>
      </c>
      <c r="AI813" s="1" t="s">
        <v>3249</v>
      </c>
      <c r="AJ813" s="1">
        <v>1865</v>
      </c>
      <c r="AK813" s="109">
        <f t="shared" si="74"/>
        <v>0</v>
      </c>
      <c r="AL813" s="108">
        <v>54686940</v>
      </c>
      <c r="AM813" s="108">
        <f t="shared" si="75"/>
        <v>0</v>
      </c>
      <c r="AN813" s="1" t="s">
        <v>2308</v>
      </c>
      <c r="AO813" s="108">
        <f t="shared" si="76"/>
        <v>0</v>
      </c>
      <c r="AP813" s="1"/>
      <c r="AQ813" s="1"/>
      <c r="AR813" s="1"/>
      <c r="AS813" s="1"/>
      <c r="AT813" s="1"/>
      <c r="AU813" s="211"/>
    </row>
    <row r="814" spans="1:47" ht="293.25" x14ac:dyDescent="0.2">
      <c r="A814" s="1">
        <v>324</v>
      </c>
      <c r="B814" s="1" t="str">
        <f t="shared" si="73"/>
        <v>3075-324</v>
      </c>
      <c r="C814" s="99" t="s">
        <v>2294</v>
      </c>
      <c r="D814" s="100" t="s">
        <v>2295</v>
      </c>
      <c r="E814" s="100" t="s">
        <v>2578</v>
      </c>
      <c r="F814" s="99" t="s">
        <v>2328</v>
      </c>
      <c r="G814" s="117" t="s">
        <v>2329</v>
      </c>
      <c r="H814" s="102" t="s">
        <v>2579</v>
      </c>
      <c r="I814" s="100" t="s">
        <v>2300</v>
      </c>
      <c r="J814" s="100" t="s">
        <v>2301</v>
      </c>
      <c r="K814" s="100" t="s">
        <v>50</v>
      </c>
      <c r="L814" s="1" t="s">
        <v>2302</v>
      </c>
      <c r="M814" s="1" t="s">
        <v>493</v>
      </c>
      <c r="N814" s="1" t="s">
        <v>494</v>
      </c>
      <c r="O814" s="100" t="s">
        <v>2369</v>
      </c>
      <c r="P814" s="1" t="s">
        <v>3250</v>
      </c>
      <c r="Q814" s="106">
        <v>54686940</v>
      </c>
      <c r="R814" s="122">
        <v>1</v>
      </c>
      <c r="S814" s="104">
        <v>54686940</v>
      </c>
      <c r="T814" s="1" t="s">
        <v>2323</v>
      </c>
      <c r="U814" s="1" t="s">
        <v>2323</v>
      </c>
      <c r="V814" s="31" t="s">
        <v>507</v>
      </c>
      <c r="W814" s="105" t="s">
        <v>50</v>
      </c>
      <c r="X814" s="123" t="s">
        <v>3251</v>
      </c>
      <c r="Y814" s="31">
        <v>43159</v>
      </c>
      <c r="Z814" s="106">
        <v>54686940</v>
      </c>
      <c r="AA814" s="107" t="s">
        <v>2889</v>
      </c>
      <c r="AB814" s="20">
        <v>667</v>
      </c>
      <c r="AC814" s="31">
        <v>43160</v>
      </c>
      <c r="AD814" s="108">
        <v>54686940</v>
      </c>
      <c r="AE814" s="109">
        <f t="shared" si="72"/>
        <v>0</v>
      </c>
      <c r="AF814" s="20">
        <v>1768</v>
      </c>
      <c r="AG814" s="31">
        <v>43201</v>
      </c>
      <c r="AH814" s="108">
        <v>54686940</v>
      </c>
      <c r="AI814" s="1" t="s">
        <v>3252</v>
      </c>
      <c r="AJ814" s="1">
        <v>1776</v>
      </c>
      <c r="AK814" s="109">
        <f t="shared" si="74"/>
        <v>0</v>
      </c>
      <c r="AL814" s="108">
        <v>54686940</v>
      </c>
      <c r="AM814" s="108">
        <f t="shared" si="75"/>
        <v>0</v>
      </c>
      <c r="AN814" s="1" t="s">
        <v>2308</v>
      </c>
      <c r="AO814" s="108">
        <f t="shared" si="76"/>
        <v>0</v>
      </c>
      <c r="AP814" s="1"/>
      <c r="AQ814" s="1"/>
      <c r="AR814" s="1"/>
      <c r="AS814" s="1"/>
      <c r="AT814" s="1"/>
      <c r="AU814" s="211"/>
    </row>
    <row r="815" spans="1:47" ht="409.5" x14ac:dyDescent="0.2">
      <c r="A815" s="1">
        <v>325</v>
      </c>
      <c r="B815" s="1" t="str">
        <f t="shared" si="73"/>
        <v>3075-325</v>
      </c>
      <c r="C815" s="99" t="s">
        <v>2294</v>
      </c>
      <c r="D815" s="100" t="s">
        <v>2295</v>
      </c>
      <c r="E815" s="100" t="s">
        <v>2578</v>
      </c>
      <c r="F815" s="99" t="s">
        <v>2366</v>
      </c>
      <c r="G815" s="117" t="s">
        <v>2367</v>
      </c>
      <c r="H815" s="124" t="s">
        <v>2368</v>
      </c>
      <c r="I815" s="100" t="s">
        <v>2300</v>
      </c>
      <c r="J815" s="100" t="s">
        <v>2301</v>
      </c>
      <c r="K815" s="100">
        <v>801116</v>
      </c>
      <c r="L815" s="1" t="s">
        <v>2302</v>
      </c>
      <c r="M815" s="1" t="s">
        <v>493</v>
      </c>
      <c r="N815" s="1" t="s">
        <v>494</v>
      </c>
      <c r="O815" s="100" t="s">
        <v>2369</v>
      </c>
      <c r="P815" s="65" t="s">
        <v>3253</v>
      </c>
      <c r="Q815" s="106">
        <v>3450000</v>
      </c>
      <c r="R815" s="1">
        <v>1</v>
      </c>
      <c r="S815" s="104">
        <v>10350000</v>
      </c>
      <c r="T815" s="1" t="s">
        <v>1619</v>
      </c>
      <c r="U815" s="1" t="s">
        <v>2361</v>
      </c>
      <c r="V815" s="31" t="s">
        <v>498</v>
      </c>
      <c r="W815" s="105">
        <v>3</v>
      </c>
      <c r="X815" s="65" t="s">
        <v>3254</v>
      </c>
      <c r="Y815" s="31">
        <v>43161</v>
      </c>
      <c r="Z815" s="106">
        <v>10350000</v>
      </c>
      <c r="AA815" s="107" t="s">
        <v>2821</v>
      </c>
      <c r="AB815" s="20">
        <v>676</v>
      </c>
      <c r="AC815" s="31">
        <v>43164</v>
      </c>
      <c r="AD815" s="108">
        <v>10350000</v>
      </c>
      <c r="AE815" s="108">
        <f t="shared" si="72"/>
        <v>0</v>
      </c>
      <c r="AF815" s="20">
        <v>1612</v>
      </c>
      <c r="AG815" s="31">
        <v>43181</v>
      </c>
      <c r="AH815" s="108">
        <v>10350000</v>
      </c>
      <c r="AI815" s="1" t="s">
        <v>3255</v>
      </c>
      <c r="AJ815" s="1">
        <v>561</v>
      </c>
      <c r="AK815" s="109">
        <f t="shared" si="74"/>
        <v>0</v>
      </c>
      <c r="AL815" s="108">
        <v>10350000</v>
      </c>
      <c r="AM815" s="108">
        <f t="shared" si="75"/>
        <v>0</v>
      </c>
      <c r="AN815" s="1" t="s">
        <v>2308</v>
      </c>
      <c r="AO815" s="108">
        <f t="shared" si="76"/>
        <v>0</v>
      </c>
      <c r="AP815" s="1"/>
      <c r="AQ815" s="31">
        <v>43160</v>
      </c>
      <c r="AR815" s="1" t="s">
        <v>3256</v>
      </c>
      <c r="AS815" s="31">
        <v>43161</v>
      </c>
      <c r="AT815" s="1" t="s">
        <v>2607</v>
      </c>
      <c r="AU815" s="211"/>
    </row>
    <row r="816" spans="1:47" ht="165.75" x14ac:dyDescent="0.2">
      <c r="A816" s="1">
        <v>326</v>
      </c>
      <c r="B816" s="1" t="str">
        <f t="shared" si="73"/>
        <v>3075-326</v>
      </c>
      <c r="C816" s="99" t="s">
        <v>2294</v>
      </c>
      <c r="D816" s="100" t="s">
        <v>2295</v>
      </c>
      <c r="E816" s="100" t="s">
        <v>2327</v>
      </c>
      <c r="F816" s="99" t="s">
        <v>2328</v>
      </c>
      <c r="G816" s="101" t="s">
        <v>2329</v>
      </c>
      <c r="H816" s="102" t="s">
        <v>2330</v>
      </c>
      <c r="I816" s="100" t="s">
        <v>2300</v>
      </c>
      <c r="J816" s="100" t="s">
        <v>2331</v>
      </c>
      <c r="K816" s="100" t="s">
        <v>50</v>
      </c>
      <c r="L816" s="1" t="s">
        <v>2302</v>
      </c>
      <c r="M816" s="1" t="s">
        <v>493</v>
      </c>
      <c r="N816" s="1" t="s">
        <v>494</v>
      </c>
      <c r="O816" s="100" t="s">
        <v>2321</v>
      </c>
      <c r="P816" s="100" t="s">
        <v>3257</v>
      </c>
      <c r="Q816" s="103">
        <v>39062100</v>
      </c>
      <c r="R816" s="1">
        <v>1</v>
      </c>
      <c r="S816" s="104">
        <v>39062100</v>
      </c>
      <c r="T816" s="1" t="s">
        <v>2323</v>
      </c>
      <c r="U816" s="1" t="s">
        <v>2323</v>
      </c>
      <c r="V816" s="31" t="s">
        <v>498</v>
      </c>
      <c r="W816" s="105" t="s">
        <v>50</v>
      </c>
      <c r="X816" s="113" t="s">
        <v>3258</v>
      </c>
      <c r="Y816" s="31">
        <v>43161</v>
      </c>
      <c r="Z816" s="108">
        <v>39062100</v>
      </c>
      <c r="AA816" s="107" t="s">
        <v>3172</v>
      </c>
      <c r="AB816" s="20">
        <v>682</v>
      </c>
      <c r="AC816" s="31">
        <v>43164</v>
      </c>
      <c r="AD816" s="108">
        <v>39062100</v>
      </c>
      <c r="AE816" s="109">
        <f t="shared" si="72"/>
        <v>0</v>
      </c>
      <c r="AF816" s="20">
        <v>1661</v>
      </c>
      <c r="AG816" s="31">
        <v>43186</v>
      </c>
      <c r="AH816" s="108">
        <v>39062100</v>
      </c>
      <c r="AI816" s="1" t="s">
        <v>3259</v>
      </c>
      <c r="AJ816" s="1">
        <v>1627</v>
      </c>
      <c r="AK816" s="109">
        <f t="shared" si="74"/>
        <v>0</v>
      </c>
      <c r="AL816" s="108">
        <v>39062100</v>
      </c>
      <c r="AM816" s="108">
        <f t="shared" si="75"/>
        <v>0</v>
      </c>
      <c r="AN816" s="1" t="s">
        <v>2308</v>
      </c>
      <c r="AO816" s="108">
        <f t="shared" si="76"/>
        <v>0</v>
      </c>
      <c r="AP816" s="1"/>
      <c r="AQ816" s="31">
        <v>43160</v>
      </c>
      <c r="AR816" s="1" t="s">
        <v>3256</v>
      </c>
      <c r="AS816" s="31">
        <v>43161</v>
      </c>
      <c r="AT816" s="1" t="s">
        <v>3257</v>
      </c>
      <c r="AU816" s="211"/>
    </row>
    <row r="817" spans="1:47" ht="216.75" x14ac:dyDescent="0.2">
      <c r="A817" s="1">
        <v>327</v>
      </c>
      <c r="B817" s="1" t="str">
        <f t="shared" si="73"/>
        <v>3075-327</v>
      </c>
      <c r="C817" s="99" t="s">
        <v>2294</v>
      </c>
      <c r="D817" s="100" t="s">
        <v>2295</v>
      </c>
      <c r="E817" s="100" t="s">
        <v>2327</v>
      </c>
      <c r="F817" s="99" t="s">
        <v>2328</v>
      </c>
      <c r="G817" s="101" t="s">
        <v>2329</v>
      </c>
      <c r="H817" s="102" t="s">
        <v>2330</v>
      </c>
      <c r="I817" s="100" t="s">
        <v>2300</v>
      </c>
      <c r="J817" s="100" t="s">
        <v>2331</v>
      </c>
      <c r="K817" s="100" t="s">
        <v>50</v>
      </c>
      <c r="L817" s="1" t="s">
        <v>2302</v>
      </c>
      <c r="M817" s="1" t="s">
        <v>493</v>
      </c>
      <c r="N817" s="1" t="s">
        <v>494</v>
      </c>
      <c r="O817" s="100" t="s">
        <v>2321</v>
      </c>
      <c r="P817" s="100" t="s">
        <v>3260</v>
      </c>
      <c r="Q817" s="103">
        <v>39062100</v>
      </c>
      <c r="R817" s="1">
        <v>1</v>
      </c>
      <c r="S817" s="104">
        <v>39062100</v>
      </c>
      <c r="T817" s="1" t="s">
        <v>2323</v>
      </c>
      <c r="U817" s="1" t="s">
        <v>2323</v>
      </c>
      <c r="V817" s="31" t="s">
        <v>507</v>
      </c>
      <c r="W817" s="105" t="s">
        <v>50</v>
      </c>
      <c r="X817" s="65" t="s">
        <v>3261</v>
      </c>
      <c r="Y817" s="31">
        <v>43161</v>
      </c>
      <c r="Z817" s="108">
        <v>39062100</v>
      </c>
      <c r="AA817" s="107" t="s">
        <v>3172</v>
      </c>
      <c r="AB817" s="20">
        <v>674</v>
      </c>
      <c r="AC817" s="31">
        <v>43164</v>
      </c>
      <c r="AD817" s="108">
        <v>39062100</v>
      </c>
      <c r="AE817" s="109">
        <f t="shared" si="72"/>
        <v>0</v>
      </c>
      <c r="AF817" s="20">
        <v>1718</v>
      </c>
      <c r="AG817" s="31">
        <v>43195</v>
      </c>
      <c r="AH817" s="108">
        <v>39062100</v>
      </c>
      <c r="AI817" s="1" t="s">
        <v>3262</v>
      </c>
      <c r="AJ817" s="1">
        <v>1690</v>
      </c>
      <c r="AK817" s="109">
        <f t="shared" si="74"/>
        <v>0</v>
      </c>
      <c r="AL817" s="108">
        <v>0</v>
      </c>
      <c r="AM817" s="108">
        <f t="shared" si="75"/>
        <v>39062100</v>
      </c>
      <c r="AN817" s="1" t="s">
        <v>2308</v>
      </c>
      <c r="AO817" s="108">
        <f t="shared" si="76"/>
        <v>0</v>
      </c>
      <c r="AP817" s="1"/>
      <c r="AQ817" s="31">
        <v>43160</v>
      </c>
      <c r="AR817" s="1" t="s">
        <v>3256</v>
      </c>
      <c r="AS817" s="31">
        <v>43161</v>
      </c>
      <c r="AT817" s="1" t="str">
        <f>P817</f>
        <v>VUR de la actual vigencia. Decreto 255 de 2013. LOCALIDAD: CIUDAD BOLIVAR; BARRIO: SAUCES HORTALIZAS (HORTALIZAS); ID:2012-19-14175</v>
      </c>
      <c r="AU817" s="211"/>
    </row>
    <row r="818" spans="1:47" ht="306" x14ac:dyDescent="0.2">
      <c r="A818" s="1">
        <v>328</v>
      </c>
      <c r="B818" s="1" t="str">
        <f t="shared" si="73"/>
        <v>3075-328</v>
      </c>
      <c r="C818" s="99" t="s">
        <v>2294</v>
      </c>
      <c r="D818" s="100" t="s">
        <v>2295</v>
      </c>
      <c r="E818" s="100" t="s">
        <v>2327</v>
      </c>
      <c r="F818" s="99" t="s">
        <v>2328</v>
      </c>
      <c r="G818" s="101" t="s">
        <v>2329</v>
      </c>
      <c r="H818" s="102" t="s">
        <v>2330</v>
      </c>
      <c r="I818" s="100" t="s">
        <v>2300</v>
      </c>
      <c r="J818" s="100" t="s">
        <v>2331</v>
      </c>
      <c r="K818" s="100" t="s">
        <v>50</v>
      </c>
      <c r="L818" s="1" t="s">
        <v>2302</v>
      </c>
      <c r="M818" s="1" t="s">
        <v>493</v>
      </c>
      <c r="N818" s="1" t="s">
        <v>494</v>
      </c>
      <c r="O818" s="100" t="s">
        <v>2321</v>
      </c>
      <c r="P818" s="100" t="s">
        <v>3263</v>
      </c>
      <c r="Q818" s="103">
        <v>5100000</v>
      </c>
      <c r="R818" s="1">
        <v>1</v>
      </c>
      <c r="S818" s="104">
        <v>5100000</v>
      </c>
      <c r="T818" s="1" t="s">
        <v>2323</v>
      </c>
      <c r="U818" s="1" t="s">
        <v>2323</v>
      </c>
      <c r="V818" s="31" t="s">
        <v>1352</v>
      </c>
      <c r="W818" s="105" t="s">
        <v>50</v>
      </c>
      <c r="X818" s="113" t="s">
        <v>3264</v>
      </c>
      <c r="Y818" s="31">
        <v>43161</v>
      </c>
      <c r="Z818" s="106">
        <v>5100000</v>
      </c>
      <c r="AA818" s="107" t="s">
        <v>3172</v>
      </c>
      <c r="AB818" s="20">
        <v>765</v>
      </c>
      <c r="AC818" s="31">
        <v>43195</v>
      </c>
      <c r="AD818" s="108">
        <v>5100000</v>
      </c>
      <c r="AE818" s="109">
        <f t="shared" si="72"/>
        <v>0</v>
      </c>
      <c r="AF818" s="20">
        <v>2409</v>
      </c>
      <c r="AG818" s="31">
        <v>43280</v>
      </c>
      <c r="AH818" s="108">
        <v>4672700</v>
      </c>
      <c r="AI818" s="1" t="s">
        <v>3265</v>
      </c>
      <c r="AJ818" s="1">
        <v>2819</v>
      </c>
      <c r="AK818" s="109">
        <f t="shared" si="74"/>
        <v>427300</v>
      </c>
      <c r="AL818" s="108">
        <v>0</v>
      </c>
      <c r="AM818" s="108">
        <f t="shared" si="75"/>
        <v>4672700</v>
      </c>
      <c r="AN818" s="1" t="s">
        <v>2308</v>
      </c>
      <c r="AO818" s="108">
        <f t="shared" si="76"/>
        <v>427300</v>
      </c>
      <c r="AP818" s="1"/>
      <c r="AQ818" s="31">
        <v>43160</v>
      </c>
      <c r="AR818" s="1" t="s">
        <v>3256</v>
      </c>
      <c r="AS818" s="31">
        <v>43161</v>
      </c>
      <c r="AT818" s="1" t="str">
        <f>P818</f>
        <v>Reajuste de VUR para completar el cierre financiero de la vivienda de reposición escogida por el beneficiario en el proyecto Torres de San Miguel. LOCALIDAD: CIUDAD BOLIVAR; BARRIO: MIRADOR DE LA ESTANCIA I; ID:2012-ALES-231</v>
      </c>
      <c r="AU818" s="211"/>
    </row>
    <row r="819" spans="1:47" ht="293.25" x14ac:dyDescent="0.2">
      <c r="A819" s="1">
        <v>329</v>
      </c>
      <c r="B819" s="1" t="str">
        <f t="shared" si="73"/>
        <v>3075-329</v>
      </c>
      <c r="C819" s="99" t="s">
        <v>2294</v>
      </c>
      <c r="D819" s="100" t="s">
        <v>2295</v>
      </c>
      <c r="E819" s="100" t="s">
        <v>2578</v>
      </c>
      <c r="F819" s="99" t="s">
        <v>2328</v>
      </c>
      <c r="G819" s="117" t="s">
        <v>2329</v>
      </c>
      <c r="H819" s="102" t="s">
        <v>2579</v>
      </c>
      <c r="I819" s="100" t="s">
        <v>2300</v>
      </c>
      <c r="J819" s="100" t="s">
        <v>2301</v>
      </c>
      <c r="K819" s="100" t="s">
        <v>50</v>
      </c>
      <c r="L819" s="1" t="s">
        <v>2302</v>
      </c>
      <c r="M819" s="1" t="s">
        <v>493</v>
      </c>
      <c r="N819" s="1" t="s">
        <v>494</v>
      </c>
      <c r="O819" s="100" t="s">
        <v>2369</v>
      </c>
      <c r="P819" s="1" t="s">
        <v>3266</v>
      </c>
      <c r="Q819" s="106">
        <v>54686940</v>
      </c>
      <c r="R819" s="122">
        <v>1</v>
      </c>
      <c r="S819" s="104">
        <v>54686940</v>
      </c>
      <c r="T819" s="1" t="s">
        <v>2323</v>
      </c>
      <c r="U819" s="1" t="s">
        <v>2323</v>
      </c>
      <c r="V819" s="31" t="s">
        <v>1352</v>
      </c>
      <c r="W819" s="105" t="s">
        <v>50</v>
      </c>
      <c r="X819" s="65" t="s">
        <v>3267</v>
      </c>
      <c r="Y819" s="31">
        <v>43161</v>
      </c>
      <c r="Z819" s="106">
        <v>54686940</v>
      </c>
      <c r="AA819" s="107" t="s">
        <v>2889</v>
      </c>
      <c r="AB819" s="20">
        <v>675</v>
      </c>
      <c r="AC819" s="31">
        <v>43164</v>
      </c>
      <c r="AD819" s="108">
        <v>54686940</v>
      </c>
      <c r="AE819" s="109">
        <f t="shared" si="72"/>
        <v>0</v>
      </c>
      <c r="AF819" s="20">
        <v>2040</v>
      </c>
      <c r="AG819" s="31">
        <v>43271</v>
      </c>
      <c r="AH819" s="108">
        <v>54686940</v>
      </c>
      <c r="AI819" s="1" t="s">
        <v>3268</v>
      </c>
      <c r="AJ819" s="1">
        <v>2296</v>
      </c>
      <c r="AK819" s="109">
        <f t="shared" si="74"/>
        <v>0</v>
      </c>
      <c r="AL819" s="108">
        <v>54686940</v>
      </c>
      <c r="AM819" s="108">
        <f t="shared" si="75"/>
        <v>0</v>
      </c>
      <c r="AN819" s="1" t="s">
        <v>2308</v>
      </c>
      <c r="AO819" s="108">
        <f t="shared" si="76"/>
        <v>0</v>
      </c>
      <c r="AP819" s="1"/>
      <c r="AQ819" s="1"/>
      <c r="AR819" s="1"/>
      <c r="AS819" s="1"/>
      <c r="AT819" s="1"/>
      <c r="AU819" s="211"/>
    </row>
    <row r="820" spans="1:47" ht="293.25" x14ac:dyDescent="0.2">
      <c r="A820" s="1">
        <v>330</v>
      </c>
      <c r="B820" s="1" t="str">
        <f t="shared" si="73"/>
        <v>3075-330</v>
      </c>
      <c r="C820" s="99" t="s">
        <v>2294</v>
      </c>
      <c r="D820" s="100" t="s">
        <v>2295</v>
      </c>
      <c r="E820" s="100" t="s">
        <v>2578</v>
      </c>
      <c r="F820" s="99" t="s">
        <v>2328</v>
      </c>
      <c r="G820" s="117" t="s">
        <v>2329</v>
      </c>
      <c r="H820" s="102" t="s">
        <v>2579</v>
      </c>
      <c r="I820" s="100" t="s">
        <v>2300</v>
      </c>
      <c r="J820" s="100" t="s">
        <v>2301</v>
      </c>
      <c r="K820" s="100" t="s">
        <v>50</v>
      </c>
      <c r="L820" s="1" t="s">
        <v>2302</v>
      </c>
      <c r="M820" s="1" t="s">
        <v>493</v>
      </c>
      <c r="N820" s="1" t="s">
        <v>494</v>
      </c>
      <c r="O820" s="100" t="s">
        <v>2369</v>
      </c>
      <c r="P820" s="1" t="s">
        <v>3269</v>
      </c>
      <c r="Q820" s="106">
        <v>54686940</v>
      </c>
      <c r="R820" s="122">
        <v>1</v>
      </c>
      <c r="S820" s="104">
        <v>54686940</v>
      </c>
      <c r="T820" s="1" t="s">
        <v>2323</v>
      </c>
      <c r="U820" s="1" t="s">
        <v>2323</v>
      </c>
      <c r="V820" s="31" t="s">
        <v>498</v>
      </c>
      <c r="W820" s="105" t="s">
        <v>50</v>
      </c>
      <c r="X820" s="113" t="s">
        <v>3270</v>
      </c>
      <c r="Y820" s="31">
        <v>43161</v>
      </c>
      <c r="Z820" s="106">
        <v>54686940</v>
      </c>
      <c r="AA820" s="107" t="s">
        <v>2889</v>
      </c>
      <c r="AB820" s="20">
        <v>678</v>
      </c>
      <c r="AC820" s="31">
        <v>43164</v>
      </c>
      <c r="AD820" s="108">
        <v>54686940</v>
      </c>
      <c r="AE820" s="109">
        <f t="shared" si="72"/>
        <v>0</v>
      </c>
      <c r="AF820" s="20">
        <v>1641</v>
      </c>
      <c r="AG820" s="31">
        <v>43182</v>
      </c>
      <c r="AH820" s="108">
        <v>54686940</v>
      </c>
      <c r="AI820" s="1" t="s">
        <v>3271</v>
      </c>
      <c r="AJ820" s="1">
        <v>1629</v>
      </c>
      <c r="AK820" s="109">
        <f t="shared" si="74"/>
        <v>0</v>
      </c>
      <c r="AL820" s="108">
        <v>54686940</v>
      </c>
      <c r="AM820" s="108">
        <f t="shared" si="75"/>
        <v>0</v>
      </c>
      <c r="AN820" s="1" t="s">
        <v>2308</v>
      </c>
      <c r="AO820" s="108">
        <f t="shared" si="76"/>
        <v>0</v>
      </c>
      <c r="AP820" s="1"/>
      <c r="AQ820" s="1"/>
      <c r="AR820" s="1"/>
      <c r="AS820" s="1"/>
      <c r="AT820" s="1"/>
      <c r="AU820" s="211"/>
    </row>
    <row r="821" spans="1:47" ht="293.25" x14ac:dyDescent="0.2">
      <c r="A821" s="1">
        <v>331</v>
      </c>
      <c r="B821" s="1" t="str">
        <f t="shared" si="73"/>
        <v>3075-331</v>
      </c>
      <c r="C821" s="99" t="s">
        <v>2294</v>
      </c>
      <c r="D821" s="100" t="s">
        <v>2295</v>
      </c>
      <c r="E821" s="100" t="s">
        <v>2578</v>
      </c>
      <c r="F821" s="99" t="s">
        <v>2328</v>
      </c>
      <c r="G821" s="117" t="s">
        <v>2329</v>
      </c>
      <c r="H821" s="102" t="s">
        <v>2579</v>
      </c>
      <c r="I821" s="100" t="s">
        <v>2300</v>
      </c>
      <c r="J821" s="100" t="s">
        <v>2301</v>
      </c>
      <c r="K821" s="100" t="s">
        <v>50</v>
      </c>
      <c r="L821" s="1" t="s">
        <v>2302</v>
      </c>
      <c r="M821" s="1" t="s">
        <v>493</v>
      </c>
      <c r="N821" s="1" t="s">
        <v>494</v>
      </c>
      <c r="O821" s="100" t="s">
        <v>2369</v>
      </c>
      <c r="P821" s="1" t="s">
        <v>3272</v>
      </c>
      <c r="Q821" s="106">
        <v>54686940</v>
      </c>
      <c r="R821" s="122">
        <v>1</v>
      </c>
      <c r="S821" s="104">
        <v>54686940</v>
      </c>
      <c r="T821" s="1" t="s">
        <v>2323</v>
      </c>
      <c r="U821" s="1" t="s">
        <v>2323</v>
      </c>
      <c r="V821" s="31" t="s">
        <v>507</v>
      </c>
      <c r="W821" s="105" t="s">
        <v>50</v>
      </c>
      <c r="X821" s="65" t="s">
        <v>3273</v>
      </c>
      <c r="Y821" s="31">
        <v>43161</v>
      </c>
      <c r="Z821" s="106">
        <v>54686940</v>
      </c>
      <c r="AA821" s="107" t="s">
        <v>2889</v>
      </c>
      <c r="AB821" s="20">
        <v>679</v>
      </c>
      <c r="AC821" s="31">
        <v>43164</v>
      </c>
      <c r="AD821" s="108">
        <v>54686940</v>
      </c>
      <c r="AE821" s="109">
        <f t="shared" si="72"/>
        <v>0</v>
      </c>
      <c r="AF821" s="20">
        <v>1763</v>
      </c>
      <c r="AG821" s="31">
        <v>43201</v>
      </c>
      <c r="AH821" s="108">
        <v>54686940</v>
      </c>
      <c r="AI821" s="1" t="s">
        <v>3274</v>
      </c>
      <c r="AJ821" s="1">
        <v>1773</v>
      </c>
      <c r="AK821" s="109">
        <f t="shared" si="74"/>
        <v>0</v>
      </c>
      <c r="AL821" s="108">
        <v>54686940</v>
      </c>
      <c r="AM821" s="108">
        <f t="shared" si="75"/>
        <v>0</v>
      </c>
      <c r="AN821" s="1" t="s">
        <v>2308</v>
      </c>
      <c r="AO821" s="108">
        <f t="shared" si="76"/>
        <v>0</v>
      </c>
      <c r="AP821" s="1"/>
      <c r="AQ821" s="1"/>
      <c r="AR821" s="1"/>
      <c r="AS821" s="1"/>
      <c r="AT821" s="1"/>
      <c r="AU821" s="211"/>
    </row>
    <row r="822" spans="1:47" ht="153" x14ac:dyDescent="0.2">
      <c r="A822" s="1">
        <v>332</v>
      </c>
      <c r="B822" s="1" t="str">
        <f t="shared" si="73"/>
        <v>3075-332</v>
      </c>
      <c r="C822" s="99" t="s">
        <v>2294</v>
      </c>
      <c r="D822" s="100" t="s">
        <v>2295</v>
      </c>
      <c r="E822" s="99" t="s">
        <v>2317</v>
      </c>
      <c r="F822" s="99" t="s">
        <v>2318</v>
      </c>
      <c r="G822" s="101" t="s">
        <v>2319</v>
      </c>
      <c r="H822" s="102" t="s">
        <v>2320</v>
      </c>
      <c r="I822" s="100" t="s">
        <v>2300</v>
      </c>
      <c r="J822" s="100" t="s">
        <v>2301</v>
      </c>
      <c r="K822" s="100" t="s">
        <v>50</v>
      </c>
      <c r="L822" s="1" t="s">
        <v>2302</v>
      </c>
      <c r="M822" s="1" t="s">
        <v>493</v>
      </c>
      <c r="N822" s="1" t="s">
        <v>494</v>
      </c>
      <c r="O822" s="100" t="s">
        <v>2321</v>
      </c>
      <c r="P822" s="112" t="s">
        <v>3275</v>
      </c>
      <c r="Q822" s="103">
        <v>240679600</v>
      </c>
      <c r="R822" s="1">
        <v>1</v>
      </c>
      <c r="S822" s="104">
        <f>300000000-65920800-52944200+12438274+47106326</f>
        <v>240679600</v>
      </c>
      <c r="T822" s="1" t="s">
        <v>2323</v>
      </c>
      <c r="U822" s="1" t="s">
        <v>2323</v>
      </c>
      <c r="V822" s="31" t="s">
        <v>2211</v>
      </c>
      <c r="W822" s="105" t="s">
        <v>50</v>
      </c>
      <c r="X822" s="113" t="s">
        <v>3276</v>
      </c>
      <c r="Y822" s="111">
        <v>43209</v>
      </c>
      <c r="Z822" s="106">
        <v>240679600</v>
      </c>
      <c r="AA822" s="107" t="s">
        <v>3277</v>
      </c>
      <c r="AB822" s="20">
        <v>803</v>
      </c>
      <c r="AC822" s="31">
        <v>43210</v>
      </c>
      <c r="AD822" s="108">
        <v>240679600</v>
      </c>
      <c r="AE822" s="109">
        <f t="shared" si="72"/>
        <v>0</v>
      </c>
      <c r="AF822" s="20">
        <v>1914</v>
      </c>
      <c r="AG822" s="31">
        <v>43237</v>
      </c>
      <c r="AH822" s="108">
        <v>240679600</v>
      </c>
      <c r="AI822" s="1" t="s">
        <v>3278</v>
      </c>
      <c r="AJ822" s="1">
        <v>2070</v>
      </c>
      <c r="AK822" s="109">
        <f t="shared" si="74"/>
        <v>0</v>
      </c>
      <c r="AL822" s="108">
        <v>72203880</v>
      </c>
      <c r="AM822" s="108">
        <f t="shared" si="75"/>
        <v>168475720</v>
      </c>
      <c r="AN822" s="1" t="s">
        <v>2308</v>
      </c>
      <c r="AO822" s="108">
        <f t="shared" si="76"/>
        <v>0</v>
      </c>
      <c r="AP822" s="1" t="s">
        <v>3279</v>
      </c>
      <c r="AQ822" s="31">
        <v>43209</v>
      </c>
      <c r="AR822" s="1" t="s">
        <v>2326</v>
      </c>
      <c r="AS822" s="31">
        <v>43209</v>
      </c>
      <c r="AT822" s="1" t="s">
        <v>3275</v>
      </c>
      <c r="AU822" s="211"/>
    </row>
    <row r="823" spans="1:47" ht="153" x14ac:dyDescent="0.2">
      <c r="A823" s="1">
        <v>333</v>
      </c>
      <c r="B823" s="1" t="str">
        <f t="shared" si="73"/>
        <v>3075-333</v>
      </c>
      <c r="C823" s="99" t="s">
        <v>2294</v>
      </c>
      <c r="D823" s="100" t="s">
        <v>2295</v>
      </c>
      <c r="E823" s="99" t="s">
        <v>2317</v>
      </c>
      <c r="F823" s="99" t="s">
        <v>2318</v>
      </c>
      <c r="G823" s="101" t="s">
        <v>2319</v>
      </c>
      <c r="H823" s="102" t="s">
        <v>2320</v>
      </c>
      <c r="I823" s="100" t="s">
        <v>2300</v>
      </c>
      <c r="J823" s="100" t="s">
        <v>2301</v>
      </c>
      <c r="K823" s="100" t="s">
        <v>50</v>
      </c>
      <c r="L823" s="1" t="s">
        <v>2302</v>
      </c>
      <c r="M823" s="1" t="s">
        <v>493</v>
      </c>
      <c r="N823" s="1" t="s">
        <v>494</v>
      </c>
      <c r="O823" s="100" t="s">
        <v>2321</v>
      </c>
      <c r="P823" s="112" t="s">
        <v>3280</v>
      </c>
      <c r="Q823" s="103">
        <v>300000000</v>
      </c>
      <c r="R823" s="1">
        <v>1</v>
      </c>
      <c r="S823" s="104">
        <f>300000000-47106326-33401186-20501658-38051600-20351100-42139350-16512000-5680380</f>
        <v>76256400</v>
      </c>
      <c r="T823" s="1" t="s">
        <v>2323</v>
      </c>
      <c r="U823" s="1" t="s">
        <v>2323</v>
      </c>
      <c r="V823" s="31" t="s">
        <v>632</v>
      </c>
      <c r="W823" s="105" t="s">
        <v>50</v>
      </c>
      <c r="X823" s="113" t="s">
        <v>3281</v>
      </c>
      <c r="Y823" s="111">
        <v>43273</v>
      </c>
      <c r="Z823" s="106">
        <v>76256400</v>
      </c>
      <c r="AA823" s="107" t="s">
        <v>2929</v>
      </c>
      <c r="AB823" s="20">
        <v>913</v>
      </c>
      <c r="AC823" s="31">
        <v>43276</v>
      </c>
      <c r="AD823" s="108">
        <v>76256400</v>
      </c>
      <c r="AE823" s="109">
        <f t="shared" si="72"/>
        <v>0</v>
      </c>
      <c r="AF823" s="20">
        <v>2464</v>
      </c>
      <c r="AG823" s="31">
        <v>43292</v>
      </c>
      <c r="AH823" s="108">
        <v>76256400</v>
      </c>
      <c r="AI823" s="1" t="s">
        <v>3282</v>
      </c>
      <c r="AJ823" s="1">
        <v>2837</v>
      </c>
      <c r="AK823" s="109">
        <f t="shared" si="74"/>
        <v>0</v>
      </c>
      <c r="AL823" s="108">
        <v>0</v>
      </c>
      <c r="AM823" s="108">
        <f t="shared" si="75"/>
        <v>76256400</v>
      </c>
      <c r="AN823" s="1" t="s">
        <v>2308</v>
      </c>
      <c r="AO823" s="108">
        <f t="shared" si="76"/>
        <v>0</v>
      </c>
      <c r="AP823" s="1" t="s">
        <v>3279</v>
      </c>
      <c r="AQ823" s="31">
        <v>43272</v>
      </c>
      <c r="AR823" s="1" t="s">
        <v>2326</v>
      </c>
      <c r="AS823" s="31">
        <v>43273</v>
      </c>
      <c r="AT823" s="1"/>
      <c r="AU823" s="211"/>
    </row>
    <row r="824" spans="1:47" ht="255" x14ac:dyDescent="0.2">
      <c r="A824" s="1">
        <v>334</v>
      </c>
      <c r="B824" s="1" t="str">
        <f t="shared" si="73"/>
        <v>3075-334</v>
      </c>
      <c r="C824" s="99" t="s">
        <v>2294</v>
      </c>
      <c r="D824" s="100" t="s">
        <v>2295</v>
      </c>
      <c r="E824" s="99" t="s">
        <v>2317</v>
      </c>
      <c r="F824" s="99" t="s">
        <v>2318</v>
      </c>
      <c r="G824" s="101" t="s">
        <v>2319</v>
      </c>
      <c r="H824" s="102" t="s">
        <v>2320</v>
      </c>
      <c r="I824" s="100" t="s">
        <v>2300</v>
      </c>
      <c r="J824" s="100" t="s">
        <v>2301</v>
      </c>
      <c r="K824" s="100" t="s">
        <v>50</v>
      </c>
      <c r="L824" s="1" t="s">
        <v>2302</v>
      </c>
      <c r="M824" s="1" t="s">
        <v>493</v>
      </c>
      <c r="N824" s="1" t="s">
        <v>494</v>
      </c>
      <c r="O824" s="100" t="s">
        <v>2321</v>
      </c>
      <c r="P824" s="112" t="s">
        <v>3766</v>
      </c>
      <c r="Q824" s="103">
        <v>300000000</v>
      </c>
      <c r="R824" s="1">
        <v>1</v>
      </c>
      <c r="S824" s="104">
        <f>300000000-12535620-10962000-45084240-65332300</f>
        <v>166085840</v>
      </c>
      <c r="T824" s="1"/>
      <c r="U824" s="1" t="s">
        <v>2323</v>
      </c>
      <c r="V824" s="31" t="s">
        <v>616</v>
      </c>
      <c r="W824" s="105" t="s">
        <v>50</v>
      </c>
      <c r="X824" s="113"/>
      <c r="Y824" s="111"/>
      <c r="Z824" s="106"/>
      <c r="AA824" s="107" t="s">
        <v>2929</v>
      </c>
      <c r="AB824" s="20"/>
      <c r="AC824" s="31"/>
      <c r="AD824" s="108"/>
      <c r="AE824" s="109">
        <f t="shared" si="72"/>
        <v>166085840</v>
      </c>
      <c r="AF824" s="20"/>
      <c r="AG824" s="31"/>
      <c r="AH824" s="108"/>
      <c r="AI824" s="1"/>
      <c r="AJ824" s="1"/>
      <c r="AK824" s="109">
        <f t="shared" si="74"/>
        <v>0</v>
      </c>
      <c r="AL824" s="108"/>
      <c r="AM824" s="108">
        <f t="shared" si="75"/>
        <v>0</v>
      </c>
      <c r="AN824" s="1" t="s">
        <v>2308</v>
      </c>
      <c r="AO824" s="108">
        <f t="shared" si="76"/>
        <v>166085840</v>
      </c>
      <c r="AP824" s="1" t="s">
        <v>3279</v>
      </c>
      <c r="AQ824" s="1"/>
      <c r="AR824" s="1" t="s">
        <v>3256</v>
      </c>
      <c r="AS824" s="1"/>
      <c r="AT824" s="1"/>
      <c r="AU824" s="211"/>
    </row>
    <row r="825" spans="1:47" ht="255" x14ac:dyDescent="0.2">
      <c r="A825" s="1">
        <v>335</v>
      </c>
      <c r="B825" s="1" t="str">
        <f t="shared" si="73"/>
        <v>3075-335</v>
      </c>
      <c r="C825" s="99" t="s">
        <v>2294</v>
      </c>
      <c r="D825" s="100" t="s">
        <v>2295</v>
      </c>
      <c r="E825" s="99" t="s">
        <v>2317</v>
      </c>
      <c r="F825" s="99" t="s">
        <v>2318</v>
      </c>
      <c r="G825" s="101" t="s">
        <v>2319</v>
      </c>
      <c r="H825" s="102" t="s">
        <v>2320</v>
      </c>
      <c r="I825" s="100" t="s">
        <v>2300</v>
      </c>
      <c r="J825" s="100" t="s">
        <v>2301</v>
      </c>
      <c r="K825" s="100" t="s">
        <v>50</v>
      </c>
      <c r="L825" s="1" t="s">
        <v>2302</v>
      </c>
      <c r="M825" s="1" t="s">
        <v>493</v>
      </c>
      <c r="N825" s="1" t="s">
        <v>494</v>
      </c>
      <c r="O825" s="100" t="s">
        <v>2321</v>
      </c>
      <c r="P825" s="112" t="s">
        <v>3766</v>
      </c>
      <c r="Q825" s="103">
        <v>300000000</v>
      </c>
      <c r="R825" s="1">
        <v>1</v>
      </c>
      <c r="S825" s="104">
        <v>300000000</v>
      </c>
      <c r="T825" s="1"/>
      <c r="U825" s="1" t="s">
        <v>2323</v>
      </c>
      <c r="V825" s="31" t="s">
        <v>2316</v>
      </c>
      <c r="W825" s="105" t="s">
        <v>50</v>
      </c>
      <c r="X825" s="113"/>
      <c r="Y825" s="111"/>
      <c r="Z825" s="106"/>
      <c r="AA825" s="107" t="s">
        <v>2929</v>
      </c>
      <c r="AB825" s="20"/>
      <c r="AC825" s="31"/>
      <c r="AD825" s="108"/>
      <c r="AE825" s="109">
        <f t="shared" si="72"/>
        <v>300000000</v>
      </c>
      <c r="AF825" s="20"/>
      <c r="AG825" s="31"/>
      <c r="AH825" s="108"/>
      <c r="AI825" s="1"/>
      <c r="AJ825" s="1"/>
      <c r="AK825" s="109">
        <f t="shared" si="74"/>
        <v>0</v>
      </c>
      <c r="AL825" s="108"/>
      <c r="AM825" s="108">
        <f t="shared" si="75"/>
        <v>0</v>
      </c>
      <c r="AN825" s="1" t="s">
        <v>2308</v>
      </c>
      <c r="AO825" s="108">
        <f t="shared" si="76"/>
        <v>300000000</v>
      </c>
      <c r="AP825" s="1" t="s">
        <v>3279</v>
      </c>
      <c r="AQ825" s="1"/>
      <c r="AR825" s="1" t="s">
        <v>3256</v>
      </c>
      <c r="AS825" s="1"/>
      <c r="AT825" s="1"/>
      <c r="AU825" s="211"/>
    </row>
    <row r="826" spans="1:47" ht="255" x14ac:dyDescent="0.2">
      <c r="A826" s="1">
        <v>336</v>
      </c>
      <c r="B826" s="1" t="str">
        <f t="shared" si="73"/>
        <v>3075-336</v>
      </c>
      <c r="C826" s="99" t="s">
        <v>2294</v>
      </c>
      <c r="D826" s="100" t="s">
        <v>2295</v>
      </c>
      <c r="E826" s="99" t="s">
        <v>2317</v>
      </c>
      <c r="F826" s="99" t="s">
        <v>2318</v>
      </c>
      <c r="G826" s="101" t="s">
        <v>2319</v>
      </c>
      <c r="H826" s="102" t="s">
        <v>2320</v>
      </c>
      <c r="I826" s="100" t="s">
        <v>2300</v>
      </c>
      <c r="J826" s="100" t="s">
        <v>2301</v>
      </c>
      <c r="K826" s="100" t="s">
        <v>50</v>
      </c>
      <c r="L826" s="1" t="s">
        <v>2302</v>
      </c>
      <c r="M826" s="1" t="s">
        <v>493</v>
      </c>
      <c r="N826" s="1" t="s">
        <v>494</v>
      </c>
      <c r="O826" s="100" t="s">
        <v>2321</v>
      </c>
      <c r="P826" s="112" t="s">
        <v>3766</v>
      </c>
      <c r="Q826" s="103">
        <v>300000000</v>
      </c>
      <c r="R826" s="1">
        <v>1</v>
      </c>
      <c r="S826" s="104">
        <v>300000000</v>
      </c>
      <c r="T826" s="1"/>
      <c r="U826" s="1" t="s">
        <v>2323</v>
      </c>
      <c r="V826" s="31" t="s">
        <v>510</v>
      </c>
      <c r="W826" s="105" t="s">
        <v>50</v>
      </c>
      <c r="X826" s="113"/>
      <c r="Y826" s="111"/>
      <c r="Z826" s="106"/>
      <c r="AA826" s="107" t="s">
        <v>2929</v>
      </c>
      <c r="AB826" s="20"/>
      <c r="AC826" s="31"/>
      <c r="AD826" s="108"/>
      <c r="AE826" s="109">
        <f t="shared" si="72"/>
        <v>300000000</v>
      </c>
      <c r="AF826" s="20"/>
      <c r="AG826" s="31"/>
      <c r="AH826" s="108"/>
      <c r="AI826" s="1"/>
      <c r="AJ826" s="1"/>
      <c r="AK826" s="109">
        <f t="shared" si="74"/>
        <v>0</v>
      </c>
      <c r="AL826" s="108"/>
      <c r="AM826" s="108">
        <f t="shared" si="75"/>
        <v>0</v>
      </c>
      <c r="AN826" s="1" t="s">
        <v>2308</v>
      </c>
      <c r="AO826" s="108">
        <f t="shared" si="76"/>
        <v>300000000</v>
      </c>
      <c r="AP826" s="1" t="s">
        <v>3279</v>
      </c>
      <c r="AQ826" s="1"/>
      <c r="AR826" s="1" t="s">
        <v>3256</v>
      </c>
      <c r="AS826" s="1"/>
      <c r="AT826" s="1"/>
      <c r="AU826" s="211"/>
    </row>
    <row r="827" spans="1:47" ht="255" x14ac:dyDescent="0.2">
      <c r="A827" s="1">
        <v>337</v>
      </c>
      <c r="B827" s="1" t="str">
        <f t="shared" si="73"/>
        <v>3075-337</v>
      </c>
      <c r="C827" s="99" t="s">
        <v>2294</v>
      </c>
      <c r="D827" s="100" t="s">
        <v>2295</v>
      </c>
      <c r="E827" s="99" t="s">
        <v>2317</v>
      </c>
      <c r="F827" s="99" t="s">
        <v>2318</v>
      </c>
      <c r="G827" s="101" t="s">
        <v>2319</v>
      </c>
      <c r="H827" s="102" t="s">
        <v>2320</v>
      </c>
      <c r="I827" s="100" t="s">
        <v>2300</v>
      </c>
      <c r="J827" s="100" t="s">
        <v>2301</v>
      </c>
      <c r="K827" s="100" t="s">
        <v>50</v>
      </c>
      <c r="L827" s="1" t="s">
        <v>2302</v>
      </c>
      <c r="M827" s="1" t="s">
        <v>493</v>
      </c>
      <c r="N827" s="1" t="s">
        <v>494</v>
      </c>
      <c r="O827" s="100" t="s">
        <v>2321</v>
      </c>
      <c r="P827" s="112" t="s">
        <v>3766</v>
      </c>
      <c r="Q827" s="103">
        <v>300000000</v>
      </c>
      <c r="R827" s="1">
        <v>1</v>
      </c>
      <c r="S827" s="104">
        <v>262497800</v>
      </c>
      <c r="T827" s="1"/>
      <c r="U827" s="1" t="s">
        <v>2323</v>
      </c>
      <c r="V827" s="31" t="s">
        <v>2208</v>
      </c>
      <c r="W827" s="105" t="s">
        <v>50</v>
      </c>
      <c r="X827" s="113"/>
      <c r="Y827" s="111"/>
      <c r="Z827" s="106"/>
      <c r="AA827" s="107" t="s">
        <v>2929</v>
      </c>
      <c r="AB827" s="20"/>
      <c r="AC827" s="31"/>
      <c r="AD827" s="108"/>
      <c r="AE827" s="109">
        <f t="shared" si="72"/>
        <v>262497800</v>
      </c>
      <c r="AF827" s="20"/>
      <c r="AG827" s="31"/>
      <c r="AH827" s="108"/>
      <c r="AI827" s="1"/>
      <c r="AJ827" s="1"/>
      <c r="AK827" s="109">
        <f t="shared" si="74"/>
        <v>0</v>
      </c>
      <c r="AL827" s="108"/>
      <c r="AM827" s="108">
        <f t="shared" si="75"/>
        <v>0</v>
      </c>
      <c r="AN827" s="1" t="s">
        <v>2308</v>
      </c>
      <c r="AO827" s="108">
        <f t="shared" si="76"/>
        <v>262497800</v>
      </c>
      <c r="AP827" s="1" t="s">
        <v>3279</v>
      </c>
      <c r="AQ827" s="1"/>
      <c r="AR827" s="1" t="s">
        <v>3256</v>
      </c>
      <c r="AS827" s="1"/>
      <c r="AT827" s="1"/>
      <c r="AU827" s="211"/>
    </row>
    <row r="828" spans="1:47" ht="127.5" x14ac:dyDescent="0.2">
      <c r="A828" s="1">
        <v>338</v>
      </c>
      <c r="B828" s="1" t="str">
        <f t="shared" si="73"/>
        <v>3075-338</v>
      </c>
      <c r="C828" s="99" t="s">
        <v>2294</v>
      </c>
      <c r="D828" s="100" t="s">
        <v>2295</v>
      </c>
      <c r="E828" s="100" t="s">
        <v>2327</v>
      </c>
      <c r="F828" s="99" t="s">
        <v>2328</v>
      </c>
      <c r="G828" s="101" t="s">
        <v>2329</v>
      </c>
      <c r="H828" s="102" t="s">
        <v>2330</v>
      </c>
      <c r="I828" s="100" t="s">
        <v>2300</v>
      </c>
      <c r="J828" s="100" t="s">
        <v>2331</v>
      </c>
      <c r="K828" s="100" t="s">
        <v>50</v>
      </c>
      <c r="L828" s="1" t="s">
        <v>2302</v>
      </c>
      <c r="M828" s="1" t="s">
        <v>493</v>
      </c>
      <c r="N828" s="1" t="s">
        <v>494</v>
      </c>
      <c r="O828" s="100" t="s">
        <v>2321</v>
      </c>
      <c r="P828" s="100" t="s">
        <v>3283</v>
      </c>
      <c r="Q828" s="103">
        <v>252845918</v>
      </c>
      <c r="R828" s="1">
        <v>1</v>
      </c>
      <c r="S828" s="104">
        <v>325056000</v>
      </c>
      <c r="T828" s="1"/>
      <c r="U828" s="1" t="s">
        <v>2323</v>
      </c>
      <c r="V828" s="31" t="s">
        <v>3284</v>
      </c>
      <c r="W828" s="105" t="s">
        <v>50</v>
      </c>
      <c r="X828" s="113"/>
      <c r="Y828" s="111"/>
      <c r="Z828" s="106"/>
      <c r="AA828" s="107" t="s">
        <v>3172</v>
      </c>
      <c r="AB828" s="20"/>
      <c r="AC828" s="31"/>
      <c r="AD828" s="108"/>
      <c r="AE828" s="109">
        <f t="shared" si="72"/>
        <v>325056000</v>
      </c>
      <c r="AF828" s="20"/>
      <c r="AG828" s="31"/>
      <c r="AH828" s="108"/>
      <c r="AI828" s="1"/>
      <c r="AJ828" s="1"/>
      <c r="AK828" s="109">
        <f t="shared" si="74"/>
        <v>0</v>
      </c>
      <c r="AL828" s="108"/>
      <c r="AM828" s="108">
        <f t="shared" si="75"/>
        <v>0</v>
      </c>
      <c r="AN828" s="1" t="s">
        <v>2308</v>
      </c>
      <c r="AO828" s="108">
        <f t="shared" si="76"/>
        <v>325056000</v>
      </c>
      <c r="AP828" s="1" t="s">
        <v>3279</v>
      </c>
      <c r="AQ828" s="1"/>
      <c r="AR828" s="1" t="s">
        <v>3256</v>
      </c>
      <c r="AS828" s="1"/>
      <c r="AT828" s="1"/>
      <c r="AU828" s="211"/>
    </row>
    <row r="829" spans="1:47" ht="306" x14ac:dyDescent="0.2">
      <c r="A829" s="1">
        <v>339</v>
      </c>
      <c r="B829" s="1" t="str">
        <f t="shared" si="73"/>
        <v>3075-339</v>
      </c>
      <c r="C829" s="99" t="s">
        <v>2294</v>
      </c>
      <c r="D829" s="100" t="s">
        <v>2295</v>
      </c>
      <c r="E829" s="100" t="s">
        <v>2327</v>
      </c>
      <c r="F829" s="99" t="s">
        <v>2328</v>
      </c>
      <c r="G829" s="101" t="s">
        <v>2329</v>
      </c>
      <c r="H829" s="102" t="s">
        <v>2330</v>
      </c>
      <c r="I829" s="100" t="s">
        <v>2300</v>
      </c>
      <c r="J829" s="100" t="s">
        <v>2336</v>
      </c>
      <c r="K829" s="100" t="s">
        <v>50</v>
      </c>
      <c r="L829" s="1" t="s">
        <v>2302</v>
      </c>
      <c r="M829" s="1" t="s">
        <v>493</v>
      </c>
      <c r="N829" s="1" t="s">
        <v>494</v>
      </c>
      <c r="O829" s="100" t="s">
        <v>2321</v>
      </c>
      <c r="P829" s="100" t="s">
        <v>3285</v>
      </c>
      <c r="Q829" s="103">
        <v>0</v>
      </c>
      <c r="R829" s="1">
        <v>1</v>
      </c>
      <c r="S829" s="104">
        <f>322658000-7106185-69667715-39062100-62779330-39062100-34911092-31007378</f>
        <v>39062100</v>
      </c>
      <c r="T829" s="1" t="s">
        <v>2323</v>
      </c>
      <c r="U829" s="1" t="s">
        <v>2323</v>
      </c>
      <c r="V829" s="31" t="s">
        <v>1352</v>
      </c>
      <c r="W829" s="105" t="s">
        <v>50</v>
      </c>
      <c r="X829" s="1" t="s">
        <v>3286</v>
      </c>
      <c r="Y829" s="111">
        <v>43224</v>
      </c>
      <c r="Z829" s="106">
        <v>39062100</v>
      </c>
      <c r="AA829" s="107" t="s">
        <v>3287</v>
      </c>
      <c r="AB829" s="20">
        <v>818</v>
      </c>
      <c r="AC829" s="31">
        <v>43227</v>
      </c>
      <c r="AD829" s="108">
        <v>39062100</v>
      </c>
      <c r="AE829" s="109">
        <f t="shared" si="72"/>
        <v>0</v>
      </c>
      <c r="AF829" s="20">
        <v>2399</v>
      </c>
      <c r="AG829" s="31">
        <v>43280</v>
      </c>
      <c r="AH829" s="108">
        <v>39062100</v>
      </c>
      <c r="AI829" s="1" t="s">
        <v>3288</v>
      </c>
      <c r="AJ829" s="1">
        <v>2771</v>
      </c>
      <c r="AK829" s="109">
        <f t="shared" si="74"/>
        <v>0</v>
      </c>
      <c r="AL829" s="108">
        <v>0</v>
      </c>
      <c r="AM829" s="108">
        <f t="shared" si="75"/>
        <v>39062100</v>
      </c>
      <c r="AN829" s="1" t="s">
        <v>2308</v>
      </c>
      <c r="AO829" s="108">
        <f t="shared" si="76"/>
        <v>0</v>
      </c>
      <c r="AP829" s="1" t="s">
        <v>3279</v>
      </c>
      <c r="AQ829" s="31">
        <v>43224</v>
      </c>
      <c r="AR829" s="1" t="s">
        <v>2326</v>
      </c>
      <c r="AS829" s="31">
        <v>43224</v>
      </c>
      <c r="AT829" s="1"/>
      <c r="AU829" s="211"/>
    </row>
    <row r="830" spans="1:47" ht="306" x14ac:dyDescent="0.2">
      <c r="A830" s="1">
        <v>340</v>
      </c>
      <c r="B830" s="1" t="str">
        <f t="shared" si="73"/>
        <v>3075-340</v>
      </c>
      <c r="C830" s="99" t="s">
        <v>2294</v>
      </c>
      <c r="D830" s="100" t="s">
        <v>2295</v>
      </c>
      <c r="E830" s="100" t="s">
        <v>2327</v>
      </c>
      <c r="F830" s="99" t="s">
        <v>2328</v>
      </c>
      <c r="G830" s="101" t="s">
        <v>2329</v>
      </c>
      <c r="H830" s="102" t="s">
        <v>2330</v>
      </c>
      <c r="I830" s="100" t="s">
        <v>2300</v>
      </c>
      <c r="J830" s="100" t="s">
        <v>2336</v>
      </c>
      <c r="K830" s="100" t="s">
        <v>50</v>
      </c>
      <c r="L830" s="1" t="s">
        <v>2302</v>
      </c>
      <c r="M830" s="1" t="s">
        <v>493</v>
      </c>
      <c r="N830" s="1" t="s">
        <v>494</v>
      </c>
      <c r="O830" s="100" t="s">
        <v>2321</v>
      </c>
      <c r="P830" s="100" t="s">
        <v>3289</v>
      </c>
      <c r="Q830" s="108">
        <v>39062100</v>
      </c>
      <c r="R830" s="1">
        <v>1</v>
      </c>
      <c r="S830" s="104">
        <f>161329000-8054722-39062100-39062100-36087978</f>
        <v>39062100</v>
      </c>
      <c r="T830" s="1" t="s">
        <v>2323</v>
      </c>
      <c r="U830" s="1" t="s">
        <v>2323</v>
      </c>
      <c r="V830" s="31" t="s">
        <v>1352</v>
      </c>
      <c r="W830" s="105" t="s">
        <v>50</v>
      </c>
      <c r="X830" s="1" t="s">
        <v>3290</v>
      </c>
      <c r="Y830" s="111">
        <v>43237</v>
      </c>
      <c r="Z830" s="106">
        <v>39062100</v>
      </c>
      <c r="AA830" s="107" t="s">
        <v>3287</v>
      </c>
      <c r="AB830" s="20">
        <v>837</v>
      </c>
      <c r="AC830" s="31">
        <v>43238</v>
      </c>
      <c r="AD830" s="108">
        <v>39062100</v>
      </c>
      <c r="AE830" s="109">
        <f t="shared" si="72"/>
        <v>0</v>
      </c>
      <c r="AF830" s="20">
        <v>2034</v>
      </c>
      <c r="AG830" s="31">
        <v>43270</v>
      </c>
      <c r="AH830" s="108">
        <v>39062100</v>
      </c>
      <c r="AI830" s="1" t="s">
        <v>3291</v>
      </c>
      <c r="AJ830" s="1">
        <v>2237</v>
      </c>
      <c r="AK830" s="109">
        <f t="shared" si="74"/>
        <v>0</v>
      </c>
      <c r="AL830" s="108">
        <v>0</v>
      </c>
      <c r="AM830" s="108">
        <f t="shared" si="75"/>
        <v>39062100</v>
      </c>
      <c r="AN830" s="1" t="s">
        <v>2308</v>
      </c>
      <c r="AO830" s="108">
        <f t="shared" si="76"/>
        <v>0</v>
      </c>
      <c r="AP830" s="1" t="s">
        <v>3279</v>
      </c>
      <c r="AQ830" s="31">
        <v>43237</v>
      </c>
      <c r="AR830" s="1" t="s">
        <v>2326</v>
      </c>
      <c r="AS830" s="31">
        <v>43237</v>
      </c>
      <c r="AT830" s="1" t="s">
        <v>3289</v>
      </c>
      <c r="AU830" s="211"/>
    </row>
    <row r="831" spans="1:47" ht="127.5" x14ac:dyDescent="0.2">
      <c r="A831" s="1">
        <v>341</v>
      </c>
      <c r="B831" s="1" t="str">
        <f t="shared" si="73"/>
        <v>3075-341</v>
      </c>
      <c r="C831" s="99" t="s">
        <v>2294</v>
      </c>
      <c r="D831" s="100" t="s">
        <v>2295</v>
      </c>
      <c r="E831" s="100" t="s">
        <v>2327</v>
      </c>
      <c r="F831" s="99" t="s">
        <v>2328</v>
      </c>
      <c r="G831" s="101" t="s">
        <v>2329</v>
      </c>
      <c r="H831" s="102" t="s">
        <v>2330</v>
      </c>
      <c r="I831" s="100" t="s">
        <v>2300</v>
      </c>
      <c r="J831" s="100" t="s">
        <v>2336</v>
      </c>
      <c r="K831" s="100" t="s">
        <v>50</v>
      </c>
      <c r="L831" s="1" t="s">
        <v>2302</v>
      </c>
      <c r="M831" s="1" t="s">
        <v>493</v>
      </c>
      <c r="N831" s="1" t="s">
        <v>494</v>
      </c>
      <c r="O831" s="100" t="s">
        <v>2321</v>
      </c>
      <c r="P831" s="100" t="s">
        <v>3283</v>
      </c>
      <c r="Q831" s="103">
        <v>5944796000</v>
      </c>
      <c r="R831" s="1">
        <v>1</v>
      </c>
      <c r="S831" s="104">
        <f>5944796000-2974122-(39062100*4)</f>
        <v>5785573478</v>
      </c>
      <c r="T831" s="1"/>
      <c r="U831" s="1" t="s">
        <v>2323</v>
      </c>
      <c r="V831" s="31" t="s">
        <v>3284</v>
      </c>
      <c r="W831" s="105" t="s">
        <v>50</v>
      </c>
      <c r="X831" s="1"/>
      <c r="Y831" s="111"/>
      <c r="Z831" s="106"/>
      <c r="AA831" s="107" t="s">
        <v>3287</v>
      </c>
      <c r="AB831" s="20"/>
      <c r="AC831" s="31"/>
      <c r="AD831" s="108"/>
      <c r="AE831" s="109">
        <f t="shared" si="72"/>
        <v>5785573478</v>
      </c>
      <c r="AF831" s="20"/>
      <c r="AG831" s="31"/>
      <c r="AH831" s="108"/>
      <c r="AI831" s="1"/>
      <c r="AJ831" s="1"/>
      <c r="AK831" s="109">
        <f t="shared" si="74"/>
        <v>0</v>
      </c>
      <c r="AL831" s="108"/>
      <c r="AM831" s="108">
        <f t="shared" si="75"/>
        <v>0</v>
      </c>
      <c r="AN831" s="1" t="s">
        <v>2308</v>
      </c>
      <c r="AO831" s="108">
        <f t="shared" si="76"/>
        <v>5785573478</v>
      </c>
      <c r="AP831" s="1" t="s">
        <v>3279</v>
      </c>
      <c r="AQ831" s="1"/>
      <c r="AR831" s="1" t="s">
        <v>3256</v>
      </c>
      <c r="AS831" s="1"/>
      <c r="AT831" s="1"/>
      <c r="AU831" s="211"/>
    </row>
    <row r="832" spans="1:47" ht="318.75" x14ac:dyDescent="0.2">
      <c r="A832" s="1">
        <v>342</v>
      </c>
      <c r="B832" s="1" t="str">
        <f t="shared" si="73"/>
        <v>3075-342</v>
      </c>
      <c r="C832" s="99" t="s">
        <v>2294</v>
      </c>
      <c r="D832" s="100" t="s">
        <v>2295</v>
      </c>
      <c r="E832" s="100" t="s">
        <v>2327</v>
      </c>
      <c r="F832" s="99" t="s">
        <v>2328</v>
      </c>
      <c r="G832" s="101" t="s">
        <v>2329</v>
      </c>
      <c r="H832" s="102" t="s">
        <v>2330</v>
      </c>
      <c r="I832" s="100" t="s">
        <v>2300</v>
      </c>
      <c r="J832" s="100" t="s">
        <v>2301</v>
      </c>
      <c r="K832" s="100" t="s">
        <v>50</v>
      </c>
      <c r="L832" s="1" t="s">
        <v>2302</v>
      </c>
      <c r="M832" s="1" t="s">
        <v>493</v>
      </c>
      <c r="N832" s="1" t="s">
        <v>494</v>
      </c>
      <c r="O832" s="100" t="s">
        <v>2321</v>
      </c>
      <c r="P832" s="100" t="s">
        <v>3292</v>
      </c>
      <c r="Q832" s="103">
        <v>39062100</v>
      </c>
      <c r="R832" s="1">
        <v>1</v>
      </c>
      <c r="S832" s="104">
        <f>161329000-54686940-54686940-12893020</f>
        <v>39062100</v>
      </c>
      <c r="T832" s="1" t="s">
        <v>2323</v>
      </c>
      <c r="U832" s="1" t="s">
        <v>2323</v>
      </c>
      <c r="V832" s="31" t="s">
        <v>1352</v>
      </c>
      <c r="W832" s="105" t="s">
        <v>50</v>
      </c>
      <c r="X832" s="1" t="s">
        <v>3293</v>
      </c>
      <c r="Y832" s="31">
        <v>43269</v>
      </c>
      <c r="Z832" s="106">
        <v>39062100</v>
      </c>
      <c r="AA832" s="107" t="s">
        <v>2933</v>
      </c>
      <c r="AB832" s="20">
        <v>905</v>
      </c>
      <c r="AC832" s="31">
        <v>43270</v>
      </c>
      <c r="AD832" s="108">
        <v>39062100</v>
      </c>
      <c r="AE832" s="109">
        <f t="shared" si="72"/>
        <v>0</v>
      </c>
      <c r="AF832" s="20">
        <v>2413</v>
      </c>
      <c r="AG832" s="31">
        <v>43280</v>
      </c>
      <c r="AH832" s="108">
        <v>39062100</v>
      </c>
      <c r="AI832" s="1" t="s">
        <v>3294</v>
      </c>
      <c r="AJ832" s="1">
        <v>2804</v>
      </c>
      <c r="AK832" s="109">
        <f t="shared" si="74"/>
        <v>0</v>
      </c>
      <c r="AL832" s="108">
        <v>0</v>
      </c>
      <c r="AM832" s="108">
        <f t="shared" si="75"/>
        <v>39062100</v>
      </c>
      <c r="AN832" s="1" t="s">
        <v>2308</v>
      </c>
      <c r="AO832" s="108">
        <f t="shared" si="76"/>
        <v>0</v>
      </c>
      <c r="AP832" s="1" t="s">
        <v>3279</v>
      </c>
      <c r="AQ832" s="31">
        <v>43269</v>
      </c>
      <c r="AR832" s="1" t="s">
        <v>3256</v>
      </c>
      <c r="AS832" s="31">
        <v>43269</v>
      </c>
      <c r="AT832" s="1" t="s">
        <v>3295</v>
      </c>
      <c r="AU832" s="211"/>
    </row>
    <row r="833" spans="1:47" ht="216.75" x14ac:dyDescent="0.2">
      <c r="A833" s="1">
        <v>343</v>
      </c>
      <c r="B833" s="1" t="str">
        <f t="shared" si="73"/>
        <v>3075-343</v>
      </c>
      <c r="C833" s="99" t="s">
        <v>2294</v>
      </c>
      <c r="D833" s="100" t="s">
        <v>2295</v>
      </c>
      <c r="E833" s="100" t="s">
        <v>2327</v>
      </c>
      <c r="F833" s="99" t="s">
        <v>2328</v>
      </c>
      <c r="G833" s="101" t="s">
        <v>2329</v>
      </c>
      <c r="H833" s="102" t="s">
        <v>2330</v>
      </c>
      <c r="I833" s="100" t="s">
        <v>2300</v>
      </c>
      <c r="J833" s="100" t="s">
        <v>2301</v>
      </c>
      <c r="K833" s="100" t="s">
        <v>50</v>
      </c>
      <c r="L833" s="1" t="s">
        <v>2302</v>
      </c>
      <c r="M833" s="1" t="s">
        <v>493</v>
      </c>
      <c r="N833" s="1" t="s">
        <v>494</v>
      </c>
      <c r="O833" s="100" t="s">
        <v>2321</v>
      </c>
      <c r="P833" s="100" t="s">
        <v>3296</v>
      </c>
      <c r="Q833" s="106">
        <f>161329000-54686940</f>
        <v>106642060</v>
      </c>
      <c r="R833" s="1">
        <v>1</v>
      </c>
      <c r="S833" s="104">
        <f>161329000-54686940-17971536+942246-34657385</f>
        <v>54955385</v>
      </c>
      <c r="T833" s="1" t="s">
        <v>2323</v>
      </c>
      <c r="U833" s="1" t="s">
        <v>2323</v>
      </c>
      <c r="V833" s="31" t="s">
        <v>632</v>
      </c>
      <c r="W833" s="105" t="s">
        <v>50</v>
      </c>
      <c r="X833" s="1" t="s">
        <v>3297</v>
      </c>
      <c r="Y833" s="31">
        <v>43273</v>
      </c>
      <c r="Z833" s="106">
        <v>54955385</v>
      </c>
      <c r="AA833" s="107" t="s">
        <v>2933</v>
      </c>
      <c r="AB833" s="20">
        <v>912</v>
      </c>
      <c r="AC833" s="31">
        <v>43276</v>
      </c>
      <c r="AD833" s="108">
        <v>54955385</v>
      </c>
      <c r="AE833" s="109">
        <f t="shared" si="72"/>
        <v>0</v>
      </c>
      <c r="AF833" s="20">
        <v>2477</v>
      </c>
      <c r="AG833" s="31">
        <v>43292</v>
      </c>
      <c r="AH833" s="108">
        <v>54955385</v>
      </c>
      <c r="AI833" s="1" t="s">
        <v>3298</v>
      </c>
      <c r="AJ833" s="1">
        <v>2838</v>
      </c>
      <c r="AK833" s="109">
        <f t="shared" si="74"/>
        <v>0</v>
      </c>
      <c r="AL833" s="108">
        <v>0</v>
      </c>
      <c r="AM833" s="108">
        <f t="shared" si="75"/>
        <v>54955385</v>
      </c>
      <c r="AN833" s="1" t="s">
        <v>2308</v>
      </c>
      <c r="AO833" s="108">
        <f t="shared" si="76"/>
        <v>0</v>
      </c>
      <c r="AP833" s="1" t="s">
        <v>3279</v>
      </c>
      <c r="AQ833" s="1" t="s">
        <v>3299</v>
      </c>
      <c r="AR833" s="1" t="s">
        <v>3256</v>
      </c>
      <c r="AS833" s="1" t="s">
        <v>3300</v>
      </c>
      <c r="AT833" s="1" t="s">
        <v>3296</v>
      </c>
      <c r="AU833" s="211"/>
    </row>
    <row r="834" spans="1:47" ht="306" x14ac:dyDescent="0.2">
      <c r="A834" s="1">
        <v>344</v>
      </c>
      <c r="B834" s="1" t="str">
        <f t="shared" si="73"/>
        <v>3075-344</v>
      </c>
      <c r="C834" s="99" t="s">
        <v>2294</v>
      </c>
      <c r="D834" s="100" t="s">
        <v>2295</v>
      </c>
      <c r="E834" s="100" t="s">
        <v>2327</v>
      </c>
      <c r="F834" s="99" t="s">
        <v>2328</v>
      </c>
      <c r="G834" s="101" t="s">
        <v>2329</v>
      </c>
      <c r="H834" s="102" t="s">
        <v>2330</v>
      </c>
      <c r="I834" s="100" t="s">
        <v>2300</v>
      </c>
      <c r="J834" s="100" t="s">
        <v>2301</v>
      </c>
      <c r="K834" s="100" t="s">
        <v>50</v>
      </c>
      <c r="L834" s="1" t="s">
        <v>2302</v>
      </c>
      <c r="M834" s="1" t="s">
        <v>493</v>
      </c>
      <c r="N834" s="1" t="s">
        <v>494</v>
      </c>
      <c r="O834" s="100" t="s">
        <v>2321</v>
      </c>
      <c r="P834" s="100" t="s">
        <v>3301</v>
      </c>
      <c r="Q834" s="103">
        <v>39062100</v>
      </c>
      <c r="R834" s="1">
        <v>1</v>
      </c>
      <c r="S834" s="104">
        <f>161329000-4404715-(39062100*3)-675885</f>
        <v>39062100</v>
      </c>
      <c r="T834" s="1" t="s">
        <v>2323</v>
      </c>
      <c r="U834" s="1" t="s">
        <v>2323</v>
      </c>
      <c r="V834" s="31" t="s">
        <v>1352</v>
      </c>
      <c r="W834" s="105" t="s">
        <v>50</v>
      </c>
      <c r="X834" s="1" t="s">
        <v>3302</v>
      </c>
      <c r="Y834" s="31">
        <v>43276</v>
      </c>
      <c r="Z834" s="106">
        <v>39062100</v>
      </c>
      <c r="AA834" s="107" t="s">
        <v>2933</v>
      </c>
      <c r="AB834" s="20">
        <v>918</v>
      </c>
      <c r="AC834" s="31">
        <v>43277</v>
      </c>
      <c r="AD834" s="108">
        <v>39062100</v>
      </c>
      <c r="AE834" s="109">
        <f t="shared" si="72"/>
        <v>0</v>
      </c>
      <c r="AF834" s="20">
        <v>2407</v>
      </c>
      <c r="AG834" s="31">
        <v>43280</v>
      </c>
      <c r="AH834" s="108">
        <v>39062100</v>
      </c>
      <c r="AI834" s="1" t="s">
        <v>3303</v>
      </c>
      <c r="AJ834" s="1">
        <v>2827</v>
      </c>
      <c r="AK834" s="109">
        <f t="shared" si="74"/>
        <v>0</v>
      </c>
      <c r="AL834" s="108">
        <v>0</v>
      </c>
      <c r="AM834" s="108">
        <f t="shared" si="75"/>
        <v>39062100</v>
      </c>
      <c r="AN834" s="1" t="s">
        <v>2308</v>
      </c>
      <c r="AO834" s="108">
        <f t="shared" si="76"/>
        <v>0</v>
      </c>
      <c r="AP834" s="1" t="s">
        <v>3279</v>
      </c>
      <c r="AQ834" s="31">
        <v>43276</v>
      </c>
      <c r="AR834" s="1" t="s">
        <v>2326</v>
      </c>
      <c r="AS834" s="31">
        <v>43276</v>
      </c>
      <c r="AT834" s="100" t="s">
        <v>3301</v>
      </c>
      <c r="AU834" s="211"/>
    </row>
    <row r="835" spans="1:47" ht="306" x14ac:dyDescent="0.2">
      <c r="A835" s="1">
        <v>345</v>
      </c>
      <c r="B835" s="1" t="str">
        <f t="shared" si="73"/>
        <v>3075-345</v>
      </c>
      <c r="C835" s="99" t="s">
        <v>2294</v>
      </c>
      <c r="D835" s="100" t="s">
        <v>2295</v>
      </c>
      <c r="E835" s="100" t="s">
        <v>2327</v>
      </c>
      <c r="F835" s="99" t="s">
        <v>2328</v>
      </c>
      <c r="G835" s="101" t="s">
        <v>2329</v>
      </c>
      <c r="H835" s="102" t="s">
        <v>2330</v>
      </c>
      <c r="I835" s="100" t="s">
        <v>2300</v>
      </c>
      <c r="J835" s="100" t="s">
        <v>2301</v>
      </c>
      <c r="K835" s="100" t="s">
        <v>50</v>
      </c>
      <c r="L835" s="1" t="s">
        <v>2302</v>
      </c>
      <c r="M835" s="1" t="s">
        <v>493</v>
      </c>
      <c r="N835" s="1" t="s">
        <v>494</v>
      </c>
      <c r="O835" s="100" t="s">
        <v>2321</v>
      </c>
      <c r="P835" s="100" t="s">
        <v>3304</v>
      </c>
      <c r="Q835" s="103">
        <v>39062100</v>
      </c>
      <c r="R835" s="1">
        <v>1</v>
      </c>
      <c r="S835" s="104">
        <f>161329000-38386215-39062100-39062100-13850160+8093675</f>
        <v>39062100</v>
      </c>
      <c r="T835" s="1"/>
      <c r="U835" s="1" t="s">
        <v>2323</v>
      </c>
      <c r="V835" s="31" t="s">
        <v>616</v>
      </c>
      <c r="W835" s="105" t="s">
        <v>50</v>
      </c>
      <c r="X835" s="1" t="s">
        <v>3305</v>
      </c>
      <c r="Y835" s="31">
        <v>43313</v>
      </c>
      <c r="Z835" s="106">
        <v>39062100</v>
      </c>
      <c r="AA835" s="107" t="s">
        <v>2933</v>
      </c>
      <c r="AB835" s="20"/>
      <c r="AC835" s="31"/>
      <c r="AD835" s="108"/>
      <c r="AE835" s="109">
        <f t="shared" si="72"/>
        <v>0</v>
      </c>
      <c r="AF835" s="20"/>
      <c r="AG835" s="31"/>
      <c r="AH835" s="108"/>
      <c r="AI835" s="1"/>
      <c r="AJ835" s="1"/>
      <c r="AK835" s="109">
        <f t="shared" si="74"/>
        <v>0</v>
      </c>
      <c r="AL835" s="108"/>
      <c r="AM835" s="108">
        <f t="shared" si="75"/>
        <v>0</v>
      </c>
      <c r="AN835" s="1" t="s">
        <v>2308</v>
      </c>
      <c r="AO835" s="108">
        <f t="shared" si="76"/>
        <v>39062100</v>
      </c>
      <c r="AP835" s="1" t="s">
        <v>3279</v>
      </c>
      <c r="AQ835" s="31">
        <v>43313</v>
      </c>
      <c r="AR835" s="1" t="s">
        <v>2326</v>
      </c>
      <c r="AS835" s="31">
        <v>43313</v>
      </c>
      <c r="AT835" s="1"/>
      <c r="AU835" s="211"/>
    </row>
    <row r="836" spans="1:47" ht="127.5" x14ac:dyDescent="0.2">
      <c r="A836" s="1">
        <v>346</v>
      </c>
      <c r="B836" s="1" t="str">
        <f t="shared" si="73"/>
        <v>3075-346</v>
      </c>
      <c r="C836" s="99" t="s">
        <v>2294</v>
      </c>
      <c r="D836" s="100" t="s">
        <v>2295</v>
      </c>
      <c r="E836" s="100" t="s">
        <v>2327</v>
      </c>
      <c r="F836" s="99" t="s">
        <v>2328</v>
      </c>
      <c r="G836" s="101" t="s">
        <v>2329</v>
      </c>
      <c r="H836" s="102" t="s">
        <v>2330</v>
      </c>
      <c r="I836" s="100" t="s">
        <v>2300</v>
      </c>
      <c r="J836" s="100" t="s">
        <v>2301</v>
      </c>
      <c r="K836" s="100" t="s">
        <v>50</v>
      </c>
      <c r="L836" s="1" t="s">
        <v>2302</v>
      </c>
      <c r="M836" s="1" t="s">
        <v>493</v>
      </c>
      <c r="N836" s="1" t="s">
        <v>494</v>
      </c>
      <c r="O836" s="100" t="s">
        <v>2321</v>
      </c>
      <c r="P836" s="100" t="s">
        <v>3283</v>
      </c>
      <c r="Q836" s="103">
        <v>161329000</v>
      </c>
      <c r="R836" s="1">
        <v>1</v>
      </c>
      <c r="S836" s="104">
        <f>161329000-8093675</f>
        <v>153235325</v>
      </c>
      <c r="T836" s="1"/>
      <c r="U836" s="1" t="s">
        <v>2323</v>
      </c>
      <c r="V836" s="31" t="s">
        <v>1313</v>
      </c>
      <c r="W836" s="105" t="s">
        <v>50</v>
      </c>
      <c r="X836" s="1"/>
      <c r="Y836" s="31"/>
      <c r="Z836" s="106"/>
      <c r="AA836" s="107" t="s">
        <v>2933</v>
      </c>
      <c r="AB836" s="20"/>
      <c r="AC836" s="31"/>
      <c r="AD836" s="108"/>
      <c r="AE836" s="109">
        <f t="shared" si="72"/>
        <v>153235325</v>
      </c>
      <c r="AF836" s="20"/>
      <c r="AG836" s="31"/>
      <c r="AH836" s="108"/>
      <c r="AI836" s="1"/>
      <c r="AJ836" s="1"/>
      <c r="AK836" s="109">
        <f t="shared" si="74"/>
        <v>0</v>
      </c>
      <c r="AL836" s="108"/>
      <c r="AM836" s="108">
        <f t="shared" si="75"/>
        <v>0</v>
      </c>
      <c r="AN836" s="1" t="s">
        <v>2308</v>
      </c>
      <c r="AO836" s="108">
        <f t="shared" si="76"/>
        <v>153235325</v>
      </c>
      <c r="AP836" s="1" t="s">
        <v>3279</v>
      </c>
      <c r="AQ836" s="1"/>
      <c r="AR836" s="1" t="s">
        <v>3256</v>
      </c>
      <c r="AS836" s="1"/>
      <c r="AT836" s="1"/>
      <c r="AU836" s="211"/>
    </row>
    <row r="837" spans="1:47" ht="127.5" x14ac:dyDescent="0.2">
      <c r="A837" s="1">
        <v>347</v>
      </c>
      <c r="B837" s="1" t="str">
        <f t="shared" si="73"/>
        <v>3075-347</v>
      </c>
      <c r="C837" s="99" t="s">
        <v>2294</v>
      </c>
      <c r="D837" s="100" t="s">
        <v>2295</v>
      </c>
      <c r="E837" s="100" t="s">
        <v>2327</v>
      </c>
      <c r="F837" s="99" t="s">
        <v>2328</v>
      </c>
      <c r="G837" s="101" t="s">
        <v>2329</v>
      </c>
      <c r="H837" s="102" t="s">
        <v>2330</v>
      </c>
      <c r="I837" s="100" t="s">
        <v>2300</v>
      </c>
      <c r="J837" s="100" t="s">
        <v>2301</v>
      </c>
      <c r="K837" s="100" t="s">
        <v>50</v>
      </c>
      <c r="L837" s="1" t="s">
        <v>2302</v>
      </c>
      <c r="M837" s="1" t="s">
        <v>493</v>
      </c>
      <c r="N837" s="1" t="s">
        <v>494</v>
      </c>
      <c r="O837" s="100" t="s">
        <v>2321</v>
      </c>
      <c r="P837" s="100" t="s">
        <v>3283</v>
      </c>
      <c r="Q837" s="103">
        <v>3218849944</v>
      </c>
      <c r="R837" s="1">
        <v>1</v>
      </c>
      <c r="S837" s="104">
        <v>2064849944</v>
      </c>
      <c r="T837" s="1"/>
      <c r="U837" s="1" t="s">
        <v>2323</v>
      </c>
      <c r="V837" s="31" t="s">
        <v>3284</v>
      </c>
      <c r="W837" s="105" t="s">
        <v>50</v>
      </c>
      <c r="X837" s="1"/>
      <c r="Y837" s="31"/>
      <c r="Z837" s="106"/>
      <c r="AA837" s="107" t="s">
        <v>2933</v>
      </c>
      <c r="AB837" s="20"/>
      <c r="AC837" s="31"/>
      <c r="AD837" s="108"/>
      <c r="AE837" s="109">
        <f t="shared" si="72"/>
        <v>2064849944</v>
      </c>
      <c r="AF837" s="20"/>
      <c r="AG837" s="31"/>
      <c r="AH837" s="108"/>
      <c r="AI837" s="1"/>
      <c r="AJ837" s="1"/>
      <c r="AK837" s="109">
        <f t="shared" si="74"/>
        <v>0</v>
      </c>
      <c r="AL837" s="108"/>
      <c r="AM837" s="108">
        <f t="shared" si="75"/>
        <v>0</v>
      </c>
      <c r="AN837" s="1" t="s">
        <v>2308</v>
      </c>
      <c r="AO837" s="108">
        <f t="shared" si="76"/>
        <v>2064849944</v>
      </c>
      <c r="AP837" s="1" t="s">
        <v>3279</v>
      </c>
      <c r="AQ837" s="1"/>
      <c r="AR837" s="1" t="s">
        <v>3256</v>
      </c>
      <c r="AS837" s="1"/>
      <c r="AT837" s="1"/>
      <c r="AU837" s="211"/>
    </row>
    <row r="838" spans="1:47" ht="178.5" x14ac:dyDescent="0.2">
      <c r="A838" s="1">
        <v>348</v>
      </c>
      <c r="B838" s="1" t="str">
        <f t="shared" si="73"/>
        <v>3075-348</v>
      </c>
      <c r="C838" s="99" t="s">
        <v>2294</v>
      </c>
      <c r="D838" s="100" t="s">
        <v>2295</v>
      </c>
      <c r="E838" s="100" t="s">
        <v>2327</v>
      </c>
      <c r="F838" s="99" t="s">
        <v>2328</v>
      </c>
      <c r="G838" s="101" t="s">
        <v>2329</v>
      </c>
      <c r="H838" s="102" t="s">
        <v>2330</v>
      </c>
      <c r="I838" s="100" t="s">
        <v>2345</v>
      </c>
      <c r="J838" s="100" t="s">
        <v>2346</v>
      </c>
      <c r="K838" s="100" t="s">
        <v>50</v>
      </c>
      <c r="L838" s="1" t="s">
        <v>2302</v>
      </c>
      <c r="M838" s="1" t="s">
        <v>493</v>
      </c>
      <c r="N838" s="1" t="s">
        <v>494</v>
      </c>
      <c r="O838" s="100" t="s">
        <v>2321</v>
      </c>
      <c r="P838" s="100" t="s">
        <v>3306</v>
      </c>
      <c r="Q838" s="103">
        <v>161329000</v>
      </c>
      <c r="R838" s="1">
        <v>1</v>
      </c>
      <c r="S838" s="104">
        <f>161329000-33981500-39062100+80260426</f>
        <v>168545826</v>
      </c>
      <c r="T838" s="1" t="s">
        <v>2323</v>
      </c>
      <c r="U838" s="1" t="s">
        <v>2323</v>
      </c>
      <c r="V838" s="31" t="s">
        <v>632</v>
      </c>
      <c r="W838" s="105" t="s">
        <v>50</v>
      </c>
      <c r="X838" s="113" t="s">
        <v>3307</v>
      </c>
      <c r="Y838" s="31">
        <v>43273</v>
      </c>
      <c r="Z838" s="106">
        <v>168545826</v>
      </c>
      <c r="AA838" s="107" t="s">
        <v>3308</v>
      </c>
      <c r="AB838" s="20">
        <v>916</v>
      </c>
      <c r="AC838" s="31">
        <v>43277</v>
      </c>
      <c r="AD838" s="108">
        <v>168545826</v>
      </c>
      <c r="AE838" s="109">
        <f t="shared" si="72"/>
        <v>0</v>
      </c>
      <c r="AF838" s="20">
        <v>2463</v>
      </c>
      <c r="AG838" s="31">
        <v>43292</v>
      </c>
      <c r="AH838" s="108">
        <v>168545826</v>
      </c>
      <c r="AI838" s="1" t="s">
        <v>3309</v>
      </c>
      <c r="AJ838" s="1">
        <v>2835</v>
      </c>
      <c r="AK838" s="109">
        <f t="shared" si="74"/>
        <v>0</v>
      </c>
      <c r="AL838" s="108">
        <v>0</v>
      </c>
      <c r="AM838" s="108">
        <f t="shared" si="75"/>
        <v>168545826</v>
      </c>
      <c r="AN838" s="1" t="s">
        <v>2308</v>
      </c>
      <c r="AO838" s="108">
        <f t="shared" si="76"/>
        <v>0</v>
      </c>
      <c r="AP838" s="1" t="s">
        <v>3279</v>
      </c>
      <c r="AQ838" s="31">
        <v>43272</v>
      </c>
      <c r="AR838" s="1" t="s">
        <v>2326</v>
      </c>
      <c r="AS838" s="31">
        <v>43273</v>
      </c>
      <c r="AT838" s="1"/>
      <c r="AU838" s="211"/>
    </row>
    <row r="839" spans="1:47" ht="306" x14ac:dyDescent="0.2">
      <c r="A839" s="1">
        <v>349</v>
      </c>
      <c r="B839" s="1" t="str">
        <f t="shared" si="73"/>
        <v>3075-349</v>
      </c>
      <c r="C839" s="99" t="s">
        <v>2294</v>
      </c>
      <c r="D839" s="100" t="s">
        <v>2295</v>
      </c>
      <c r="E839" s="100" t="s">
        <v>2327</v>
      </c>
      <c r="F839" s="99" t="s">
        <v>2328</v>
      </c>
      <c r="G839" s="101" t="s">
        <v>2329</v>
      </c>
      <c r="H839" s="102" t="s">
        <v>2330</v>
      </c>
      <c r="I839" s="100" t="s">
        <v>2345</v>
      </c>
      <c r="J839" s="100" t="s">
        <v>2346</v>
      </c>
      <c r="K839" s="100" t="s">
        <v>50</v>
      </c>
      <c r="L839" s="1" t="s">
        <v>2302</v>
      </c>
      <c r="M839" s="1" t="s">
        <v>493</v>
      </c>
      <c r="N839" s="1" t="s">
        <v>494</v>
      </c>
      <c r="O839" s="100" t="s">
        <v>2321</v>
      </c>
      <c r="P839" s="100" t="s">
        <v>3310</v>
      </c>
      <c r="Q839" s="103">
        <v>39062100</v>
      </c>
      <c r="R839" s="1">
        <v>1</v>
      </c>
      <c r="S839" s="104">
        <f>161329000-80260426-39062100-2944374</f>
        <v>39062100</v>
      </c>
      <c r="T839" s="1"/>
      <c r="U839" s="1" t="s">
        <v>2323</v>
      </c>
      <c r="V839" s="31" t="s">
        <v>510</v>
      </c>
      <c r="W839" s="105" t="s">
        <v>50</v>
      </c>
      <c r="X839" s="113" t="s">
        <v>3311</v>
      </c>
      <c r="Y839" s="31">
        <v>43290</v>
      </c>
      <c r="Z839" s="106">
        <v>39062100</v>
      </c>
      <c r="AA839" s="107" t="s">
        <v>3308</v>
      </c>
      <c r="AB839" s="20">
        <v>947</v>
      </c>
      <c r="AC839" s="31">
        <v>43291</v>
      </c>
      <c r="AD839" s="108">
        <v>39062100</v>
      </c>
      <c r="AE839" s="109">
        <f t="shared" si="72"/>
        <v>0</v>
      </c>
      <c r="AF839" s="20"/>
      <c r="AG839" s="31"/>
      <c r="AH839" s="108"/>
      <c r="AI839" s="1"/>
      <c r="AJ839" s="1"/>
      <c r="AK839" s="109">
        <f t="shared" si="74"/>
        <v>39062100</v>
      </c>
      <c r="AL839" s="108"/>
      <c r="AM839" s="108">
        <f t="shared" si="75"/>
        <v>0</v>
      </c>
      <c r="AN839" s="1" t="s">
        <v>2308</v>
      </c>
      <c r="AO839" s="108">
        <f t="shared" si="76"/>
        <v>39062100</v>
      </c>
      <c r="AP839" s="1" t="s">
        <v>3279</v>
      </c>
      <c r="AQ839" s="31">
        <v>43290</v>
      </c>
      <c r="AR839" s="1" t="s">
        <v>2326</v>
      </c>
      <c r="AS839" s="31">
        <v>43290</v>
      </c>
      <c r="AT839" s="1"/>
      <c r="AU839" s="211"/>
    </row>
    <row r="840" spans="1:47" ht="127.5" x14ac:dyDescent="0.2">
      <c r="A840" s="1">
        <v>350</v>
      </c>
      <c r="B840" s="1" t="str">
        <f t="shared" si="73"/>
        <v>3075-350</v>
      </c>
      <c r="C840" s="99" t="s">
        <v>2294</v>
      </c>
      <c r="D840" s="100" t="s">
        <v>2295</v>
      </c>
      <c r="E840" s="100" t="s">
        <v>2327</v>
      </c>
      <c r="F840" s="99" t="s">
        <v>2328</v>
      </c>
      <c r="G840" s="101" t="s">
        <v>2329</v>
      </c>
      <c r="H840" s="102" t="s">
        <v>2330</v>
      </c>
      <c r="I840" s="100" t="s">
        <v>2345</v>
      </c>
      <c r="J840" s="100" t="s">
        <v>2346</v>
      </c>
      <c r="K840" s="100" t="s">
        <v>50</v>
      </c>
      <c r="L840" s="1" t="s">
        <v>2302</v>
      </c>
      <c r="M840" s="1" t="s">
        <v>493</v>
      </c>
      <c r="N840" s="1" t="s">
        <v>494</v>
      </c>
      <c r="O840" s="100" t="s">
        <v>2321</v>
      </c>
      <c r="P840" s="100" t="s">
        <v>3283</v>
      </c>
      <c r="Q840" s="103">
        <v>161329000</v>
      </c>
      <c r="R840" s="1">
        <v>1</v>
      </c>
      <c r="S840" s="104">
        <f>161329000-36117726-39062100-9077100-13239000</f>
        <v>63833074</v>
      </c>
      <c r="T840" s="1"/>
      <c r="U840" s="1" t="s">
        <v>2323</v>
      </c>
      <c r="V840" s="31" t="s">
        <v>2208</v>
      </c>
      <c r="W840" s="105" t="s">
        <v>50</v>
      </c>
      <c r="X840" s="113"/>
      <c r="Y840" s="31"/>
      <c r="Z840" s="106"/>
      <c r="AA840" s="107" t="s">
        <v>3308</v>
      </c>
      <c r="AB840" s="20"/>
      <c r="AC840" s="31"/>
      <c r="AD840" s="108"/>
      <c r="AE840" s="109">
        <f t="shared" si="72"/>
        <v>63833074</v>
      </c>
      <c r="AF840" s="20"/>
      <c r="AG840" s="31"/>
      <c r="AH840" s="108"/>
      <c r="AI840" s="1"/>
      <c r="AJ840" s="1"/>
      <c r="AK840" s="109">
        <f t="shared" si="74"/>
        <v>0</v>
      </c>
      <c r="AL840" s="108"/>
      <c r="AM840" s="108">
        <f t="shared" si="75"/>
        <v>0</v>
      </c>
      <c r="AN840" s="1" t="s">
        <v>2308</v>
      </c>
      <c r="AO840" s="108">
        <f t="shared" si="76"/>
        <v>63833074</v>
      </c>
      <c r="AP840" s="1" t="s">
        <v>3279</v>
      </c>
      <c r="AQ840" s="1"/>
      <c r="AR840" s="1" t="s">
        <v>3256</v>
      </c>
      <c r="AS840" s="1"/>
      <c r="AT840" s="1"/>
      <c r="AU840" s="211"/>
    </row>
    <row r="841" spans="1:47" ht="127.5" x14ac:dyDescent="0.2">
      <c r="A841" s="1">
        <v>351</v>
      </c>
      <c r="B841" s="1" t="str">
        <f t="shared" si="73"/>
        <v>3075-351</v>
      </c>
      <c r="C841" s="99" t="s">
        <v>2294</v>
      </c>
      <c r="D841" s="100" t="s">
        <v>2295</v>
      </c>
      <c r="E841" s="100" t="s">
        <v>2327</v>
      </c>
      <c r="F841" s="99" t="s">
        <v>2328</v>
      </c>
      <c r="G841" s="101" t="s">
        <v>2329</v>
      </c>
      <c r="H841" s="102" t="s">
        <v>2330</v>
      </c>
      <c r="I841" s="100" t="s">
        <v>2345</v>
      </c>
      <c r="J841" s="100" t="s">
        <v>2346</v>
      </c>
      <c r="K841" s="100" t="s">
        <v>50</v>
      </c>
      <c r="L841" s="1" t="s">
        <v>2302</v>
      </c>
      <c r="M841" s="1" t="s">
        <v>493</v>
      </c>
      <c r="N841" s="1" t="s">
        <v>494</v>
      </c>
      <c r="O841" s="100" t="s">
        <v>2321</v>
      </c>
      <c r="P841" s="100" t="s">
        <v>3283</v>
      </c>
      <c r="Q841" s="103">
        <v>161329000</v>
      </c>
      <c r="R841" s="1">
        <v>1</v>
      </c>
      <c r="S841" s="104">
        <v>161329000</v>
      </c>
      <c r="T841" s="1"/>
      <c r="U841" s="1" t="s">
        <v>2323</v>
      </c>
      <c r="V841" s="31" t="s">
        <v>2316</v>
      </c>
      <c r="W841" s="105" t="s">
        <v>50</v>
      </c>
      <c r="X841" s="113"/>
      <c r="Y841" s="31"/>
      <c r="Z841" s="106"/>
      <c r="AA841" s="107" t="s">
        <v>3308</v>
      </c>
      <c r="AB841" s="20"/>
      <c r="AC841" s="31"/>
      <c r="AD841" s="108"/>
      <c r="AE841" s="109">
        <f t="shared" si="72"/>
        <v>161329000</v>
      </c>
      <c r="AF841" s="20"/>
      <c r="AG841" s="31"/>
      <c r="AH841" s="108"/>
      <c r="AI841" s="1"/>
      <c r="AJ841" s="1"/>
      <c r="AK841" s="109">
        <f t="shared" si="74"/>
        <v>0</v>
      </c>
      <c r="AL841" s="108"/>
      <c r="AM841" s="108">
        <f t="shared" si="75"/>
        <v>0</v>
      </c>
      <c r="AN841" s="1" t="s">
        <v>2308</v>
      </c>
      <c r="AO841" s="108">
        <f t="shared" si="76"/>
        <v>161329000</v>
      </c>
      <c r="AP841" s="1" t="s">
        <v>3279</v>
      </c>
      <c r="AQ841" s="1"/>
      <c r="AR841" s="1" t="s">
        <v>3256</v>
      </c>
      <c r="AS841" s="1"/>
      <c r="AT841" s="1"/>
      <c r="AU841" s="211"/>
    </row>
    <row r="842" spans="1:47" ht="127.5" x14ac:dyDescent="0.2">
      <c r="A842" s="1">
        <v>352</v>
      </c>
      <c r="B842" s="1" t="str">
        <f t="shared" si="73"/>
        <v>3075-352</v>
      </c>
      <c r="C842" s="99" t="s">
        <v>2294</v>
      </c>
      <c r="D842" s="100" t="s">
        <v>2295</v>
      </c>
      <c r="E842" s="100" t="s">
        <v>2327</v>
      </c>
      <c r="F842" s="99" t="s">
        <v>2328</v>
      </c>
      <c r="G842" s="101" t="s">
        <v>2329</v>
      </c>
      <c r="H842" s="102" t="s">
        <v>2330</v>
      </c>
      <c r="I842" s="100" t="s">
        <v>2345</v>
      </c>
      <c r="J842" s="100" t="s">
        <v>2346</v>
      </c>
      <c r="K842" s="100" t="s">
        <v>50</v>
      </c>
      <c r="L842" s="1" t="s">
        <v>2302</v>
      </c>
      <c r="M842" s="1" t="s">
        <v>493</v>
      </c>
      <c r="N842" s="1" t="s">
        <v>494</v>
      </c>
      <c r="O842" s="100" t="s">
        <v>2321</v>
      </c>
      <c r="P842" s="100" t="s">
        <v>3283</v>
      </c>
      <c r="Q842" s="103">
        <v>161329000</v>
      </c>
      <c r="R842" s="1">
        <v>1</v>
      </c>
      <c r="S842" s="104">
        <v>161329000</v>
      </c>
      <c r="T842" s="1"/>
      <c r="U842" s="1" t="s">
        <v>2323</v>
      </c>
      <c r="V842" s="31" t="s">
        <v>616</v>
      </c>
      <c r="W842" s="105" t="s">
        <v>50</v>
      </c>
      <c r="X842" s="113"/>
      <c r="Y842" s="31"/>
      <c r="Z842" s="106"/>
      <c r="AA842" s="107" t="s">
        <v>3308</v>
      </c>
      <c r="AB842" s="20"/>
      <c r="AC842" s="31"/>
      <c r="AD842" s="108"/>
      <c r="AE842" s="109">
        <f t="shared" si="72"/>
        <v>161329000</v>
      </c>
      <c r="AF842" s="20"/>
      <c r="AG842" s="31"/>
      <c r="AH842" s="108"/>
      <c r="AI842" s="1"/>
      <c r="AJ842" s="1"/>
      <c r="AK842" s="109">
        <f t="shared" si="74"/>
        <v>0</v>
      </c>
      <c r="AL842" s="108"/>
      <c r="AM842" s="108">
        <f t="shared" si="75"/>
        <v>0</v>
      </c>
      <c r="AN842" s="1" t="s">
        <v>2308</v>
      </c>
      <c r="AO842" s="108">
        <f t="shared" si="76"/>
        <v>161329000</v>
      </c>
      <c r="AP842" s="1" t="s">
        <v>3279</v>
      </c>
      <c r="AQ842" s="1"/>
      <c r="AR842" s="1" t="s">
        <v>3256</v>
      </c>
      <c r="AS842" s="1"/>
      <c r="AT842" s="1"/>
      <c r="AU842" s="211"/>
    </row>
    <row r="843" spans="1:47" ht="127.5" x14ac:dyDescent="0.2">
      <c r="A843" s="1">
        <v>353</v>
      </c>
      <c r="B843" s="1" t="str">
        <f t="shared" si="73"/>
        <v>3075-353</v>
      </c>
      <c r="C843" s="99" t="s">
        <v>2294</v>
      </c>
      <c r="D843" s="100" t="s">
        <v>2295</v>
      </c>
      <c r="E843" s="100" t="s">
        <v>2327</v>
      </c>
      <c r="F843" s="99" t="s">
        <v>2328</v>
      </c>
      <c r="G843" s="101" t="s">
        <v>2329</v>
      </c>
      <c r="H843" s="102" t="s">
        <v>2330</v>
      </c>
      <c r="I843" s="100" t="s">
        <v>2345</v>
      </c>
      <c r="J843" s="100" t="s">
        <v>2346</v>
      </c>
      <c r="K843" s="100" t="s">
        <v>50</v>
      </c>
      <c r="L843" s="1" t="s">
        <v>2302</v>
      </c>
      <c r="M843" s="1" t="s">
        <v>493</v>
      </c>
      <c r="N843" s="1" t="s">
        <v>494</v>
      </c>
      <c r="O843" s="100" t="s">
        <v>2321</v>
      </c>
      <c r="P843" s="100" t="s">
        <v>3283</v>
      </c>
      <c r="Q843" s="103">
        <v>161328944</v>
      </c>
      <c r="R843" s="1">
        <v>1</v>
      </c>
      <c r="S843" s="104">
        <v>161328944</v>
      </c>
      <c r="T843" s="1"/>
      <c r="U843" s="1" t="s">
        <v>2323</v>
      </c>
      <c r="V843" s="31" t="s">
        <v>1313</v>
      </c>
      <c r="W843" s="105" t="s">
        <v>50</v>
      </c>
      <c r="X843" s="113"/>
      <c r="Y843" s="31"/>
      <c r="Z843" s="106"/>
      <c r="AA843" s="107" t="s">
        <v>3308</v>
      </c>
      <c r="AB843" s="20"/>
      <c r="AC843" s="31"/>
      <c r="AD843" s="108"/>
      <c r="AE843" s="109">
        <f t="shared" si="72"/>
        <v>161328944</v>
      </c>
      <c r="AF843" s="20"/>
      <c r="AG843" s="31"/>
      <c r="AH843" s="108"/>
      <c r="AI843" s="1"/>
      <c r="AJ843" s="1"/>
      <c r="AK843" s="109">
        <f t="shared" si="74"/>
        <v>0</v>
      </c>
      <c r="AL843" s="108"/>
      <c r="AM843" s="108">
        <f t="shared" si="75"/>
        <v>0</v>
      </c>
      <c r="AN843" s="1" t="s">
        <v>2308</v>
      </c>
      <c r="AO843" s="108">
        <f t="shared" si="76"/>
        <v>161328944</v>
      </c>
      <c r="AP843" s="1" t="s">
        <v>3279</v>
      </c>
      <c r="AQ843" s="1"/>
      <c r="AR843" s="1" t="s">
        <v>3256</v>
      </c>
      <c r="AS843" s="1"/>
      <c r="AT843" s="1"/>
      <c r="AU843" s="211"/>
    </row>
    <row r="844" spans="1:47" ht="127.5" x14ac:dyDescent="0.2">
      <c r="A844" s="1">
        <v>354</v>
      </c>
      <c r="B844" s="1" t="str">
        <f t="shared" si="73"/>
        <v>3075-354</v>
      </c>
      <c r="C844" s="99" t="s">
        <v>2294</v>
      </c>
      <c r="D844" s="100" t="s">
        <v>2295</v>
      </c>
      <c r="E844" s="100" t="s">
        <v>2327</v>
      </c>
      <c r="F844" s="99" t="s">
        <v>2328</v>
      </c>
      <c r="G844" s="101" t="s">
        <v>2329</v>
      </c>
      <c r="H844" s="102" t="s">
        <v>2330</v>
      </c>
      <c r="I844" s="100" t="s">
        <v>2345</v>
      </c>
      <c r="J844" s="100" t="s">
        <v>2346</v>
      </c>
      <c r="K844" s="100" t="s">
        <v>50</v>
      </c>
      <c r="L844" s="1" t="s">
        <v>2302</v>
      </c>
      <c r="M844" s="1" t="s">
        <v>493</v>
      </c>
      <c r="N844" s="1" t="s">
        <v>494</v>
      </c>
      <c r="O844" s="100" t="s">
        <v>2321</v>
      </c>
      <c r="P844" s="100" t="s">
        <v>3283</v>
      </c>
      <c r="Q844" s="103">
        <v>6031299056</v>
      </c>
      <c r="R844" s="1">
        <v>1</v>
      </c>
      <c r="S844" s="104">
        <f>6031299056-4150000000</f>
        <v>1881299056</v>
      </c>
      <c r="T844" s="1"/>
      <c r="U844" s="1" t="s">
        <v>2323</v>
      </c>
      <c r="V844" s="31" t="s">
        <v>3284</v>
      </c>
      <c r="W844" s="105" t="s">
        <v>50</v>
      </c>
      <c r="X844" s="113"/>
      <c r="Y844" s="31"/>
      <c r="Z844" s="106"/>
      <c r="AA844" s="107" t="s">
        <v>3308</v>
      </c>
      <c r="AB844" s="20"/>
      <c r="AC844" s="31"/>
      <c r="AD844" s="108"/>
      <c r="AE844" s="109">
        <f t="shared" si="72"/>
        <v>1881299056</v>
      </c>
      <c r="AF844" s="20"/>
      <c r="AG844" s="31"/>
      <c r="AH844" s="108"/>
      <c r="AI844" s="1"/>
      <c r="AJ844" s="1"/>
      <c r="AK844" s="109">
        <f t="shared" si="74"/>
        <v>0</v>
      </c>
      <c r="AL844" s="108"/>
      <c r="AM844" s="108">
        <f t="shared" si="75"/>
        <v>0</v>
      </c>
      <c r="AN844" s="1" t="s">
        <v>2308</v>
      </c>
      <c r="AO844" s="108">
        <f t="shared" si="76"/>
        <v>1881299056</v>
      </c>
      <c r="AP844" s="1" t="s">
        <v>3279</v>
      </c>
      <c r="AQ844" s="1"/>
      <c r="AR844" s="1" t="s">
        <v>3256</v>
      </c>
      <c r="AS844" s="1"/>
      <c r="AT844" s="1"/>
      <c r="AU844" s="211"/>
    </row>
    <row r="845" spans="1:47" ht="178.5" x14ac:dyDescent="0.2">
      <c r="A845" s="1">
        <v>355</v>
      </c>
      <c r="B845" s="1" t="str">
        <f t="shared" si="73"/>
        <v>3075-355</v>
      </c>
      <c r="C845" s="99" t="s">
        <v>2294</v>
      </c>
      <c r="D845" s="100" t="s">
        <v>2295</v>
      </c>
      <c r="E845" s="99" t="s">
        <v>2351</v>
      </c>
      <c r="F845" s="99" t="s">
        <v>2328</v>
      </c>
      <c r="G845" s="101" t="s">
        <v>2329</v>
      </c>
      <c r="H845" s="102" t="s">
        <v>2352</v>
      </c>
      <c r="I845" s="100" t="s">
        <v>2300</v>
      </c>
      <c r="J845" s="100" t="s">
        <v>2301</v>
      </c>
      <c r="K845" s="100" t="s">
        <v>50</v>
      </c>
      <c r="L845" s="1" t="s">
        <v>2302</v>
      </c>
      <c r="M845" s="1" t="s">
        <v>493</v>
      </c>
      <c r="N845" s="1" t="s">
        <v>494</v>
      </c>
      <c r="O845" s="100" t="s">
        <v>2353</v>
      </c>
      <c r="P845" s="100" t="s">
        <v>2354</v>
      </c>
      <c r="Q845" s="103">
        <v>382129510</v>
      </c>
      <c r="R845" s="1">
        <v>1</v>
      </c>
      <c r="S845" s="104">
        <f>846833253-76196119</f>
        <v>770637134</v>
      </c>
      <c r="T845" s="1"/>
      <c r="U845" s="1" t="s">
        <v>2323</v>
      </c>
      <c r="V845" s="31" t="s">
        <v>3312</v>
      </c>
      <c r="W845" s="105" t="s">
        <v>50</v>
      </c>
      <c r="X845" s="114" t="s">
        <v>3313</v>
      </c>
      <c r="Y845" s="31">
        <v>43270</v>
      </c>
      <c r="Z845" s="106">
        <v>648341100</v>
      </c>
      <c r="AA845" s="107" t="s">
        <v>3231</v>
      </c>
      <c r="AB845" s="20">
        <v>908</v>
      </c>
      <c r="AC845" s="31">
        <v>43271</v>
      </c>
      <c r="AD845" s="108">
        <v>648341100</v>
      </c>
      <c r="AE845" s="109">
        <f>S845-AD845</f>
        <v>122296034</v>
      </c>
      <c r="AF845" s="20" t="s">
        <v>2356</v>
      </c>
      <c r="AG845" s="31" t="s">
        <v>2356</v>
      </c>
      <c r="AH845" s="108">
        <v>222078384</v>
      </c>
      <c r="AI845" s="1" t="s">
        <v>2356</v>
      </c>
      <c r="AJ845" s="1" t="s">
        <v>2356</v>
      </c>
      <c r="AK845" s="109">
        <f t="shared" si="74"/>
        <v>426262716</v>
      </c>
      <c r="AL845" s="108">
        <v>29143610</v>
      </c>
      <c r="AM845" s="108">
        <f t="shared" si="75"/>
        <v>192934774</v>
      </c>
      <c r="AN845" s="1" t="s">
        <v>2308</v>
      </c>
      <c r="AO845" s="108">
        <f t="shared" si="76"/>
        <v>548558750</v>
      </c>
      <c r="AP845" s="1" t="s">
        <v>3279</v>
      </c>
      <c r="AQ845" s="31">
        <v>43270</v>
      </c>
      <c r="AR845" s="1" t="s">
        <v>2326</v>
      </c>
      <c r="AS845" s="31">
        <v>43270</v>
      </c>
      <c r="AT845" s="100" t="s">
        <v>2354</v>
      </c>
      <c r="AU845" s="211"/>
    </row>
    <row r="846" spans="1:47" ht="178.5" x14ac:dyDescent="0.2">
      <c r="A846" s="1">
        <v>356</v>
      </c>
      <c r="B846" s="1" t="str">
        <f t="shared" si="73"/>
        <v>3075-356</v>
      </c>
      <c r="C846" s="99" t="s">
        <v>2294</v>
      </c>
      <c r="D846" s="100" t="s">
        <v>2295</v>
      </c>
      <c r="E846" s="99" t="s">
        <v>2351</v>
      </c>
      <c r="F846" s="99" t="s">
        <v>2328</v>
      </c>
      <c r="G846" s="101" t="s">
        <v>2329</v>
      </c>
      <c r="H846" s="102" t="s">
        <v>2352</v>
      </c>
      <c r="I846" s="100" t="s">
        <v>2300</v>
      </c>
      <c r="J846" s="100" t="s">
        <v>2301</v>
      </c>
      <c r="K846" s="100" t="s">
        <v>50</v>
      </c>
      <c r="L846" s="1" t="s">
        <v>2302</v>
      </c>
      <c r="M846" s="1" t="s">
        <v>493</v>
      </c>
      <c r="N846" s="1" t="s">
        <v>494</v>
      </c>
      <c r="O846" s="100" t="s">
        <v>2353</v>
      </c>
      <c r="P846" s="100" t="s">
        <v>2354</v>
      </c>
      <c r="Q846" s="103">
        <v>564741082</v>
      </c>
      <c r="R846" s="1">
        <v>1</v>
      </c>
      <c r="S846" s="104">
        <f>564741082-406560+76196119</f>
        <v>640530641</v>
      </c>
      <c r="T846" s="1"/>
      <c r="U846" s="1" t="s">
        <v>2323</v>
      </c>
      <c r="V846" s="31" t="s">
        <v>3314</v>
      </c>
      <c r="W846" s="105" t="s">
        <v>50</v>
      </c>
      <c r="X846" s="114"/>
      <c r="Y846" s="31"/>
      <c r="Z846" s="106"/>
      <c r="AA846" s="107" t="s">
        <v>3231</v>
      </c>
      <c r="AB846" s="20"/>
      <c r="AC846" s="31"/>
      <c r="AD846" s="108"/>
      <c r="AE846" s="109">
        <f>S846-AD846</f>
        <v>640530641</v>
      </c>
      <c r="AF846" s="20"/>
      <c r="AG846" s="31"/>
      <c r="AH846" s="108"/>
      <c r="AI846" s="1"/>
      <c r="AJ846" s="1"/>
      <c r="AK846" s="109">
        <f t="shared" si="74"/>
        <v>0</v>
      </c>
      <c r="AL846" s="108"/>
      <c r="AM846" s="108">
        <f t="shared" si="75"/>
        <v>0</v>
      </c>
      <c r="AN846" s="1" t="s">
        <v>2308</v>
      </c>
      <c r="AO846" s="108">
        <f t="shared" si="76"/>
        <v>640530641</v>
      </c>
      <c r="AP846" s="1" t="s">
        <v>3279</v>
      </c>
      <c r="AQ846" s="1"/>
      <c r="AR846" s="1" t="s">
        <v>3256</v>
      </c>
      <c r="AS846" s="1"/>
      <c r="AT846" s="1"/>
      <c r="AU846" s="211"/>
    </row>
    <row r="847" spans="1:47" ht="409.5" x14ac:dyDescent="0.2">
      <c r="A847" s="1">
        <v>357</v>
      </c>
      <c r="B847" s="1" t="str">
        <f t="shared" si="73"/>
        <v>3075-357</v>
      </c>
      <c r="C847" s="99" t="s">
        <v>2294</v>
      </c>
      <c r="D847" s="100" t="s">
        <v>2295</v>
      </c>
      <c r="E847" s="100" t="s">
        <v>2296</v>
      </c>
      <c r="F847" s="99" t="s">
        <v>2297</v>
      </c>
      <c r="G847" s="110" t="s">
        <v>3315</v>
      </c>
      <c r="H847" s="115" t="s">
        <v>3316</v>
      </c>
      <c r="I847" s="100" t="s">
        <v>2300</v>
      </c>
      <c r="J847" s="100" t="s">
        <v>2301</v>
      </c>
      <c r="K847" s="116" t="s">
        <v>50</v>
      </c>
      <c r="L847" s="1" t="s">
        <v>2302</v>
      </c>
      <c r="M847" s="1" t="s">
        <v>493</v>
      </c>
      <c r="N847" s="1" t="s">
        <v>494</v>
      </c>
      <c r="O847" s="100" t="s">
        <v>2353</v>
      </c>
      <c r="P847" s="100" t="s">
        <v>3317</v>
      </c>
      <c r="Q847" s="106">
        <v>10000000</v>
      </c>
      <c r="R847" s="1">
        <v>1</v>
      </c>
      <c r="S847" s="104">
        <f>10000000-10000000</f>
        <v>0</v>
      </c>
      <c r="T847" s="1"/>
      <c r="U847" s="1" t="s">
        <v>2361</v>
      </c>
      <c r="V847" s="31" t="s">
        <v>2208</v>
      </c>
      <c r="W847" s="105" t="s">
        <v>50</v>
      </c>
      <c r="X847" s="1"/>
      <c r="Y847" s="111"/>
      <c r="Z847" s="106"/>
      <c r="AA847" s="107"/>
      <c r="AB847" s="20"/>
      <c r="AC847" s="31"/>
      <c r="AD847" s="108"/>
      <c r="AE847" s="109">
        <f t="shared" ref="AE847:AE857" si="77">S847-Z847</f>
        <v>0</v>
      </c>
      <c r="AF847" s="20"/>
      <c r="AG847" s="31"/>
      <c r="AH847" s="108"/>
      <c r="AI847" s="1"/>
      <c r="AJ847" s="1"/>
      <c r="AK847" s="109">
        <f t="shared" si="74"/>
        <v>0</v>
      </c>
      <c r="AL847" s="108"/>
      <c r="AM847" s="108">
        <f t="shared" si="75"/>
        <v>0</v>
      </c>
      <c r="AN847" s="1" t="s">
        <v>2308</v>
      </c>
      <c r="AO847" s="108">
        <f t="shared" si="76"/>
        <v>0</v>
      </c>
      <c r="AP847" s="1" t="s">
        <v>3279</v>
      </c>
      <c r="AQ847" s="1"/>
      <c r="AR847" s="1" t="s">
        <v>3256</v>
      </c>
      <c r="AS847" s="1"/>
      <c r="AT847" s="1"/>
      <c r="AU847" s="211"/>
    </row>
    <row r="848" spans="1:47" ht="409.5" x14ac:dyDescent="0.2">
      <c r="A848" s="1">
        <v>358</v>
      </c>
      <c r="B848" s="1" t="str">
        <f t="shared" si="73"/>
        <v>3075-358</v>
      </c>
      <c r="C848" s="99" t="s">
        <v>2294</v>
      </c>
      <c r="D848" s="100" t="s">
        <v>2295</v>
      </c>
      <c r="E848" s="100" t="s">
        <v>2296</v>
      </c>
      <c r="F848" s="99" t="s">
        <v>2297</v>
      </c>
      <c r="G848" s="110" t="s">
        <v>3315</v>
      </c>
      <c r="H848" s="115" t="s">
        <v>3316</v>
      </c>
      <c r="I848" s="100" t="s">
        <v>2300</v>
      </c>
      <c r="J848" s="100" t="s">
        <v>2301</v>
      </c>
      <c r="K848" s="116" t="s">
        <v>50</v>
      </c>
      <c r="L848" s="1" t="s">
        <v>2302</v>
      </c>
      <c r="M848" s="1" t="s">
        <v>493</v>
      </c>
      <c r="N848" s="1" t="s">
        <v>494</v>
      </c>
      <c r="O848" s="100" t="s">
        <v>2353</v>
      </c>
      <c r="P848" s="100" t="s">
        <v>3317</v>
      </c>
      <c r="Q848" s="106">
        <v>10000000</v>
      </c>
      <c r="R848" s="1">
        <v>1</v>
      </c>
      <c r="S848" s="104">
        <f>10000000-10000000</f>
        <v>0</v>
      </c>
      <c r="T848" s="1"/>
      <c r="U848" s="1" t="s">
        <v>2361</v>
      </c>
      <c r="V848" s="31"/>
      <c r="W848" s="105" t="s">
        <v>50</v>
      </c>
      <c r="X848" s="1"/>
      <c r="Y848" s="111"/>
      <c r="Z848" s="106"/>
      <c r="AA848" s="107"/>
      <c r="AB848" s="20"/>
      <c r="AC848" s="31"/>
      <c r="AD848" s="108"/>
      <c r="AE848" s="109">
        <f t="shared" si="77"/>
        <v>0</v>
      </c>
      <c r="AF848" s="20"/>
      <c r="AG848" s="31"/>
      <c r="AH848" s="108"/>
      <c r="AI848" s="1"/>
      <c r="AJ848" s="1"/>
      <c r="AK848" s="109">
        <f t="shared" si="74"/>
        <v>0</v>
      </c>
      <c r="AL848" s="108"/>
      <c r="AM848" s="108">
        <f t="shared" si="75"/>
        <v>0</v>
      </c>
      <c r="AN848" s="1" t="s">
        <v>2308</v>
      </c>
      <c r="AO848" s="108">
        <f t="shared" si="76"/>
        <v>0</v>
      </c>
      <c r="AP848" s="1" t="s">
        <v>3279</v>
      </c>
      <c r="AQ848" s="1"/>
      <c r="AR848" s="1" t="s">
        <v>3256</v>
      </c>
      <c r="AS848" s="1"/>
      <c r="AT848" s="1"/>
      <c r="AU848" s="211"/>
    </row>
    <row r="849" spans="1:47" ht="409.5" x14ac:dyDescent="0.2">
      <c r="A849" s="1">
        <v>359</v>
      </c>
      <c r="B849" s="1" t="str">
        <f t="shared" si="73"/>
        <v>3075-359</v>
      </c>
      <c r="C849" s="99" t="s">
        <v>2294</v>
      </c>
      <c r="D849" s="100" t="s">
        <v>2295</v>
      </c>
      <c r="E849" s="100" t="s">
        <v>2296</v>
      </c>
      <c r="F849" s="99" t="s">
        <v>2297</v>
      </c>
      <c r="G849" s="110" t="s">
        <v>3315</v>
      </c>
      <c r="H849" s="115" t="s">
        <v>3316</v>
      </c>
      <c r="I849" s="100" t="s">
        <v>2300</v>
      </c>
      <c r="J849" s="100" t="s">
        <v>2301</v>
      </c>
      <c r="K849" s="116" t="s">
        <v>50</v>
      </c>
      <c r="L849" s="1" t="s">
        <v>2302</v>
      </c>
      <c r="M849" s="1" t="s">
        <v>493</v>
      </c>
      <c r="N849" s="1" t="s">
        <v>494</v>
      </c>
      <c r="O849" s="100" t="s">
        <v>2353</v>
      </c>
      <c r="P849" s="100" t="s">
        <v>3317</v>
      </c>
      <c r="Q849" s="106">
        <v>10000000</v>
      </c>
      <c r="R849" s="1">
        <v>1</v>
      </c>
      <c r="S849" s="104">
        <f>10000000-10000000</f>
        <v>0</v>
      </c>
      <c r="T849" s="1"/>
      <c r="U849" s="1" t="s">
        <v>2361</v>
      </c>
      <c r="V849" s="31"/>
      <c r="W849" s="105" t="s">
        <v>50</v>
      </c>
      <c r="X849" s="1"/>
      <c r="Y849" s="111"/>
      <c r="Z849" s="106"/>
      <c r="AA849" s="107"/>
      <c r="AB849" s="20"/>
      <c r="AC849" s="31"/>
      <c r="AD849" s="108"/>
      <c r="AE849" s="109">
        <f t="shared" si="77"/>
        <v>0</v>
      </c>
      <c r="AF849" s="20"/>
      <c r="AG849" s="31"/>
      <c r="AH849" s="108"/>
      <c r="AI849" s="1"/>
      <c r="AJ849" s="1"/>
      <c r="AK849" s="109">
        <f t="shared" si="74"/>
        <v>0</v>
      </c>
      <c r="AL849" s="108"/>
      <c r="AM849" s="108">
        <f t="shared" si="75"/>
        <v>0</v>
      </c>
      <c r="AN849" s="1" t="s">
        <v>2308</v>
      </c>
      <c r="AO849" s="108">
        <f t="shared" si="76"/>
        <v>0</v>
      </c>
      <c r="AP849" s="1" t="s">
        <v>3279</v>
      </c>
      <c r="AQ849" s="1"/>
      <c r="AR849" s="1" t="s">
        <v>3256</v>
      </c>
      <c r="AS849" s="1"/>
      <c r="AT849" s="1"/>
      <c r="AU849" s="211"/>
    </row>
    <row r="850" spans="1:47" ht="409.5" x14ac:dyDescent="0.2">
      <c r="A850" s="1">
        <v>360</v>
      </c>
      <c r="B850" s="1" t="str">
        <f t="shared" si="73"/>
        <v>3075-360</v>
      </c>
      <c r="C850" s="99" t="s">
        <v>2294</v>
      </c>
      <c r="D850" s="100" t="s">
        <v>2295</v>
      </c>
      <c r="E850" s="100" t="s">
        <v>2296</v>
      </c>
      <c r="F850" s="99" t="s">
        <v>2297</v>
      </c>
      <c r="G850" s="110" t="s">
        <v>3315</v>
      </c>
      <c r="H850" s="115" t="s">
        <v>3316</v>
      </c>
      <c r="I850" s="100" t="s">
        <v>2300</v>
      </c>
      <c r="J850" s="100" t="s">
        <v>2301</v>
      </c>
      <c r="K850" s="116" t="s">
        <v>50</v>
      </c>
      <c r="L850" s="1" t="s">
        <v>2302</v>
      </c>
      <c r="M850" s="1" t="s">
        <v>493</v>
      </c>
      <c r="N850" s="1" t="s">
        <v>494</v>
      </c>
      <c r="O850" s="100" t="s">
        <v>2353</v>
      </c>
      <c r="P850" s="100" t="s">
        <v>3317</v>
      </c>
      <c r="Q850" s="106">
        <v>10000000</v>
      </c>
      <c r="R850" s="1">
        <v>1</v>
      </c>
      <c r="S850" s="104">
        <f>10000000-10000000</f>
        <v>0</v>
      </c>
      <c r="T850" s="1"/>
      <c r="U850" s="1" t="s">
        <v>2361</v>
      </c>
      <c r="V850" s="31"/>
      <c r="W850" s="105" t="s">
        <v>50</v>
      </c>
      <c r="X850" s="1"/>
      <c r="Y850" s="111"/>
      <c r="Z850" s="106"/>
      <c r="AA850" s="107"/>
      <c r="AB850" s="20"/>
      <c r="AC850" s="31"/>
      <c r="AD850" s="108"/>
      <c r="AE850" s="109">
        <f t="shared" si="77"/>
        <v>0</v>
      </c>
      <c r="AF850" s="20"/>
      <c r="AG850" s="31"/>
      <c r="AH850" s="108"/>
      <c r="AI850" s="1"/>
      <c r="AJ850" s="1"/>
      <c r="AK850" s="109">
        <f t="shared" si="74"/>
        <v>0</v>
      </c>
      <c r="AL850" s="108"/>
      <c r="AM850" s="108">
        <f t="shared" si="75"/>
        <v>0</v>
      </c>
      <c r="AN850" s="1" t="s">
        <v>2308</v>
      </c>
      <c r="AO850" s="108">
        <f t="shared" si="76"/>
        <v>0</v>
      </c>
      <c r="AP850" s="1" t="s">
        <v>3279</v>
      </c>
      <c r="AQ850" s="1"/>
      <c r="AR850" s="1" t="s">
        <v>3256</v>
      </c>
      <c r="AS850" s="1"/>
      <c r="AT850" s="1"/>
      <c r="AU850" s="211"/>
    </row>
    <row r="851" spans="1:47" ht="409.5" x14ac:dyDescent="0.2">
      <c r="A851" s="1">
        <v>361</v>
      </c>
      <c r="B851" s="1" t="str">
        <f t="shared" si="73"/>
        <v>3075-361</v>
      </c>
      <c r="C851" s="99" t="s">
        <v>2294</v>
      </c>
      <c r="D851" s="100" t="s">
        <v>2295</v>
      </c>
      <c r="E851" s="100" t="s">
        <v>2296</v>
      </c>
      <c r="F851" s="99" t="s">
        <v>2297</v>
      </c>
      <c r="G851" s="110" t="s">
        <v>3315</v>
      </c>
      <c r="H851" s="115" t="s">
        <v>3316</v>
      </c>
      <c r="I851" s="100" t="s">
        <v>2300</v>
      </c>
      <c r="J851" s="100" t="s">
        <v>2301</v>
      </c>
      <c r="K851" s="116" t="s">
        <v>50</v>
      </c>
      <c r="L851" s="1" t="s">
        <v>2302</v>
      </c>
      <c r="M851" s="1" t="s">
        <v>493</v>
      </c>
      <c r="N851" s="1" t="s">
        <v>494</v>
      </c>
      <c r="O851" s="100" t="s">
        <v>2353</v>
      </c>
      <c r="P851" s="100" t="s">
        <v>3317</v>
      </c>
      <c r="Q851" s="106">
        <v>10000000</v>
      </c>
      <c r="R851" s="1">
        <v>1</v>
      </c>
      <c r="S851" s="104">
        <f>10000000-9220487</f>
        <v>779513</v>
      </c>
      <c r="T851" s="1"/>
      <c r="U851" s="1" t="s">
        <v>2361</v>
      </c>
      <c r="V851" s="31" t="s">
        <v>2208</v>
      </c>
      <c r="W851" s="105" t="s">
        <v>50</v>
      </c>
      <c r="X851" s="1"/>
      <c r="Y851" s="111"/>
      <c r="Z851" s="106"/>
      <c r="AA851" s="107"/>
      <c r="AB851" s="20"/>
      <c r="AC851" s="31"/>
      <c r="AD851" s="108"/>
      <c r="AE851" s="109">
        <f t="shared" si="77"/>
        <v>779513</v>
      </c>
      <c r="AF851" s="20"/>
      <c r="AG851" s="31"/>
      <c r="AH851" s="108"/>
      <c r="AI851" s="1"/>
      <c r="AJ851" s="1"/>
      <c r="AK851" s="109">
        <f t="shared" si="74"/>
        <v>0</v>
      </c>
      <c r="AL851" s="108"/>
      <c r="AM851" s="108">
        <f t="shared" si="75"/>
        <v>0</v>
      </c>
      <c r="AN851" s="1" t="s">
        <v>2308</v>
      </c>
      <c r="AO851" s="108">
        <f t="shared" si="76"/>
        <v>779513</v>
      </c>
      <c r="AP851" s="1" t="s">
        <v>3279</v>
      </c>
      <c r="AQ851" s="1"/>
      <c r="AR851" s="1" t="s">
        <v>3256</v>
      </c>
      <c r="AS851" s="1"/>
      <c r="AT851" s="1"/>
      <c r="AU851" s="211"/>
    </row>
    <row r="852" spans="1:47" ht="409.5" x14ac:dyDescent="0.2">
      <c r="A852" s="1">
        <v>362</v>
      </c>
      <c r="B852" s="1" t="str">
        <f t="shared" si="73"/>
        <v>3075-362</v>
      </c>
      <c r="C852" s="99" t="s">
        <v>2294</v>
      </c>
      <c r="D852" s="100" t="s">
        <v>2295</v>
      </c>
      <c r="E852" s="100" t="s">
        <v>2296</v>
      </c>
      <c r="F852" s="99" t="s">
        <v>2297</v>
      </c>
      <c r="G852" s="110" t="s">
        <v>3315</v>
      </c>
      <c r="H852" s="115" t="s">
        <v>3316</v>
      </c>
      <c r="I852" s="100" t="s">
        <v>2300</v>
      </c>
      <c r="J852" s="100" t="s">
        <v>2301</v>
      </c>
      <c r="K852" s="116" t="s">
        <v>50</v>
      </c>
      <c r="L852" s="1" t="s">
        <v>2302</v>
      </c>
      <c r="M852" s="1" t="s">
        <v>493</v>
      </c>
      <c r="N852" s="1" t="s">
        <v>494</v>
      </c>
      <c r="O852" s="100" t="s">
        <v>2353</v>
      </c>
      <c r="P852" s="100" t="s">
        <v>3317</v>
      </c>
      <c r="Q852" s="106">
        <v>10000000</v>
      </c>
      <c r="R852" s="1">
        <v>1</v>
      </c>
      <c r="S852" s="104">
        <v>10000000</v>
      </c>
      <c r="T852" s="1"/>
      <c r="U852" s="1" t="s">
        <v>2361</v>
      </c>
      <c r="V852" s="31" t="s">
        <v>2316</v>
      </c>
      <c r="W852" s="105" t="s">
        <v>50</v>
      </c>
      <c r="X852" s="1"/>
      <c r="Y852" s="111"/>
      <c r="Z852" s="106"/>
      <c r="AA852" s="107"/>
      <c r="AB852" s="20"/>
      <c r="AC852" s="31"/>
      <c r="AD852" s="108"/>
      <c r="AE852" s="109">
        <f t="shared" si="77"/>
        <v>10000000</v>
      </c>
      <c r="AF852" s="20"/>
      <c r="AG852" s="31"/>
      <c r="AH852" s="108"/>
      <c r="AI852" s="1"/>
      <c r="AJ852" s="1"/>
      <c r="AK852" s="109">
        <f t="shared" si="74"/>
        <v>0</v>
      </c>
      <c r="AL852" s="108"/>
      <c r="AM852" s="108">
        <f t="shared" si="75"/>
        <v>0</v>
      </c>
      <c r="AN852" s="1" t="s">
        <v>2308</v>
      </c>
      <c r="AO852" s="108">
        <f t="shared" si="76"/>
        <v>10000000</v>
      </c>
      <c r="AP852" s="1" t="s">
        <v>3279</v>
      </c>
      <c r="AQ852" s="1"/>
      <c r="AR852" s="1" t="s">
        <v>3256</v>
      </c>
      <c r="AS852" s="1"/>
      <c r="AT852" s="1"/>
      <c r="AU852" s="211"/>
    </row>
    <row r="853" spans="1:47" ht="409.5" x14ac:dyDescent="0.2">
      <c r="A853" s="1">
        <v>363</v>
      </c>
      <c r="B853" s="1" t="str">
        <f t="shared" si="73"/>
        <v>3075-363</v>
      </c>
      <c r="C853" s="99" t="s">
        <v>2294</v>
      </c>
      <c r="D853" s="100" t="s">
        <v>2295</v>
      </c>
      <c r="E853" s="100" t="s">
        <v>2296</v>
      </c>
      <c r="F853" s="99" t="s">
        <v>2297</v>
      </c>
      <c r="G853" s="110" t="s">
        <v>3315</v>
      </c>
      <c r="H853" s="115" t="s">
        <v>3316</v>
      </c>
      <c r="I853" s="100" t="s">
        <v>2300</v>
      </c>
      <c r="J853" s="100" t="s">
        <v>2301</v>
      </c>
      <c r="K853" s="116" t="s">
        <v>50</v>
      </c>
      <c r="L853" s="1" t="s">
        <v>2302</v>
      </c>
      <c r="M853" s="1" t="s">
        <v>493</v>
      </c>
      <c r="N853" s="1" t="s">
        <v>494</v>
      </c>
      <c r="O853" s="100" t="s">
        <v>2353</v>
      </c>
      <c r="P853" s="100" t="s">
        <v>3317</v>
      </c>
      <c r="Q853" s="106">
        <v>9385236</v>
      </c>
      <c r="R853" s="1">
        <v>1</v>
      </c>
      <c r="S853" s="104">
        <v>9385236</v>
      </c>
      <c r="T853" s="1"/>
      <c r="U853" s="1" t="s">
        <v>2361</v>
      </c>
      <c r="V853" s="31" t="s">
        <v>616</v>
      </c>
      <c r="W853" s="105" t="s">
        <v>50</v>
      </c>
      <c r="X853" s="1"/>
      <c r="Y853" s="111"/>
      <c r="Z853" s="106"/>
      <c r="AA853" s="107"/>
      <c r="AB853" s="20"/>
      <c r="AC853" s="31"/>
      <c r="AD853" s="108"/>
      <c r="AE853" s="109">
        <f t="shared" si="77"/>
        <v>9385236</v>
      </c>
      <c r="AF853" s="20"/>
      <c r="AG853" s="31"/>
      <c r="AH853" s="108"/>
      <c r="AI853" s="1"/>
      <c r="AJ853" s="1"/>
      <c r="AK853" s="109">
        <f t="shared" si="74"/>
        <v>0</v>
      </c>
      <c r="AL853" s="108"/>
      <c r="AM853" s="108">
        <f t="shared" si="75"/>
        <v>0</v>
      </c>
      <c r="AN853" s="1" t="s">
        <v>2308</v>
      </c>
      <c r="AO853" s="108">
        <f t="shared" si="76"/>
        <v>9385236</v>
      </c>
      <c r="AP853" s="1" t="s">
        <v>3279</v>
      </c>
      <c r="AQ853" s="1"/>
      <c r="AR853" s="1" t="s">
        <v>3256</v>
      </c>
      <c r="AS853" s="1"/>
      <c r="AT853" s="1"/>
      <c r="AU853" s="211"/>
    </row>
    <row r="854" spans="1:47" ht="408" x14ac:dyDescent="0.2">
      <c r="A854" s="1">
        <v>364</v>
      </c>
      <c r="B854" s="1" t="str">
        <f t="shared" si="73"/>
        <v>3075-364</v>
      </c>
      <c r="C854" s="99" t="s">
        <v>2294</v>
      </c>
      <c r="D854" s="100" t="s">
        <v>2295</v>
      </c>
      <c r="E854" s="100" t="s">
        <v>2296</v>
      </c>
      <c r="F854" s="99" t="s">
        <v>2297</v>
      </c>
      <c r="G854" s="110" t="s">
        <v>3315</v>
      </c>
      <c r="H854" s="115" t="s">
        <v>3316</v>
      </c>
      <c r="I854" s="100" t="s">
        <v>2300</v>
      </c>
      <c r="J854" s="100" t="s">
        <v>2301</v>
      </c>
      <c r="K854" s="116" t="s">
        <v>50</v>
      </c>
      <c r="L854" s="1" t="s">
        <v>2302</v>
      </c>
      <c r="M854" s="1" t="s">
        <v>493</v>
      </c>
      <c r="N854" s="1" t="s">
        <v>494</v>
      </c>
      <c r="O854" s="100" t="s">
        <v>2353</v>
      </c>
      <c r="P854" s="100" t="s">
        <v>3318</v>
      </c>
      <c r="Q854" s="106">
        <v>420000000</v>
      </c>
      <c r="R854" s="1">
        <v>1</v>
      </c>
      <c r="S854" s="104">
        <f>419877047-200000000</f>
        <v>219877047</v>
      </c>
      <c r="T854" s="1"/>
      <c r="U854" s="1" t="s">
        <v>2361</v>
      </c>
      <c r="V854" s="31" t="s">
        <v>3319</v>
      </c>
      <c r="W854" s="105" t="s">
        <v>50</v>
      </c>
      <c r="X854" s="1"/>
      <c r="Y854" s="111"/>
      <c r="Z854" s="106"/>
      <c r="AA854" s="107"/>
      <c r="AB854" s="20"/>
      <c r="AC854" s="31"/>
      <c r="AD854" s="108"/>
      <c r="AE854" s="109">
        <f t="shared" si="77"/>
        <v>219877047</v>
      </c>
      <c r="AF854" s="20"/>
      <c r="AG854" s="31"/>
      <c r="AH854" s="108"/>
      <c r="AI854" s="1"/>
      <c r="AJ854" s="1"/>
      <c r="AK854" s="109">
        <f t="shared" si="74"/>
        <v>0</v>
      </c>
      <c r="AL854" s="108"/>
      <c r="AM854" s="108">
        <f t="shared" si="75"/>
        <v>0</v>
      </c>
      <c r="AN854" s="1" t="s">
        <v>2308</v>
      </c>
      <c r="AO854" s="108">
        <f t="shared" si="76"/>
        <v>219877047</v>
      </c>
      <c r="AP854" s="1" t="s">
        <v>3279</v>
      </c>
      <c r="AQ854" s="1"/>
      <c r="AR854" s="1" t="s">
        <v>3256</v>
      </c>
      <c r="AS854" s="1"/>
      <c r="AT854" s="1"/>
      <c r="AU854" s="211"/>
    </row>
    <row r="855" spans="1:47" ht="127.5" x14ac:dyDescent="0.2">
      <c r="A855" s="1">
        <v>365</v>
      </c>
      <c r="B855" s="1" t="str">
        <f t="shared" si="73"/>
        <v>3075-365</v>
      </c>
      <c r="C855" s="100" t="s">
        <v>2294</v>
      </c>
      <c r="D855" s="100" t="s">
        <v>2295</v>
      </c>
      <c r="E855" s="100" t="s">
        <v>2327</v>
      </c>
      <c r="F855" s="100" t="s">
        <v>2328</v>
      </c>
      <c r="G855" s="101" t="s">
        <v>2329</v>
      </c>
      <c r="H855" s="102" t="s">
        <v>2330</v>
      </c>
      <c r="I855" s="100" t="s">
        <v>2300</v>
      </c>
      <c r="J855" s="100" t="s">
        <v>2301</v>
      </c>
      <c r="K855" s="100" t="s">
        <v>50</v>
      </c>
      <c r="L855" s="1" t="s">
        <v>2302</v>
      </c>
      <c r="M855" s="1" t="s">
        <v>493</v>
      </c>
      <c r="N855" s="1" t="s">
        <v>494</v>
      </c>
      <c r="O855" s="100" t="s">
        <v>2321</v>
      </c>
      <c r="P855" s="1" t="s">
        <v>3320</v>
      </c>
      <c r="Q855" s="106">
        <v>1154000000</v>
      </c>
      <c r="R855" s="122">
        <v>1</v>
      </c>
      <c r="S855" s="104">
        <f>1154000000-1154000000</f>
        <v>0</v>
      </c>
      <c r="T855" s="1"/>
      <c r="U855" s="1" t="s">
        <v>2323</v>
      </c>
      <c r="V855" s="31"/>
      <c r="W855" s="105" t="s">
        <v>50</v>
      </c>
      <c r="X855" s="1" t="s">
        <v>3321</v>
      </c>
      <c r="Y855" s="31">
        <v>43164</v>
      </c>
      <c r="Z855" s="106">
        <f>1154000000-1154000000</f>
        <v>0</v>
      </c>
      <c r="AA855" s="107" t="s">
        <v>3322</v>
      </c>
      <c r="AB855" s="20" t="s">
        <v>3323</v>
      </c>
      <c r="AC855" s="31">
        <v>43164</v>
      </c>
      <c r="AD855" s="108">
        <v>0</v>
      </c>
      <c r="AE855" s="109">
        <f t="shared" si="77"/>
        <v>0</v>
      </c>
      <c r="AF855" s="20"/>
      <c r="AG855" s="31"/>
      <c r="AH855" s="108"/>
      <c r="AI855" s="1"/>
      <c r="AJ855" s="1"/>
      <c r="AK855" s="109">
        <f t="shared" si="74"/>
        <v>0</v>
      </c>
      <c r="AL855" s="108"/>
      <c r="AM855" s="108">
        <f t="shared" si="75"/>
        <v>0</v>
      </c>
      <c r="AN855" s="1" t="s">
        <v>2308</v>
      </c>
      <c r="AO855" s="108">
        <f t="shared" si="76"/>
        <v>0</v>
      </c>
      <c r="AP855" s="1" t="s">
        <v>3324</v>
      </c>
      <c r="AQ855" s="31">
        <v>43164</v>
      </c>
      <c r="AR855" s="1" t="s">
        <v>3256</v>
      </c>
      <c r="AS855" s="31">
        <v>43164</v>
      </c>
      <c r="AT855" s="1" t="s">
        <v>3325</v>
      </c>
      <c r="AU855" s="211"/>
    </row>
    <row r="856" spans="1:47" ht="409.5" x14ac:dyDescent="0.2">
      <c r="A856" s="1">
        <v>366</v>
      </c>
      <c r="B856" s="1" t="str">
        <f t="shared" si="73"/>
        <v>3075-366</v>
      </c>
      <c r="C856" s="99" t="s">
        <v>2294</v>
      </c>
      <c r="D856" s="100" t="s">
        <v>2295</v>
      </c>
      <c r="E856" s="100" t="s">
        <v>2578</v>
      </c>
      <c r="F856" s="99" t="s">
        <v>2366</v>
      </c>
      <c r="G856" s="117" t="s">
        <v>2367</v>
      </c>
      <c r="H856" s="124" t="s">
        <v>2368</v>
      </c>
      <c r="I856" s="100" t="s">
        <v>2300</v>
      </c>
      <c r="J856" s="100" t="s">
        <v>2301</v>
      </c>
      <c r="K856" s="100">
        <v>801116</v>
      </c>
      <c r="L856" s="1" t="s">
        <v>2302</v>
      </c>
      <c r="M856" s="1" t="s">
        <v>493</v>
      </c>
      <c r="N856" s="1" t="s">
        <v>494</v>
      </c>
      <c r="O856" s="100" t="s">
        <v>2369</v>
      </c>
      <c r="P856" s="65" t="s">
        <v>3326</v>
      </c>
      <c r="Q856" s="106">
        <v>3300000</v>
      </c>
      <c r="R856" s="122">
        <v>1</v>
      </c>
      <c r="S856" s="104">
        <v>9900000</v>
      </c>
      <c r="T856" s="1" t="s">
        <v>1619</v>
      </c>
      <c r="U856" s="1" t="s">
        <v>2361</v>
      </c>
      <c r="V856" s="31" t="s">
        <v>498</v>
      </c>
      <c r="W856" s="105">
        <v>3</v>
      </c>
      <c r="X856" s="65" t="s">
        <v>3327</v>
      </c>
      <c r="Y856" s="31">
        <v>43164</v>
      </c>
      <c r="Z856" s="106">
        <v>9900000</v>
      </c>
      <c r="AA856" s="107" t="s">
        <v>2837</v>
      </c>
      <c r="AB856" s="20">
        <v>685</v>
      </c>
      <c r="AC856" s="31">
        <v>43165</v>
      </c>
      <c r="AD856" s="108">
        <v>9900000</v>
      </c>
      <c r="AE856" s="108">
        <f t="shared" si="77"/>
        <v>0</v>
      </c>
      <c r="AF856" s="20">
        <v>1572</v>
      </c>
      <c r="AG856" s="31">
        <v>43173</v>
      </c>
      <c r="AH856" s="108">
        <v>9900000</v>
      </c>
      <c r="AI856" s="1" t="s">
        <v>3328</v>
      </c>
      <c r="AJ856" s="1">
        <v>541</v>
      </c>
      <c r="AK856" s="109">
        <f t="shared" si="74"/>
        <v>0</v>
      </c>
      <c r="AL856" s="108">
        <v>9900000</v>
      </c>
      <c r="AM856" s="108">
        <f t="shared" si="75"/>
        <v>0</v>
      </c>
      <c r="AN856" s="1" t="s">
        <v>2308</v>
      </c>
      <c r="AO856" s="108">
        <f t="shared" si="76"/>
        <v>0</v>
      </c>
      <c r="AP856" s="1"/>
      <c r="AQ856" s="31">
        <v>43164</v>
      </c>
      <c r="AR856" s="1" t="s">
        <v>3256</v>
      </c>
      <c r="AS856" s="31">
        <v>43164</v>
      </c>
      <c r="AT856" s="1" t="s">
        <v>2607</v>
      </c>
      <c r="AU856" s="211"/>
    </row>
    <row r="857" spans="1:47" ht="409.5" x14ac:dyDescent="0.2">
      <c r="A857" s="1">
        <v>367</v>
      </c>
      <c r="B857" s="1" t="str">
        <f t="shared" si="73"/>
        <v>3075-367</v>
      </c>
      <c r="C857" s="99" t="s">
        <v>2294</v>
      </c>
      <c r="D857" s="100" t="s">
        <v>2295</v>
      </c>
      <c r="E857" s="100" t="s">
        <v>2578</v>
      </c>
      <c r="F857" s="99" t="s">
        <v>2366</v>
      </c>
      <c r="G857" s="117" t="s">
        <v>2367</v>
      </c>
      <c r="H857" s="124" t="s">
        <v>2368</v>
      </c>
      <c r="I857" s="100" t="s">
        <v>2300</v>
      </c>
      <c r="J857" s="100" t="s">
        <v>2301</v>
      </c>
      <c r="K857" s="100">
        <v>801116</v>
      </c>
      <c r="L857" s="1" t="s">
        <v>2302</v>
      </c>
      <c r="M857" s="1" t="s">
        <v>493</v>
      </c>
      <c r="N857" s="1" t="s">
        <v>494</v>
      </c>
      <c r="O857" s="100" t="s">
        <v>2369</v>
      </c>
      <c r="P857" s="65" t="s">
        <v>3329</v>
      </c>
      <c r="Q857" s="106">
        <v>5100000</v>
      </c>
      <c r="R857" s="122">
        <v>1</v>
      </c>
      <c r="S857" s="104">
        <v>15300000</v>
      </c>
      <c r="T857" s="1" t="s">
        <v>1619</v>
      </c>
      <c r="U857" s="1" t="s">
        <v>2361</v>
      </c>
      <c r="V857" s="31" t="s">
        <v>498</v>
      </c>
      <c r="W857" s="105">
        <v>3</v>
      </c>
      <c r="X857" s="65" t="s">
        <v>3330</v>
      </c>
      <c r="Y857" s="31">
        <v>43164</v>
      </c>
      <c r="Z857" s="106">
        <v>15300000</v>
      </c>
      <c r="AA857" s="107" t="s">
        <v>2837</v>
      </c>
      <c r="AB857" s="20">
        <v>686</v>
      </c>
      <c r="AC857" s="31">
        <v>43165</v>
      </c>
      <c r="AD857" s="108">
        <v>15300000</v>
      </c>
      <c r="AE857" s="108">
        <f t="shared" si="77"/>
        <v>0</v>
      </c>
      <c r="AF857" s="20">
        <v>1575</v>
      </c>
      <c r="AG857" s="31">
        <v>43173</v>
      </c>
      <c r="AH857" s="108">
        <v>15300000</v>
      </c>
      <c r="AI857" s="1" t="s">
        <v>3331</v>
      </c>
      <c r="AJ857" s="1">
        <v>534</v>
      </c>
      <c r="AK857" s="109">
        <f t="shared" si="74"/>
        <v>0</v>
      </c>
      <c r="AL857" s="108">
        <v>15300000</v>
      </c>
      <c r="AM857" s="108">
        <f t="shared" si="75"/>
        <v>0</v>
      </c>
      <c r="AN857" s="1" t="s">
        <v>2308</v>
      </c>
      <c r="AO857" s="108">
        <f t="shared" si="76"/>
        <v>0</v>
      </c>
      <c r="AP857" s="1"/>
      <c r="AQ857" s="31">
        <v>43164</v>
      </c>
      <c r="AR857" s="1" t="s">
        <v>3256</v>
      </c>
      <c r="AS857" s="31">
        <v>43164</v>
      </c>
      <c r="AT857" s="1" t="s">
        <v>2607</v>
      </c>
      <c r="AU857" s="211"/>
    </row>
    <row r="858" spans="1:47" ht="293.25" x14ac:dyDescent="0.2">
      <c r="A858" s="1">
        <v>368</v>
      </c>
      <c r="B858" s="1" t="str">
        <f t="shared" si="73"/>
        <v>3075-368</v>
      </c>
      <c r="C858" s="99" t="s">
        <v>2294</v>
      </c>
      <c r="D858" s="100" t="s">
        <v>2295</v>
      </c>
      <c r="E858" s="100" t="s">
        <v>2578</v>
      </c>
      <c r="F858" s="99" t="s">
        <v>2328</v>
      </c>
      <c r="G858" s="117" t="s">
        <v>2329</v>
      </c>
      <c r="H858" s="124" t="s">
        <v>2579</v>
      </c>
      <c r="I858" s="100" t="s">
        <v>2300</v>
      </c>
      <c r="J858" s="100" t="s">
        <v>2301</v>
      </c>
      <c r="K858" s="100" t="s">
        <v>50</v>
      </c>
      <c r="L858" s="1" t="s">
        <v>2302</v>
      </c>
      <c r="M858" s="1" t="s">
        <v>493</v>
      </c>
      <c r="N858" s="1" t="s">
        <v>494</v>
      </c>
      <c r="O858" s="100" t="s">
        <v>2369</v>
      </c>
      <c r="P858" s="65" t="s">
        <v>3332</v>
      </c>
      <c r="Q858" s="106">
        <v>54686940</v>
      </c>
      <c r="R858" s="122">
        <v>1</v>
      </c>
      <c r="S858" s="104">
        <v>54686940</v>
      </c>
      <c r="T858" s="1" t="s">
        <v>2323</v>
      </c>
      <c r="U858" s="1" t="s">
        <v>2323</v>
      </c>
      <c r="V858" s="31" t="s">
        <v>2211</v>
      </c>
      <c r="W858" s="105" t="s">
        <v>50</v>
      </c>
      <c r="X858" s="65" t="s">
        <v>3333</v>
      </c>
      <c r="Y858" s="31">
        <v>43164</v>
      </c>
      <c r="Z858" s="106">
        <v>54686940</v>
      </c>
      <c r="AA858" s="107" t="s">
        <v>2889</v>
      </c>
      <c r="AB858" s="20">
        <v>701</v>
      </c>
      <c r="AC858" s="31">
        <v>43167</v>
      </c>
      <c r="AD858" s="108">
        <v>54686940</v>
      </c>
      <c r="AE858" s="109">
        <v>0</v>
      </c>
      <c r="AF858" s="20">
        <v>1956</v>
      </c>
      <c r="AG858" s="31">
        <v>43245</v>
      </c>
      <c r="AH858" s="108">
        <v>54686940</v>
      </c>
      <c r="AI858" s="1" t="s">
        <v>3334</v>
      </c>
      <c r="AJ858" s="1">
        <v>2098</v>
      </c>
      <c r="AK858" s="109">
        <f t="shared" si="74"/>
        <v>0</v>
      </c>
      <c r="AL858" s="108">
        <v>54686940</v>
      </c>
      <c r="AM858" s="108">
        <f t="shared" si="75"/>
        <v>0</v>
      </c>
      <c r="AN858" s="1" t="s">
        <v>2308</v>
      </c>
      <c r="AO858" s="108">
        <f t="shared" si="76"/>
        <v>0</v>
      </c>
      <c r="AP858" s="1"/>
      <c r="AQ858" s="31">
        <v>43164</v>
      </c>
      <c r="AR858" s="1" t="s">
        <v>3256</v>
      </c>
      <c r="AS858" s="31">
        <v>43164</v>
      </c>
      <c r="AT858" s="1" t="s">
        <v>3332</v>
      </c>
      <c r="AU858" s="211"/>
    </row>
    <row r="859" spans="1:47" ht="293.25" x14ac:dyDescent="0.2">
      <c r="A859" s="1">
        <v>369</v>
      </c>
      <c r="B859" s="1" t="str">
        <f t="shared" si="73"/>
        <v>3075-369</v>
      </c>
      <c r="C859" s="99" t="s">
        <v>2294</v>
      </c>
      <c r="D859" s="100" t="s">
        <v>2295</v>
      </c>
      <c r="E859" s="100" t="s">
        <v>2578</v>
      </c>
      <c r="F859" s="99" t="s">
        <v>2328</v>
      </c>
      <c r="G859" s="117" t="s">
        <v>2329</v>
      </c>
      <c r="H859" s="124" t="s">
        <v>2579</v>
      </c>
      <c r="I859" s="100" t="s">
        <v>2300</v>
      </c>
      <c r="J859" s="100" t="s">
        <v>2301</v>
      </c>
      <c r="K859" s="100" t="s">
        <v>50</v>
      </c>
      <c r="L859" s="1" t="s">
        <v>2302</v>
      </c>
      <c r="M859" s="1" t="s">
        <v>493</v>
      </c>
      <c r="N859" s="1" t="s">
        <v>494</v>
      </c>
      <c r="O859" s="100" t="s">
        <v>2369</v>
      </c>
      <c r="P859" s="65" t="s">
        <v>3335</v>
      </c>
      <c r="Q859" s="106">
        <v>54686940</v>
      </c>
      <c r="R859" s="122">
        <v>1</v>
      </c>
      <c r="S859" s="104">
        <v>54686940</v>
      </c>
      <c r="T859" s="1" t="s">
        <v>2323</v>
      </c>
      <c r="U859" s="1" t="s">
        <v>2323</v>
      </c>
      <c r="V859" s="31" t="s">
        <v>498</v>
      </c>
      <c r="W859" s="105" t="s">
        <v>50</v>
      </c>
      <c r="X859" s="65" t="s">
        <v>3336</v>
      </c>
      <c r="Y859" s="31">
        <v>43164</v>
      </c>
      <c r="Z859" s="108">
        <v>54686940</v>
      </c>
      <c r="AA859" s="107" t="s">
        <v>2889</v>
      </c>
      <c r="AB859" s="20">
        <v>702</v>
      </c>
      <c r="AC859" s="31">
        <v>43167</v>
      </c>
      <c r="AD859" s="108">
        <v>54686940</v>
      </c>
      <c r="AE859" s="109">
        <v>0</v>
      </c>
      <c r="AF859" s="20">
        <v>1622</v>
      </c>
      <c r="AG859" s="31">
        <v>43182</v>
      </c>
      <c r="AH859" s="108">
        <v>54686940</v>
      </c>
      <c r="AI859" s="1" t="s">
        <v>3337</v>
      </c>
      <c r="AJ859" s="1">
        <v>1630</v>
      </c>
      <c r="AK859" s="109">
        <f t="shared" si="74"/>
        <v>0</v>
      </c>
      <c r="AL859" s="108">
        <v>54686940</v>
      </c>
      <c r="AM859" s="108">
        <f t="shared" si="75"/>
        <v>0</v>
      </c>
      <c r="AN859" s="1" t="s">
        <v>2308</v>
      </c>
      <c r="AO859" s="108">
        <f t="shared" si="76"/>
        <v>0</v>
      </c>
      <c r="AP859" s="1"/>
      <c r="AQ859" s="31">
        <v>43164</v>
      </c>
      <c r="AR859" s="1" t="s">
        <v>3256</v>
      </c>
      <c r="AS859" s="31">
        <v>43164</v>
      </c>
      <c r="AT859" s="1" t="str">
        <f>P859</f>
        <v>Asignacion del instrumento financiero a las familias ocupantes del predio que hayan superado la fase de verificacion dentro del marco del Decreto 457 de 2017. LOCALIDAD: KENNEDY; BARRIO: VEREDITAS; ID: 2018-8-384287</v>
      </c>
      <c r="AU859" s="211"/>
    </row>
    <row r="860" spans="1:47" ht="409.5" x14ac:dyDescent="0.2">
      <c r="A860" s="1">
        <v>370</v>
      </c>
      <c r="B860" s="1" t="str">
        <f t="shared" si="73"/>
        <v>3075-370</v>
      </c>
      <c r="C860" s="99" t="s">
        <v>2294</v>
      </c>
      <c r="D860" s="100" t="s">
        <v>2295</v>
      </c>
      <c r="E860" s="100" t="s">
        <v>2578</v>
      </c>
      <c r="F860" s="99" t="s">
        <v>2366</v>
      </c>
      <c r="G860" s="117" t="s">
        <v>2367</v>
      </c>
      <c r="H860" s="124" t="s">
        <v>2368</v>
      </c>
      <c r="I860" s="100" t="s">
        <v>2300</v>
      </c>
      <c r="J860" s="100" t="s">
        <v>2301</v>
      </c>
      <c r="K860" s="100">
        <v>801116</v>
      </c>
      <c r="L860" s="1" t="s">
        <v>2302</v>
      </c>
      <c r="M860" s="1" t="s">
        <v>493</v>
      </c>
      <c r="N860" s="1" t="s">
        <v>494</v>
      </c>
      <c r="O860" s="100" t="s">
        <v>2369</v>
      </c>
      <c r="P860" s="65" t="s">
        <v>3338</v>
      </c>
      <c r="Q860" s="106">
        <v>4000000</v>
      </c>
      <c r="R860" s="122">
        <v>1</v>
      </c>
      <c r="S860" s="104">
        <v>12000000</v>
      </c>
      <c r="T860" s="1" t="s">
        <v>1619</v>
      </c>
      <c r="U860" s="1" t="s">
        <v>2361</v>
      </c>
      <c r="V860" s="31" t="s">
        <v>498</v>
      </c>
      <c r="W860" s="105">
        <v>3</v>
      </c>
      <c r="X860" s="65" t="s">
        <v>3339</v>
      </c>
      <c r="Y860" s="31">
        <v>43164</v>
      </c>
      <c r="Z860" s="106">
        <v>12000000</v>
      </c>
      <c r="AA860" s="107" t="s">
        <v>2837</v>
      </c>
      <c r="AB860" s="20">
        <v>687</v>
      </c>
      <c r="AC860" s="31">
        <v>43165</v>
      </c>
      <c r="AD860" s="108">
        <v>12000000</v>
      </c>
      <c r="AE860" s="108">
        <f t="shared" ref="AE860:AE907" si="78">S860-Z860</f>
        <v>0</v>
      </c>
      <c r="AF860" s="20">
        <v>1555</v>
      </c>
      <c r="AG860" s="31">
        <v>43172</v>
      </c>
      <c r="AH860" s="108">
        <v>12000000</v>
      </c>
      <c r="AI860" s="1" t="s">
        <v>3340</v>
      </c>
      <c r="AJ860" s="1">
        <v>537</v>
      </c>
      <c r="AK860" s="109">
        <f t="shared" si="74"/>
        <v>0</v>
      </c>
      <c r="AL860" s="108">
        <v>12000000</v>
      </c>
      <c r="AM860" s="108">
        <f t="shared" si="75"/>
        <v>0</v>
      </c>
      <c r="AN860" s="1" t="s">
        <v>2308</v>
      </c>
      <c r="AO860" s="108">
        <f t="shared" si="76"/>
        <v>0</v>
      </c>
      <c r="AP860" s="1"/>
      <c r="AQ860" s="31">
        <v>43164</v>
      </c>
      <c r="AR860" s="1" t="s">
        <v>3256</v>
      </c>
      <c r="AS860" s="31">
        <v>43164</v>
      </c>
      <c r="AT860" s="1" t="s">
        <v>2607</v>
      </c>
      <c r="AU860" s="211"/>
    </row>
    <row r="861" spans="1:47" ht="409.5" x14ac:dyDescent="0.2">
      <c r="A861" s="1">
        <v>371</v>
      </c>
      <c r="B861" s="1" t="str">
        <f t="shared" si="73"/>
        <v>3075-371</v>
      </c>
      <c r="C861" s="99" t="s">
        <v>2294</v>
      </c>
      <c r="D861" s="100" t="s">
        <v>2295</v>
      </c>
      <c r="E861" s="100" t="s">
        <v>2578</v>
      </c>
      <c r="F861" s="99" t="s">
        <v>2366</v>
      </c>
      <c r="G861" s="117" t="s">
        <v>2367</v>
      </c>
      <c r="H861" s="124" t="s">
        <v>2368</v>
      </c>
      <c r="I861" s="100" t="s">
        <v>2300</v>
      </c>
      <c r="J861" s="100" t="s">
        <v>2301</v>
      </c>
      <c r="K861" s="100">
        <v>801116</v>
      </c>
      <c r="L861" s="1" t="s">
        <v>2302</v>
      </c>
      <c r="M861" s="1" t="s">
        <v>493</v>
      </c>
      <c r="N861" s="1" t="s">
        <v>494</v>
      </c>
      <c r="O861" s="100" t="s">
        <v>2369</v>
      </c>
      <c r="P861" s="65" t="s">
        <v>3341</v>
      </c>
      <c r="Q861" s="106">
        <v>5500000</v>
      </c>
      <c r="R861" s="122">
        <v>1</v>
      </c>
      <c r="S861" s="104">
        <v>16500000</v>
      </c>
      <c r="T861" s="1" t="s">
        <v>1619</v>
      </c>
      <c r="U861" s="1" t="s">
        <v>2361</v>
      </c>
      <c r="V861" s="31" t="s">
        <v>498</v>
      </c>
      <c r="W861" s="105">
        <v>3</v>
      </c>
      <c r="X861" s="65" t="s">
        <v>3342</v>
      </c>
      <c r="Y861" s="31">
        <v>43164</v>
      </c>
      <c r="Z861" s="106">
        <v>16500000</v>
      </c>
      <c r="AA861" s="107" t="s">
        <v>2837</v>
      </c>
      <c r="AB861" s="20">
        <v>692</v>
      </c>
      <c r="AC861" s="31">
        <v>43165</v>
      </c>
      <c r="AD861" s="108">
        <v>16500000</v>
      </c>
      <c r="AE861" s="108">
        <f t="shared" si="78"/>
        <v>0</v>
      </c>
      <c r="AF861" s="20">
        <v>1573</v>
      </c>
      <c r="AG861" s="31">
        <v>43173</v>
      </c>
      <c r="AH861" s="108">
        <v>16500000</v>
      </c>
      <c r="AI861" s="1" t="s">
        <v>3343</v>
      </c>
      <c r="AJ861" s="1">
        <v>540</v>
      </c>
      <c r="AK861" s="109">
        <f t="shared" si="74"/>
        <v>0</v>
      </c>
      <c r="AL861" s="108">
        <v>16500000</v>
      </c>
      <c r="AM861" s="108">
        <f t="shared" si="75"/>
        <v>0</v>
      </c>
      <c r="AN861" s="1" t="s">
        <v>2308</v>
      </c>
      <c r="AO861" s="108">
        <f t="shared" si="76"/>
        <v>0</v>
      </c>
      <c r="AP861" s="1"/>
      <c r="AQ861" s="31">
        <v>43164</v>
      </c>
      <c r="AR861" s="1" t="s">
        <v>3256</v>
      </c>
      <c r="AS861" s="31">
        <v>43164</v>
      </c>
      <c r="AT861" s="1" t="s">
        <v>2607</v>
      </c>
      <c r="AU861" s="211"/>
    </row>
    <row r="862" spans="1:47" ht="409.5" x14ac:dyDescent="0.2">
      <c r="A862" s="1">
        <v>372</v>
      </c>
      <c r="B862" s="1" t="str">
        <f t="shared" si="73"/>
        <v>3075-372</v>
      </c>
      <c r="C862" s="99" t="s">
        <v>2294</v>
      </c>
      <c r="D862" s="100" t="s">
        <v>2295</v>
      </c>
      <c r="E862" s="100" t="s">
        <v>2578</v>
      </c>
      <c r="F862" s="99" t="s">
        <v>2366</v>
      </c>
      <c r="G862" s="117" t="s">
        <v>2367</v>
      </c>
      <c r="H862" s="124" t="s">
        <v>2368</v>
      </c>
      <c r="I862" s="100" t="s">
        <v>2300</v>
      </c>
      <c r="J862" s="100" t="s">
        <v>2301</v>
      </c>
      <c r="K862" s="100">
        <v>801116</v>
      </c>
      <c r="L862" s="1" t="s">
        <v>2302</v>
      </c>
      <c r="M862" s="1" t="s">
        <v>493</v>
      </c>
      <c r="N862" s="1" t="s">
        <v>494</v>
      </c>
      <c r="O862" s="100" t="s">
        <v>2369</v>
      </c>
      <c r="P862" s="65" t="s">
        <v>3344</v>
      </c>
      <c r="Q862" s="106">
        <v>4000000</v>
      </c>
      <c r="R862" s="122">
        <v>1</v>
      </c>
      <c r="S862" s="104">
        <v>12000000</v>
      </c>
      <c r="T862" s="1" t="s">
        <v>1619</v>
      </c>
      <c r="U862" s="1" t="s">
        <v>2361</v>
      </c>
      <c r="V862" s="31" t="s">
        <v>498</v>
      </c>
      <c r="W862" s="105">
        <v>3</v>
      </c>
      <c r="X862" s="65" t="s">
        <v>3345</v>
      </c>
      <c r="Y862" s="31">
        <v>43164</v>
      </c>
      <c r="Z862" s="106">
        <v>12000000</v>
      </c>
      <c r="AA862" s="107" t="s">
        <v>2837</v>
      </c>
      <c r="AB862" s="20">
        <v>695</v>
      </c>
      <c r="AC862" s="31">
        <v>43165</v>
      </c>
      <c r="AD862" s="108">
        <v>12000000</v>
      </c>
      <c r="AE862" s="108">
        <f t="shared" si="78"/>
        <v>0</v>
      </c>
      <c r="AF862" s="20">
        <v>1597</v>
      </c>
      <c r="AG862" s="31">
        <v>43175</v>
      </c>
      <c r="AH862" s="108">
        <v>12000000</v>
      </c>
      <c r="AI862" s="1" t="s">
        <v>3346</v>
      </c>
      <c r="AJ862" s="1">
        <v>552</v>
      </c>
      <c r="AK862" s="109">
        <f t="shared" si="74"/>
        <v>0</v>
      </c>
      <c r="AL862" s="108">
        <v>12000000</v>
      </c>
      <c r="AM862" s="108">
        <f t="shared" si="75"/>
        <v>0</v>
      </c>
      <c r="AN862" s="1" t="s">
        <v>2308</v>
      </c>
      <c r="AO862" s="108">
        <f t="shared" si="76"/>
        <v>0</v>
      </c>
      <c r="AP862" s="1"/>
      <c r="AQ862" s="31">
        <v>43164</v>
      </c>
      <c r="AR862" s="1" t="s">
        <v>3256</v>
      </c>
      <c r="AS862" s="31">
        <v>43164</v>
      </c>
      <c r="AT862" s="1" t="s">
        <v>2607</v>
      </c>
      <c r="AU862" s="211"/>
    </row>
    <row r="863" spans="1:47" ht="409.5" x14ac:dyDescent="0.2">
      <c r="A863" s="1">
        <v>373</v>
      </c>
      <c r="B863" s="1" t="str">
        <f t="shared" si="73"/>
        <v>3075-373</v>
      </c>
      <c r="C863" s="99" t="s">
        <v>2294</v>
      </c>
      <c r="D863" s="100" t="s">
        <v>2295</v>
      </c>
      <c r="E863" s="100" t="s">
        <v>2578</v>
      </c>
      <c r="F863" s="99" t="s">
        <v>2366</v>
      </c>
      <c r="G863" s="117" t="s">
        <v>2367</v>
      </c>
      <c r="H863" s="124" t="s">
        <v>2368</v>
      </c>
      <c r="I863" s="100" t="s">
        <v>2300</v>
      </c>
      <c r="J863" s="100" t="s">
        <v>2301</v>
      </c>
      <c r="K863" s="100">
        <v>801116</v>
      </c>
      <c r="L863" s="1" t="s">
        <v>2302</v>
      </c>
      <c r="M863" s="1" t="s">
        <v>493</v>
      </c>
      <c r="N863" s="1" t="s">
        <v>494</v>
      </c>
      <c r="O863" s="100" t="s">
        <v>2369</v>
      </c>
      <c r="P863" s="65" t="s">
        <v>3347</v>
      </c>
      <c r="Q863" s="106">
        <v>5100000</v>
      </c>
      <c r="R863" s="122">
        <v>1</v>
      </c>
      <c r="S863" s="104">
        <v>15300000</v>
      </c>
      <c r="T863" s="1" t="s">
        <v>1619</v>
      </c>
      <c r="U863" s="1" t="s">
        <v>2361</v>
      </c>
      <c r="V863" s="31" t="s">
        <v>498</v>
      </c>
      <c r="W863" s="105">
        <v>3</v>
      </c>
      <c r="X863" s="65" t="s">
        <v>3348</v>
      </c>
      <c r="Y863" s="31">
        <v>43164</v>
      </c>
      <c r="Z863" s="106">
        <v>15300000</v>
      </c>
      <c r="AA863" s="107" t="s">
        <v>2837</v>
      </c>
      <c r="AB863" s="20">
        <v>694</v>
      </c>
      <c r="AC863" s="31">
        <v>43165</v>
      </c>
      <c r="AD863" s="108">
        <v>15300000</v>
      </c>
      <c r="AE863" s="108">
        <f t="shared" si="78"/>
        <v>0</v>
      </c>
      <c r="AF863" s="20">
        <v>1576</v>
      </c>
      <c r="AG863" s="31">
        <v>43173</v>
      </c>
      <c r="AH863" s="108">
        <v>15300000</v>
      </c>
      <c r="AI863" s="1" t="s">
        <v>3349</v>
      </c>
      <c r="AJ863" s="1">
        <v>542</v>
      </c>
      <c r="AK863" s="109">
        <f t="shared" si="74"/>
        <v>0</v>
      </c>
      <c r="AL863" s="108">
        <v>15300000</v>
      </c>
      <c r="AM863" s="108">
        <f t="shared" si="75"/>
        <v>0</v>
      </c>
      <c r="AN863" s="1" t="s">
        <v>2308</v>
      </c>
      <c r="AO863" s="108">
        <f t="shared" si="76"/>
        <v>0</v>
      </c>
      <c r="AP863" s="1"/>
      <c r="AQ863" s="31">
        <v>43164</v>
      </c>
      <c r="AR863" s="1" t="s">
        <v>3256</v>
      </c>
      <c r="AS863" s="31">
        <v>43164</v>
      </c>
      <c r="AT863" s="1" t="s">
        <v>2607</v>
      </c>
      <c r="AU863" s="211"/>
    </row>
    <row r="864" spans="1:47" ht="409.5" x14ac:dyDescent="0.2">
      <c r="A864" s="1">
        <v>374</v>
      </c>
      <c r="B864" s="1" t="str">
        <f t="shared" si="73"/>
        <v>3075-374</v>
      </c>
      <c r="C864" s="99" t="s">
        <v>2294</v>
      </c>
      <c r="D864" s="100" t="s">
        <v>2295</v>
      </c>
      <c r="E864" s="100" t="s">
        <v>2578</v>
      </c>
      <c r="F864" s="99" t="s">
        <v>2366</v>
      </c>
      <c r="G864" s="117" t="s">
        <v>2367</v>
      </c>
      <c r="H864" s="124" t="s">
        <v>2368</v>
      </c>
      <c r="I864" s="100" t="s">
        <v>2300</v>
      </c>
      <c r="J864" s="100" t="s">
        <v>2301</v>
      </c>
      <c r="K864" s="100">
        <v>801116</v>
      </c>
      <c r="L864" s="1" t="s">
        <v>2302</v>
      </c>
      <c r="M864" s="1" t="s">
        <v>493</v>
      </c>
      <c r="N864" s="1" t="s">
        <v>494</v>
      </c>
      <c r="O864" s="100" t="s">
        <v>2369</v>
      </c>
      <c r="P864" s="65" t="s">
        <v>3350</v>
      </c>
      <c r="Q864" s="106">
        <v>5100000</v>
      </c>
      <c r="R864" s="122">
        <v>1</v>
      </c>
      <c r="S864" s="104">
        <v>15300000</v>
      </c>
      <c r="T864" s="1" t="s">
        <v>1619</v>
      </c>
      <c r="U864" s="1" t="s">
        <v>2361</v>
      </c>
      <c r="V864" s="31" t="s">
        <v>498</v>
      </c>
      <c r="W864" s="105">
        <v>3</v>
      </c>
      <c r="X864" s="65" t="s">
        <v>3351</v>
      </c>
      <c r="Y864" s="31">
        <v>43164</v>
      </c>
      <c r="Z864" s="106">
        <v>15300000</v>
      </c>
      <c r="AA864" s="107" t="s">
        <v>2837</v>
      </c>
      <c r="AB864" s="20">
        <v>696</v>
      </c>
      <c r="AC864" s="31">
        <v>43165</v>
      </c>
      <c r="AD864" s="108">
        <v>15300000</v>
      </c>
      <c r="AE864" s="108">
        <f t="shared" si="78"/>
        <v>0</v>
      </c>
      <c r="AF864" s="20">
        <v>1599</v>
      </c>
      <c r="AG864" s="31">
        <v>43175</v>
      </c>
      <c r="AH864" s="108">
        <v>15300000</v>
      </c>
      <c r="AI864" s="1" t="s">
        <v>3352</v>
      </c>
      <c r="AJ864" s="1">
        <v>554</v>
      </c>
      <c r="AK864" s="109">
        <f t="shared" si="74"/>
        <v>0</v>
      </c>
      <c r="AL864" s="108">
        <v>15300000</v>
      </c>
      <c r="AM864" s="108">
        <f t="shared" si="75"/>
        <v>0</v>
      </c>
      <c r="AN864" s="1" t="s">
        <v>2308</v>
      </c>
      <c r="AO864" s="108">
        <f t="shared" si="76"/>
        <v>0</v>
      </c>
      <c r="AP864" s="1"/>
      <c r="AQ864" s="31">
        <v>43164</v>
      </c>
      <c r="AR864" s="1" t="s">
        <v>3256</v>
      </c>
      <c r="AS864" s="31">
        <v>43164</v>
      </c>
      <c r="AT864" s="1" t="s">
        <v>2607</v>
      </c>
      <c r="AU864" s="211"/>
    </row>
    <row r="865" spans="1:47" ht="409.5" x14ac:dyDescent="0.2">
      <c r="A865" s="1">
        <v>375</v>
      </c>
      <c r="B865" s="1" t="str">
        <f t="shared" si="73"/>
        <v>3075-375</v>
      </c>
      <c r="C865" s="99" t="s">
        <v>2294</v>
      </c>
      <c r="D865" s="100" t="s">
        <v>2295</v>
      </c>
      <c r="E865" s="100" t="s">
        <v>2578</v>
      </c>
      <c r="F865" s="99" t="s">
        <v>2366</v>
      </c>
      <c r="G865" s="117" t="s">
        <v>2367</v>
      </c>
      <c r="H865" s="124" t="s">
        <v>2368</v>
      </c>
      <c r="I865" s="100" t="s">
        <v>2300</v>
      </c>
      <c r="J865" s="100" t="s">
        <v>2301</v>
      </c>
      <c r="K865" s="100">
        <v>801116</v>
      </c>
      <c r="L865" s="1" t="s">
        <v>2302</v>
      </c>
      <c r="M865" s="1" t="s">
        <v>493</v>
      </c>
      <c r="N865" s="1" t="s">
        <v>494</v>
      </c>
      <c r="O865" s="100" t="s">
        <v>2369</v>
      </c>
      <c r="P865" s="65" t="s">
        <v>3353</v>
      </c>
      <c r="Q865" s="106">
        <v>3300000</v>
      </c>
      <c r="R865" s="122">
        <v>1</v>
      </c>
      <c r="S865" s="104">
        <v>9900000</v>
      </c>
      <c r="T865" s="1" t="s">
        <v>1619</v>
      </c>
      <c r="U865" s="1" t="s">
        <v>2361</v>
      </c>
      <c r="V865" s="31" t="s">
        <v>498</v>
      </c>
      <c r="W865" s="105">
        <v>3</v>
      </c>
      <c r="X865" s="65" t="s">
        <v>3354</v>
      </c>
      <c r="Y865" s="31">
        <v>43164</v>
      </c>
      <c r="Z865" s="108">
        <v>9900000</v>
      </c>
      <c r="AA865" s="107" t="s">
        <v>2837</v>
      </c>
      <c r="AB865" s="20">
        <v>690</v>
      </c>
      <c r="AC865" s="31">
        <v>43165</v>
      </c>
      <c r="AD865" s="108">
        <v>9900000</v>
      </c>
      <c r="AE865" s="108">
        <f t="shared" si="78"/>
        <v>0</v>
      </c>
      <c r="AF865" s="20">
        <v>1594</v>
      </c>
      <c r="AG865" s="31">
        <v>43175</v>
      </c>
      <c r="AH865" s="108">
        <v>9900000</v>
      </c>
      <c r="AI865" s="1" t="s">
        <v>3355</v>
      </c>
      <c r="AJ865" s="1">
        <v>543</v>
      </c>
      <c r="AK865" s="109">
        <f t="shared" si="74"/>
        <v>0</v>
      </c>
      <c r="AL865" s="108">
        <v>9900000</v>
      </c>
      <c r="AM865" s="108">
        <f t="shared" si="75"/>
        <v>0</v>
      </c>
      <c r="AN865" s="1" t="s">
        <v>2308</v>
      </c>
      <c r="AO865" s="108">
        <f t="shared" si="76"/>
        <v>0</v>
      </c>
      <c r="AP865" s="1"/>
      <c r="AQ865" s="31">
        <v>43164</v>
      </c>
      <c r="AR865" s="1" t="s">
        <v>3256</v>
      </c>
      <c r="AS865" s="31">
        <v>43164</v>
      </c>
      <c r="AT865" s="1" t="s">
        <v>2607</v>
      </c>
      <c r="AU865" s="211"/>
    </row>
    <row r="866" spans="1:47" ht="409.5" x14ac:dyDescent="0.2">
      <c r="A866" s="1">
        <v>376</v>
      </c>
      <c r="B866" s="1" t="str">
        <f t="shared" si="73"/>
        <v>3075-376</v>
      </c>
      <c r="C866" s="99" t="s">
        <v>2294</v>
      </c>
      <c r="D866" s="100" t="s">
        <v>2295</v>
      </c>
      <c r="E866" s="100" t="s">
        <v>2578</v>
      </c>
      <c r="F866" s="99" t="s">
        <v>2366</v>
      </c>
      <c r="G866" s="117" t="s">
        <v>2367</v>
      </c>
      <c r="H866" s="124" t="s">
        <v>2368</v>
      </c>
      <c r="I866" s="100" t="s">
        <v>2300</v>
      </c>
      <c r="J866" s="100" t="s">
        <v>2301</v>
      </c>
      <c r="K866" s="100">
        <v>801116</v>
      </c>
      <c r="L866" s="1" t="s">
        <v>2302</v>
      </c>
      <c r="M866" s="1" t="s">
        <v>493</v>
      </c>
      <c r="N866" s="1" t="s">
        <v>494</v>
      </c>
      <c r="O866" s="100" t="s">
        <v>2369</v>
      </c>
      <c r="P866" s="65" t="s">
        <v>3356</v>
      </c>
      <c r="Q866" s="106">
        <v>3300000</v>
      </c>
      <c r="R866" s="122">
        <v>1</v>
      </c>
      <c r="S866" s="104">
        <v>9900000</v>
      </c>
      <c r="T866" s="1" t="s">
        <v>1619</v>
      </c>
      <c r="U866" s="1" t="s">
        <v>2361</v>
      </c>
      <c r="V866" s="31" t="s">
        <v>498</v>
      </c>
      <c r="W866" s="105">
        <v>3</v>
      </c>
      <c r="X866" s="65" t="s">
        <v>3357</v>
      </c>
      <c r="Y866" s="31">
        <v>43164</v>
      </c>
      <c r="Z866" s="106">
        <v>9900000</v>
      </c>
      <c r="AA866" s="107" t="s">
        <v>2837</v>
      </c>
      <c r="AB866" s="20">
        <v>691</v>
      </c>
      <c r="AC866" s="31">
        <v>43165</v>
      </c>
      <c r="AD866" s="108">
        <v>9900000</v>
      </c>
      <c r="AE866" s="108">
        <f t="shared" si="78"/>
        <v>0</v>
      </c>
      <c r="AF866" s="20">
        <v>1591</v>
      </c>
      <c r="AG866" s="31">
        <v>43175</v>
      </c>
      <c r="AH866" s="108">
        <v>9900000</v>
      </c>
      <c r="AI866" s="1" t="s">
        <v>3358</v>
      </c>
      <c r="AJ866" s="1">
        <v>549</v>
      </c>
      <c r="AK866" s="109">
        <f t="shared" si="74"/>
        <v>0</v>
      </c>
      <c r="AL866" s="108">
        <v>9900000</v>
      </c>
      <c r="AM866" s="108">
        <f t="shared" si="75"/>
        <v>0</v>
      </c>
      <c r="AN866" s="1" t="s">
        <v>2308</v>
      </c>
      <c r="AO866" s="108">
        <f t="shared" si="76"/>
        <v>0</v>
      </c>
      <c r="AP866" s="1"/>
      <c r="AQ866" s="31">
        <v>43164</v>
      </c>
      <c r="AR866" s="1" t="s">
        <v>3256</v>
      </c>
      <c r="AS866" s="31">
        <v>43164</v>
      </c>
      <c r="AT866" s="1" t="s">
        <v>2607</v>
      </c>
      <c r="AU866" s="211"/>
    </row>
    <row r="867" spans="1:47" ht="409.5" x14ac:dyDescent="0.2">
      <c r="A867" s="1">
        <v>377</v>
      </c>
      <c r="B867" s="1" t="str">
        <f t="shared" si="73"/>
        <v>3075-377</v>
      </c>
      <c r="C867" s="99" t="s">
        <v>2294</v>
      </c>
      <c r="D867" s="100" t="s">
        <v>2295</v>
      </c>
      <c r="E867" s="100" t="s">
        <v>2578</v>
      </c>
      <c r="F867" s="99" t="s">
        <v>2366</v>
      </c>
      <c r="G867" s="117" t="s">
        <v>2367</v>
      </c>
      <c r="H867" s="124" t="s">
        <v>2368</v>
      </c>
      <c r="I867" s="100" t="s">
        <v>2300</v>
      </c>
      <c r="J867" s="100" t="s">
        <v>2301</v>
      </c>
      <c r="K867" s="100">
        <v>801116</v>
      </c>
      <c r="L867" s="1" t="s">
        <v>2302</v>
      </c>
      <c r="M867" s="1" t="s">
        <v>493</v>
      </c>
      <c r="N867" s="1" t="s">
        <v>494</v>
      </c>
      <c r="O867" s="100" t="s">
        <v>2369</v>
      </c>
      <c r="P867" s="65" t="s">
        <v>3359</v>
      </c>
      <c r="Q867" s="106">
        <v>5100000</v>
      </c>
      <c r="R867" s="122">
        <v>1</v>
      </c>
      <c r="S867" s="104">
        <v>15300000</v>
      </c>
      <c r="T867" s="1" t="s">
        <v>1619</v>
      </c>
      <c r="U867" s="1" t="s">
        <v>2361</v>
      </c>
      <c r="V867" s="31" t="s">
        <v>498</v>
      </c>
      <c r="W867" s="105">
        <v>3</v>
      </c>
      <c r="X867" s="65" t="s">
        <v>3360</v>
      </c>
      <c r="Y867" s="31">
        <v>43164</v>
      </c>
      <c r="Z867" s="106">
        <v>15300000</v>
      </c>
      <c r="AA867" s="107" t="s">
        <v>2837</v>
      </c>
      <c r="AB867" s="20">
        <v>688</v>
      </c>
      <c r="AC867" s="31">
        <v>43165</v>
      </c>
      <c r="AD867" s="108">
        <v>15300000</v>
      </c>
      <c r="AE867" s="108">
        <f t="shared" si="78"/>
        <v>0</v>
      </c>
      <c r="AF867" s="20">
        <v>1596</v>
      </c>
      <c r="AG867" s="31">
        <v>43175</v>
      </c>
      <c r="AH867" s="108">
        <v>15300000</v>
      </c>
      <c r="AI867" s="1" t="s">
        <v>3361</v>
      </c>
      <c r="AJ867" s="1">
        <v>544</v>
      </c>
      <c r="AK867" s="109">
        <f t="shared" si="74"/>
        <v>0</v>
      </c>
      <c r="AL867" s="108">
        <v>15300000</v>
      </c>
      <c r="AM867" s="108">
        <f t="shared" si="75"/>
        <v>0</v>
      </c>
      <c r="AN867" s="1" t="s">
        <v>2308</v>
      </c>
      <c r="AO867" s="108">
        <f t="shared" si="76"/>
        <v>0</v>
      </c>
      <c r="AP867" s="1"/>
      <c r="AQ867" s="31">
        <v>43164</v>
      </c>
      <c r="AR867" s="1" t="s">
        <v>3256</v>
      </c>
      <c r="AS867" s="31">
        <v>43164</v>
      </c>
      <c r="AT867" s="1" t="s">
        <v>2607</v>
      </c>
      <c r="AU867" s="211"/>
    </row>
    <row r="868" spans="1:47" ht="409.5" x14ac:dyDescent="0.2">
      <c r="A868" s="1">
        <v>378</v>
      </c>
      <c r="B868" s="1" t="str">
        <f t="shared" si="73"/>
        <v>3075-378</v>
      </c>
      <c r="C868" s="99" t="s">
        <v>2294</v>
      </c>
      <c r="D868" s="100" t="s">
        <v>2295</v>
      </c>
      <c r="E868" s="100" t="s">
        <v>2578</v>
      </c>
      <c r="F868" s="99" t="s">
        <v>2366</v>
      </c>
      <c r="G868" s="117" t="s">
        <v>2367</v>
      </c>
      <c r="H868" s="124" t="s">
        <v>2368</v>
      </c>
      <c r="I868" s="100" t="s">
        <v>2300</v>
      </c>
      <c r="J868" s="100" t="s">
        <v>2301</v>
      </c>
      <c r="K868" s="100">
        <v>801116</v>
      </c>
      <c r="L868" s="1" t="s">
        <v>2302</v>
      </c>
      <c r="M868" s="1" t="s">
        <v>493</v>
      </c>
      <c r="N868" s="1" t="s">
        <v>494</v>
      </c>
      <c r="O868" s="100" t="s">
        <v>2369</v>
      </c>
      <c r="P868" s="65" t="s">
        <v>3362</v>
      </c>
      <c r="Q868" s="106">
        <v>3450000</v>
      </c>
      <c r="R868" s="122">
        <v>1</v>
      </c>
      <c r="S868" s="104">
        <v>10350000</v>
      </c>
      <c r="T868" s="1" t="s">
        <v>1619</v>
      </c>
      <c r="U868" s="1" t="s">
        <v>2361</v>
      </c>
      <c r="V868" s="31" t="s">
        <v>498</v>
      </c>
      <c r="W868" s="105">
        <v>3</v>
      </c>
      <c r="X868" s="65" t="s">
        <v>3363</v>
      </c>
      <c r="Y868" s="31">
        <v>43164</v>
      </c>
      <c r="Z868" s="106">
        <v>10350000</v>
      </c>
      <c r="AA868" s="107" t="s">
        <v>2837</v>
      </c>
      <c r="AB868" s="20">
        <v>689</v>
      </c>
      <c r="AC868" s="31">
        <v>43165</v>
      </c>
      <c r="AD868" s="108">
        <v>10350000</v>
      </c>
      <c r="AE868" s="108">
        <f t="shared" si="78"/>
        <v>0</v>
      </c>
      <c r="AF868" s="20">
        <v>1593</v>
      </c>
      <c r="AG868" s="31">
        <v>43175</v>
      </c>
      <c r="AH868" s="108">
        <v>10350000</v>
      </c>
      <c r="AI868" s="1" t="s">
        <v>3364</v>
      </c>
      <c r="AJ868" s="1">
        <v>546</v>
      </c>
      <c r="AK868" s="109">
        <f t="shared" si="74"/>
        <v>0</v>
      </c>
      <c r="AL868" s="108">
        <v>10350000</v>
      </c>
      <c r="AM868" s="108">
        <f t="shared" si="75"/>
        <v>0</v>
      </c>
      <c r="AN868" s="1" t="s">
        <v>2308</v>
      </c>
      <c r="AO868" s="108">
        <f t="shared" si="76"/>
        <v>0</v>
      </c>
      <c r="AP868" s="1"/>
      <c r="AQ868" s="31">
        <v>43164</v>
      </c>
      <c r="AR868" s="1" t="s">
        <v>3256</v>
      </c>
      <c r="AS868" s="31">
        <v>43164</v>
      </c>
      <c r="AT868" s="1" t="s">
        <v>2607</v>
      </c>
      <c r="AU868" s="211"/>
    </row>
    <row r="869" spans="1:47" ht="293.25" x14ac:dyDescent="0.2">
      <c r="A869" s="1">
        <v>379</v>
      </c>
      <c r="B869" s="1" t="str">
        <f t="shared" si="73"/>
        <v>3075-379</v>
      </c>
      <c r="C869" s="99" t="s">
        <v>2294</v>
      </c>
      <c r="D869" s="100" t="s">
        <v>2295</v>
      </c>
      <c r="E869" s="100" t="s">
        <v>2578</v>
      </c>
      <c r="F869" s="99" t="s">
        <v>2328</v>
      </c>
      <c r="G869" s="117" t="s">
        <v>2329</v>
      </c>
      <c r="H869" s="102" t="s">
        <v>2579</v>
      </c>
      <c r="I869" s="100" t="s">
        <v>2300</v>
      </c>
      <c r="J869" s="100" t="s">
        <v>2301</v>
      </c>
      <c r="K869" s="100" t="s">
        <v>50</v>
      </c>
      <c r="L869" s="1" t="s">
        <v>2302</v>
      </c>
      <c r="M869" s="1" t="s">
        <v>493</v>
      </c>
      <c r="N869" s="1" t="s">
        <v>494</v>
      </c>
      <c r="O869" s="100" t="s">
        <v>2369</v>
      </c>
      <c r="P869" s="1" t="s">
        <v>3365</v>
      </c>
      <c r="Q869" s="106">
        <v>54686940</v>
      </c>
      <c r="R869" s="122">
        <v>1</v>
      </c>
      <c r="S869" s="104">
        <v>54686940</v>
      </c>
      <c r="T869" s="1" t="s">
        <v>2323</v>
      </c>
      <c r="U869" s="1" t="s">
        <v>2323</v>
      </c>
      <c r="V869" s="31" t="s">
        <v>507</v>
      </c>
      <c r="W869" s="105" t="s">
        <v>50</v>
      </c>
      <c r="X869" s="65" t="s">
        <v>3366</v>
      </c>
      <c r="Y869" s="31">
        <v>43164</v>
      </c>
      <c r="Z869" s="108">
        <v>54686940</v>
      </c>
      <c r="AA869" s="107" t="s">
        <v>2889</v>
      </c>
      <c r="AB869" s="20">
        <v>703</v>
      </c>
      <c r="AC869" s="31">
        <v>43167</v>
      </c>
      <c r="AD869" s="108">
        <v>54686940</v>
      </c>
      <c r="AE869" s="109">
        <f t="shared" si="78"/>
        <v>0</v>
      </c>
      <c r="AF869" s="20">
        <v>1665</v>
      </c>
      <c r="AG869" s="31">
        <v>43192</v>
      </c>
      <c r="AH869" s="108">
        <v>54686940</v>
      </c>
      <c r="AI869" s="1" t="s">
        <v>3367</v>
      </c>
      <c r="AJ869" s="1">
        <v>1685</v>
      </c>
      <c r="AK869" s="109">
        <f t="shared" si="74"/>
        <v>0</v>
      </c>
      <c r="AL869" s="108">
        <v>54686940</v>
      </c>
      <c r="AM869" s="108">
        <f t="shared" si="75"/>
        <v>0</v>
      </c>
      <c r="AN869" s="1" t="s">
        <v>2308</v>
      </c>
      <c r="AO869" s="108">
        <f t="shared" si="76"/>
        <v>0</v>
      </c>
      <c r="AP869" s="1"/>
      <c r="AQ869" s="31">
        <v>43164</v>
      </c>
      <c r="AR869" s="1" t="s">
        <v>3256</v>
      </c>
      <c r="AS869" s="31">
        <v>43164</v>
      </c>
      <c r="AT869" s="1" t="str">
        <f>P869</f>
        <v>Asignacion del instrumento financiero a las familias ocupantes del predio que hayan superado la fase de verificacion dentro del marco del Decreto 457 de 2017. LOCALIDAD: KENNEDY; BARRIO: VEREDITAS; ID: 2017-8-383670</v>
      </c>
      <c r="AU869" s="211"/>
    </row>
    <row r="870" spans="1:47" ht="114.75" x14ac:dyDescent="0.2">
      <c r="A870" s="1">
        <v>380</v>
      </c>
      <c r="B870" s="1" t="str">
        <f t="shared" si="73"/>
        <v>3075-380</v>
      </c>
      <c r="C870" s="99" t="s">
        <v>2294</v>
      </c>
      <c r="D870" s="100" t="s">
        <v>2295</v>
      </c>
      <c r="E870" s="99" t="s">
        <v>2317</v>
      </c>
      <c r="F870" s="99" t="s">
        <v>2318</v>
      </c>
      <c r="G870" s="101" t="s">
        <v>2319</v>
      </c>
      <c r="H870" s="102" t="s">
        <v>2320</v>
      </c>
      <c r="I870" s="100" t="s">
        <v>2300</v>
      </c>
      <c r="J870" s="100" t="s">
        <v>2301</v>
      </c>
      <c r="K870" s="100" t="s">
        <v>50</v>
      </c>
      <c r="L870" s="1" t="s">
        <v>2302</v>
      </c>
      <c r="M870" s="1" t="s">
        <v>493</v>
      </c>
      <c r="N870" s="1" t="s">
        <v>494</v>
      </c>
      <c r="O870" s="100" t="s">
        <v>2321</v>
      </c>
      <c r="P870" s="112" t="s">
        <v>3368</v>
      </c>
      <c r="Q870" s="103">
        <v>14366140</v>
      </c>
      <c r="R870" s="1">
        <v>1</v>
      </c>
      <c r="S870" s="104">
        <v>0</v>
      </c>
      <c r="T870" s="1"/>
      <c r="U870" s="1" t="s">
        <v>2323</v>
      </c>
      <c r="V870" s="31"/>
      <c r="W870" s="105" t="s">
        <v>50</v>
      </c>
      <c r="X870" s="65" t="s">
        <v>3369</v>
      </c>
      <c r="Y870" s="31">
        <v>43166</v>
      </c>
      <c r="Z870" s="106">
        <v>0</v>
      </c>
      <c r="AA870" s="107" t="s">
        <v>2929</v>
      </c>
      <c r="AB870" s="20"/>
      <c r="AC870" s="31"/>
      <c r="AD870" s="108"/>
      <c r="AE870" s="109">
        <f t="shared" si="78"/>
        <v>0</v>
      </c>
      <c r="AF870" s="20"/>
      <c r="AG870" s="31"/>
      <c r="AH870" s="108"/>
      <c r="AI870" s="1"/>
      <c r="AJ870" s="1"/>
      <c r="AK870" s="109">
        <f t="shared" si="74"/>
        <v>0</v>
      </c>
      <c r="AL870" s="108"/>
      <c r="AM870" s="108">
        <f t="shared" si="75"/>
        <v>0</v>
      </c>
      <c r="AN870" s="1" t="s">
        <v>2308</v>
      </c>
      <c r="AO870" s="108">
        <f t="shared" si="76"/>
        <v>0</v>
      </c>
      <c r="AP870" s="1"/>
      <c r="AQ870" s="31">
        <v>43150</v>
      </c>
      <c r="AR870" s="1" t="s">
        <v>3256</v>
      </c>
      <c r="AS870" s="31">
        <v>43166</v>
      </c>
      <c r="AT870" s="1" t="s">
        <v>3370</v>
      </c>
      <c r="AU870" s="211"/>
    </row>
    <row r="871" spans="1:47" ht="114.75" x14ac:dyDescent="0.2">
      <c r="A871" s="1">
        <v>381</v>
      </c>
      <c r="B871" s="1" t="str">
        <f t="shared" si="73"/>
        <v>3075-381</v>
      </c>
      <c r="C871" s="99" t="s">
        <v>2294</v>
      </c>
      <c r="D871" s="100" t="s">
        <v>2295</v>
      </c>
      <c r="E871" s="99" t="s">
        <v>2317</v>
      </c>
      <c r="F871" s="99" t="s">
        <v>2318</v>
      </c>
      <c r="G871" s="101" t="s">
        <v>2319</v>
      </c>
      <c r="H871" s="102" t="s">
        <v>2320</v>
      </c>
      <c r="I871" s="100" t="s">
        <v>2300</v>
      </c>
      <c r="J871" s="100" t="s">
        <v>2301</v>
      </c>
      <c r="K871" s="100" t="s">
        <v>50</v>
      </c>
      <c r="L871" s="1" t="s">
        <v>2302</v>
      </c>
      <c r="M871" s="1" t="s">
        <v>493</v>
      </c>
      <c r="N871" s="1" t="s">
        <v>494</v>
      </c>
      <c r="O871" s="100" t="s">
        <v>2321</v>
      </c>
      <c r="P871" s="112" t="s">
        <v>3368</v>
      </c>
      <c r="Q871" s="103">
        <v>21724920</v>
      </c>
      <c r="R871" s="1">
        <v>1</v>
      </c>
      <c r="S871" s="104">
        <v>0</v>
      </c>
      <c r="T871" s="1"/>
      <c r="U871" s="1" t="s">
        <v>2323</v>
      </c>
      <c r="V871" s="31"/>
      <c r="W871" s="105" t="s">
        <v>50</v>
      </c>
      <c r="X871" s="65" t="s">
        <v>3371</v>
      </c>
      <c r="Y871" s="31">
        <v>43166</v>
      </c>
      <c r="Z871" s="106">
        <v>0</v>
      </c>
      <c r="AA871" s="107" t="s">
        <v>2929</v>
      </c>
      <c r="AB871" s="20"/>
      <c r="AC871" s="31"/>
      <c r="AD871" s="108"/>
      <c r="AE871" s="109">
        <f t="shared" si="78"/>
        <v>0</v>
      </c>
      <c r="AF871" s="20"/>
      <c r="AG871" s="31"/>
      <c r="AH871" s="108"/>
      <c r="AI871" s="1"/>
      <c r="AJ871" s="1"/>
      <c r="AK871" s="109">
        <f t="shared" si="74"/>
        <v>0</v>
      </c>
      <c r="AL871" s="108"/>
      <c r="AM871" s="108">
        <f t="shared" si="75"/>
        <v>0</v>
      </c>
      <c r="AN871" s="1" t="s">
        <v>2308</v>
      </c>
      <c r="AO871" s="108">
        <f t="shared" si="76"/>
        <v>0</v>
      </c>
      <c r="AP871" s="1"/>
      <c r="AQ871" s="31">
        <v>43150</v>
      </c>
      <c r="AR871" s="1" t="s">
        <v>3256</v>
      </c>
      <c r="AS871" s="31">
        <v>43166</v>
      </c>
      <c r="AT871" s="1" t="s">
        <v>3370</v>
      </c>
      <c r="AU871" s="211"/>
    </row>
    <row r="872" spans="1:47" ht="293.25" x14ac:dyDescent="0.2">
      <c r="A872" s="1">
        <v>382</v>
      </c>
      <c r="B872" s="1" t="str">
        <f t="shared" si="73"/>
        <v>3075-382</v>
      </c>
      <c r="C872" s="99" t="s">
        <v>2294</v>
      </c>
      <c r="D872" s="100" t="s">
        <v>2295</v>
      </c>
      <c r="E872" s="100" t="s">
        <v>2578</v>
      </c>
      <c r="F872" s="99" t="s">
        <v>2328</v>
      </c>
      <c r="G872" s="117" t="s">
        <v>2329</v>
      </c>
      <c r="H872" s="102" t="s">
        <v>2579</v>
      </c>
      <c r="I872" s="100" t="s">
        <v>2300</v>
      </c>
      <c r="J872" s="100" t="s">
        <v>2301</v>
      </c>
      <c r="K872" s="100" t="s">
        <v>50</v>
      </c>
      <c r="L872" s="1" t="s">
        <v>2302</v>
      </c>
      <c r="M872" s="1" t="s">
        <v>493</v>
      </c>
      <c r="N872" s="1" t="s">
        <v>494</v>
      </c>
      <c r="O872" s="100" t="s">
        <v>2369</v>
      </c>
      <c r="P872" s="1" t="s">
        <v>3372</v>
      </c>
      <c r="Q872" s="106">
        <v>54686940</v>
      </c>
      <c r="R872" s="122">
        <v>1</v>
      </c>
      <c r="S872" s="104">
        <v>54686940</v>
      </c>
      <c r="T872" s="1" t="s">
        <v>2323</v>
      </c>
      <c r="U872" s="1" t="s">
        <v>2323</v>
      </c>
      <c r="V872" s="31" t="s">
        <v>507</v>
      </c>
      <c r="W872" s="105" t="s">
        <v>50</v>
      </c>
      <c r="X872" s="65" t="s">
        <v>3373</v>
      </c>
      <c r="Y872" s="31">
        <v>43166</v>
      </c>
      <c r="Z872" s="106">
        <v>54686940</v>
      </c>
      <c r="AA872" s="107" t="s">
        <v>2889</v>
      </c>
      <c r="AB872" s="20">
        <v>714</v>
      </c>
      <c r="AC872" s="31">
        <v>43173</v>
      </c>
      <c r="AD872" s="108">
        <v>54686940</v>
      </c>
      <c r="AE872" s="109">
        <f t="shared" si="78"/>
        <v>0</v>
      </c>
      <c r="AF872" s="20">
        <v>1819</v>
      </c>
      <c r="AG872" s="31">
        <v>43209</v>
      </c>
      <c r="AH872" s="108">
        <v>54686940</v>
      </c>
      <c r="AI872" s="1" t="s">
        <v>3374</v>
      </c>
      <c r="AJ872" s="1">
        <v>1871</v>
      </c>
      <c r="AK872" s="109">
        <f t="shared" si="74"/>
        <v>0</v>
      </c>
      <c r="AL872" s="108">
        <v>54686940</v>
      </c>
      <c r="AM872" s="108">
        <f t="shared" si="75"/>
        <v>0</v>
      </c>
      <c r="AN872" s="1" t="s">
        <v>2308</v>
      </c>
      <c r="AO872" s="108">
        <f t="shared" si="76"/>
        <v>0</v>
      </c>
      <c r="AP872" s="1"/>
      <c r="AQ872" s="31">
        <v>43166</v>
      </c>
      <c r="AR872" s="1" t="s">
        <v>3256</v>
      </c>
      <c r="AS872" s="31">
        <v>43166</v>
      </c>
      <c r="AT872" s="1" t="s">
        <v>3375</v>
      </c>
      <c r="AU872" s="211"/>
    </row>
    <row r="873" spans="1:47" ht="409.5" x14ac:dyDescent="0.2">
      <c r="A873" s="1">
        <v>383</v>
      </c>
      <c r="B873" s="1" t="str">
        <f t="shared" si="73"/>
        <v>3075-383</v>
      </c>
      <c r="C873" s="99" t="s">
        <v>2294</v>
      </c>
      <c r="D873" s="100" t="s">
        <v>2295</v>
      </c>
      <c r="E873" s="100" t="s">
        <v>2578</v>
      </c>
      <c r="F873" s="99" t="s">
        <v>2366</v>
      </c>
      <c r="G873" s="117" t="s">
        <v>2367</v>
      </c>
      <c r="H873" s="124" t="s">
        <v>2368</v>
      </c>
      <c r="I873" s="100" t="s">
        <v>2300</v>
      </c>
      <c r="J873" s="100" t="s">
        <v>2301</v>
      </c>
      <c r="K873" s="100">
        <v>801116</v>
      </c>
      <c r="L873" s="1" t="s">
        <v>2302</v>
      </c>
      <c r="M873" s="1" t="s">
        <v>493</v>
      </c>
      <c r="N873" s="1" t="s">
        <v>494</v>
      </c>
      <c r="O873" s="100" t="s">
        <v>2369</v>
      </c>
      <c r="P873" s="65" t="s">
        <v>3376</v>
      </c>
      <c r="Q873" s="106">
        <v>5100000</v>
      </c>
      <c r="R873" s="122">
        <v>1</v>
      </c>
      <c r="S873" s="104">
        <v>15300000</v>
      </c>
      <c r="T873" s="1" t="s">
        <v>1619</v>
      </c>
      <c r="U873" s="1" t="s">
        <v>2361</v>
      </c>
      <c r="V873" s="31" t="s">
        <v>498</v>
      </c>
      <c r="W873" s="105">
        <v>3</v>
      </c>
      <c r="X873" s="65" t="s">
        <v>3377</v>
      </c>
      <c r="Y873" s="31">
        <v>43167</v>
      </c>
      <c r="Z873" s="106">
        <v>15300000</v>
      </c>
      <c r="AA873" s="107" t="s">
        <v>2843</v>
      </c>
      <c r="AB873" s="20">
        <v>708</v>
      </c>
      <c r="AC873" s="31">
        <v>43168</v>
      </c>
      <c r="AD873" s="108">
        <v>15300000</v>
      </c>
      <c r="AE873" s="108">
        <f t="shared" si="78"/>
        <v>0</v>
      </c>
      <c r="AF873" s="20">
        <v>1556</v>
      </c>
      <c r="AG873" s="31">
        <v>43172</v>
      </c>
      <c r="AH873" s="108">
        <v>15300000</v>
      </c>
      <c r="AI873" s="1" t="s">
        <v>3378</v>
      </c>
      <c r="AJ873" s="1">
        <v>536</v>
      </c>
      <c r="AK873" s="109">
        <f t="shared" si="74"/>
        <v>0</v>
      </c>
      <c r="AL873" s="108">
        <v>15300000</v>
      </c>
      <c r="AM873" s="108">
        <f t="shared" si="75"/>
        <v>0</v>
      </c>
      <c r="AN873" s="1" t="s">
        <v>2308</v>
      </c>
      <c r="AO873" s="108">
        <f t="shared" si="76"/>
        <v>0</v>
      </c>
      <c r="AP873" s="1"/>
      <c r="AQ873" s="31">
        <v>43167</v>
      </c>
      <c r="AR873" s="1" t="s">
        <v>3256</v>
      </c>
      <c r="AS873" s="31">
        <v>43167</v>
      </c>
      <c r="AT873" s="1" t="s">
        <v>2607</v>
      </c>
      <c r="AU873" s="211"/>
    </row>
    <row r="874" spans="1:47" ht="409.5" x14ac:dyDescent="0.2">
      <c r="A874" s="1">
        <v>384</v>
      </c>
      <c r="B874" s="1" t="str">
        <f t="shared" si="73"/>
        <v>3075-384</v>
      </c>
      <c r="C874" s="99" t="s">
        <v>2294</v>
      </c>
      <c r="D874" s="100" t="s">
        <v>2295</v>
      </c>
      <c r="E874" s="100" t="s">
        <v>2578</v>
      </c>
      <c r="F874" s="99" t="s">
        <v>2366</v>
      </c>
      <c r="G874" s="117" t="s">
        <v>2367</v>
      </c>
      <c r="H874" s="124" t="s">
        <v>2368</v>
      </c>
      <c r="I874" s="100" t="s">
        <v>2300</v>
      </c>
      <c r="J874" s="100" t="s">
        <v>2301</v>
      </c>
      <c r="K874" s="100">
        <v>801116</v>
      </c>
      <c r="L874" s="1" t="s">
        <v>2302</v>
      </c>
      <c r="M874" s="1" t="s">
        <v>493</v>
      </c>
      <c r="N874" s="1" t="s">
        <v>494</v>
      </c>
      <c r="O874" s="100" t="s">
        <v>2369</v>
      </c>
      <c r="P874" s="65" t="s">
        <v>3379</v>
      </c>
      <c r="Q874" s="106">
        <v>4000000</v>
      </c>
      <c r="R874" s="122">
        <v>1</v>
      </c>
      <c r="S874" s="104">
        <v>12000000</v>
      </c>
      <c r="T874" s="1" t="s">
        <v>1619</v>
      </c>
      <c r="U874" s="1" t="s">
        <v>2361</v>
      </c>
      <c r="V874" s="31" t="s">
        <v>498</v>
      </c>
      <c r="W874" s="105">
        <v>3</v>
      </c>
      <c r="X874" s="65" t="s">
        <v>3380</v>
      </c>
      <c r="Y874" s="31">
        <v>43167</v>
      </c>
      <c r="Z874" s="106">
        <v>12000000</v>
      </c>
      <c r="AA874" s="107" t="s">
        <v>2843</v>
      </c>
      <c r="AB874" s="20">
        <v>709</v>
      </c>
      <c r="AC874" s="31">
        <v>43168</v>
      </c>
      <c r="AD874" s="108">
        <v>12000000</v>
      </c>
      <c r="AE874" s="108">
        <f t="shared" si="78"/>
        <v>0</v>
      </c>
      <c r="AF874" s="20">
        <v>1595</v>
      </c>
      <c r="AG874" s="31">
        <v>43175</v>
      </c>
      <c r="AH874" s="108">
        <v>12000000</v>
      </c>
      <c r="AI874" s="1" t="s">
        <v>3381</v>
      </c>
      <c r="AJ874" s="1">
        <v>551</v>
      </c>
      <c r="AK874" s="109">
        <f t="shared" si="74"/>
        <v>0</v>
      </c>
      <c r="AL874" s="108">
        <v>5733333</v>
      </c>
      <c r="AM874" s="108">
        <f t="shared" si="75"/>
        <v>6266667</v>
      </c>
      <c r="AN874" s="1" t="s">
        <v>2308</v>
      </c>
      <c r="AO874" s="108">
        <f t="shared" si="76"/>
        <v>0</v>
      </c>
      <c r="AP874" s="1"/>
      <c r="AQ874" s="31">
        <v>43167</v>
      </c>
      <c r="AR874" s="1" t="s">
        <v>3256</v>
      </c>
      <c r="AS874" s="31">
        <v>43167</v>
      </c>
      <c r="AT874" s="1" t="s">
        <v>2607</v>
      </c>
      <c r="AU874" s="211"/>
    </row>
    <row r="875" spans="1:47" ht="409.5" x14ac:dyDescent="0.2">
      <c r="A875" s="1">
        <v>385</v>
      </c>
      <c r="B875" s="1" t="str">
        <f t="shared" ref="B875:B938" si="79">CONCATENATE("3075","-",A875)</f>
        <v>3075-385</v>
      </c>
      <c r="C875" s="99" t="s">
        <v>2294</v>
      </c>
      <c r="D875" s="100" t="s">
        <v>2295</v>
      </c>
      <c r="E875" s="100" t="s">
        <v>2578</v>
      </c>
      <c r="F875" s="99" t="s">
        <v>2366</v>
      </c>
      <c r="G875" s="117" t="s">
        <v>2367</v>
      </c>
      <c r="H875" s="124" t="s">
        <v>2368</v>
      </c>
      <c r="I875" s="100" t="s">
        <v>2300</v>
      </c>
      <c r="J875" s="100" t="s">
        <v>2301</v>
      </c>
      <c r="K875" s="100">
        <v>801116</v>
      </c>
      <c r="L875" s="1" t="s">
        <v>2302</v>
      </c>
      <c r="M875" s="1" t="s">
        <v>493</v>
      </c>
      <c r="N875" s="1" t="s">
        <v>494</v>
      </c>
      <c r="O875" s="100" t="s">
        <v>2369</v>
      </c>
      <c r="P875" s="65" t="s">
        <v>3382</v>
      </c>
      <c r="Q875" s="106">
        <v>5100000</v>
      </c>
      <c r="R875" s="122">
        <v>1</v>
      </c>
      <c r="S875" s="104">
        <v>15300000</v>
      </c>
      <c r="T875" s="1" t="s">
        <v>1619</v>
      </c>
      <c r="U875" s="1" t="s">
        <v>2361</v>
      </c>
      <c r="V875" s="31" t="s">
        <v>498</v>
      </c>
      <c r="W875" s="105">
        <v>3</v>
      </c>
      <c r="X875" s="65" t="s">
        <v>3383</v>
      </c>
      <c r="Y875" s="31">
        <v>43167</v>
      </c>
      <c r="Z875" s="106">
        <v>15300000</v>
      </c>
      <c r="AA875" s="107" t="s">
        <v>2843</v>
      </c>
      <c r="AB875" s="20">
        <v>710</v>
      </c>
      <c r="AC875" s="31">
        <v>43168</v>
      </c>
      <c r="AD875" s="108">
        <v>15300000</v>
      </c>
      <c r="AE875" s="108">
        <f t="shared" si="78"/>
        <v>0</v>
      </c>
      <c r="AF875" s="20">
        <v>1592</v>
      </c>
      <c r="AG875" s="31">
        <v>43175</v>
      </c>
      <c r="AH875" s="108">
        <v>15300000</v>
      </c>
      <c r="AI875" s="1" t="s">
        <v>3384</v>
      </c>
      <c r="AJ875" s="1">
        <v>545</v>
      </c>
      <c r="AK875" s="109">
        <f t="shared" ref="AK875:AK938" si="80">AD875-AH875</f>
        <v>0</v>
      </c>
      <c r="AL875" s="108">
        <v>15300000</v>
      </c>
      <c r="AM875" s="108">
        <f t="shared" ref="AM875:AM938" si="81">AH875-AL875</f>
        <v>0</v>
      </c>
      <c r="AN875" s="1" t="s">
        <v>2308</v>
      </c>
      <c r="AO875" s="108">
        <f t="shared" ref="AO875:AO938" si="82">S875-AH875</f>
        <v>0</v>
      </c>
      <c r="AP875" s="1"/>
      <c r="AQ875" s="31">
        <v>43167</v>
      </c>
      <c r="AR875" s="1" t="s">
        <v>3256</v>
      </c>
      <c r="AS875" s="31">
        <v>43167</v>
      </c>
      <c r="AT875" s="1" t="s">
        <v>2607</v>
      </c>
      <c r="AU875" s="211"/>
    </row>
    <row r="876" spans="1:47" ht="409.5" x14ac:dyDescent="0.2">
      <c r="A876" s="1">
        <v>386</v>
      </c>
      <c r="B876" s="1" t="str">
        <f t="shared" si="79"/>
        <v>3075-386</v>
      </c>
      <c r="C876" s="99" t="s">
        <v>2294</v>
      </c>
      <c r="D876" s="100" t="s">
        <v>2295</v>
      </c>
      <c r="E876" s="100" t="s">
        <v>2578</v>
      </c>
      <c r="F876" s="99" t="s">
        <v>2366</v>
      </c>
      <c r="G876" s="117" t="s">
        <v>2367</v>
      </c>
      <c r="H876" s="124" t="s">
        <v>2368</v>
      </c>
      <c r="I876" s="100" t="s">
        <v>2300</v>
      </c>
      <c r="J876" s="100" t="s">
        <v>2301</v>
      </c>
      <c r="K876" s="100">
        <v>801116</v>
      </c>
      <c r="L876" s="1" t="s">
        <v>2302</v>
      </c>
      <c r="M876" s="1" t="s">
        <v>493</v>
      </c>
      <c r="N876" s="1" t="s">
        <v>494</v>
      </c>
      <c r="O876" s="100" t="s">
        <v>2369</v>
      </c>
      <c r="P876" s="65" t="s">
        <v>3385</v>
      </c>
      <c r="Q876" s="106">
        <v>3450000</v>
      </c>
      <c r="R876" s="122">
        <v>1</v>
      </c>
      <c r="S876" s="104">
        <v>10350000</v>
      </c>
      <c r="T876" s="1" t="s">
        <v>1619</v>
      </c>
      <c r="U876" s="1" t="s">
        <v>2361</v>
      </c>
      <c r="V876" s="31" t="s">
        <v>498</v>
      </c>
      <c r="W876" s="105">
        <v>3</v>
      </c>
      <c r="X876" s="65" t="s">
        <v>3386</v>
      </c>
      <c r="Y876" s="31">
        <v>43167</v>
      </c>
      <c r="Z876" s="106">
        <v>10350000</v>
      </c>
      <c r="AA876" s="107" t="s">
        <v>2843</v>
      </c>
      <c r="AB876" s="20">
        <v>712</v>
      </c>
      <c r="AC876" s="31">
        <v>43168</v>
      </c>
      <c r="AD876" s="108">
        <v>10350000</v>
      </c>
      <c r="AE876" s="108">
        <f t="shared" si="78"/>
        <v>0</v>
      </c>
      <c r="AF876" s="20">
        <v>1598</v>
      </c>
      <c r="AG876" s="31">
        <v>43175</v>
      </c>
      <c r="AH876" s="108">
        <v>10350000</v>
      </c>
      <c r="AI876" s="1" t="s">
        <v>3387</v>
      </c>
      <c r="AJ876" s="1">
        <v>558</v>
      </c>
      <c r="AK876" s="109">
        <f t="shared" si="80"/>
        <v>0</v>
      </c>
      <c r="AL876" s="108">
        <v>10350000</v>
      </c>
      <c r="AM876" s="108">
        <f t="shared" si="81"/>
        <v>0</v>
      </c>
      <c r="AN876" s="1" t="s">
        <v>2308</v>
      </c>
      <c r="AO876" s="108">
        <f t="shared" si="82"/>
        <v>0</v>
      </c>
      <c r="AP876" s="1"/>
      <c r="AQ876" s="31">
        <v>43167</v>
      </c>
      <c r="AR876" s="1" t="s">
        <v>3256</v>
      </c>
      <c r="AS876" s="31">
        <v>43167</v>
      </c>
      <c r="AT876" s="1" t="s">
        <v>2607</v>
      </c>
      <c r="AU876" s="211"/>
    </row>
    <row r="877" spans="1:47" ht="293.25" x14ac:dyDescent="0.2">
      <c r="A877" s="1">
        <v>387</v>
      </c>
      <c r="B877" s="1" t="str">
        <f t="shared" si="79"/>
        <v>3075-387</v>
      </c>
      <c r="C877" s="99" t="s">
        <v>2294</v>
      </c>
      <c r="D877" s="100" t="s">
        <v>2295</v>
      </c>
      <c r="E877" s="100" t="s">
        <v>2578</v>
      </c>
      <c r="F877" s="99" t="s">
        <v>2328</v>
      </c>
      <c r="G877" s="117" t="s">
        <v>2329</v>
      </c>
      <c r="H877" s="102" t="s">
        <v>2579</v>
      </c>
      <c r="I877" s="100" t="s">
        <v>2300</v>
      </c>
      <c r="J877" s="100" t="s">
        <v>2301</v>
      </c>
      <c r="K877" s="100" t="s">
        <v>50</v>
      </c>
      <c r="L877" s="1" t="s">
        <v>2302</v>
      </c>
      <c r="M877" s="1" t="s">
        <v>493</v>
      </c>
      <c r="N877" s="1" t="s">
        <v>494</v>
      </c>
      <c r="O877" s="100" t="s">
        <v>2369</v>
      </c>
      <c r="P877" s="1" t="s">
        <v>3388</v>
      </c>
      <c r="Q877" s="106">
        <v>54686940</v>
      </c>
      <c r="R877" s="122">
        <v>1</v>
      </c>
      <c r="S877" s="104">
        <v>54686940</v>
      </c>
      <c r="T877" s="1" t="s">
        <v>2323</v>
      </c>
      <c r="U877" s="1" t="s">
        <v>2323</v>
      </c>
      <c r="V877" s="31" t="s">
        <v>2211</v>
      </c>
      <c r="W877" s="105" t="s">
        <v>50</v>
      </c>
      <c r="X877" s="123" t="s">
        <v>3389</v>
      </c>
      <c r="Y877" s="31">
        <v>43173</v>
      </c>
      <c r="Z877" s="106">
        <v>54686940</v>
      </c>
      <c r="AA877" s="107" t="s">
        <v>2889</v>
      </c>
      <c r="AB877" s="20">
        <v>727</v>
      </c>
      <c r="AC877" s="31">
        <v>43175</v>
      </c>
      <c r="AD877" s="108">
        <v>54686940</v>
      </c>
      <c r="AE877" s="109">
        <f t="shared" si="78"/>
        <v>0</v>
      </c>
      <c r="AF877" s="20">
        <v>1851</v>
      </c>
      <c r="AG877" s="31">
        <v>43222</v>
      </c>
      <c r="AH877" s="108">
        <v>54686940</v>
      </c>
      <c r="AI877" s="1" t="s">
        <v>3390</v>
      </c>
      <c r="AJ877" s="1">
        <v>1961</v>
      </c>
      <c r="AK877" s="109">
        <f t="shared" si="80"/>
        <v>0</v>
      </c>
      <c r="AL877" s="108">
        <v>54686940</v>
      </c>
      <c r="AM877" s="108">
        <f t="shared" si="81"/>
        <v>0</v>
      </c>
      <c r="AN877" s="1" t="s">
        <v>2308</v>
      </c>
      <c r="AO877" s="108">
        <f t="shared" si="82"/>
        <v>0</v>
      </c>
      <c r="AP877" s="1"/>
      <c r="AQ877" s="31">
        <v>43172</v>
      </c>
      <c r="AR877" s="1" t="s">
        <v>3256</v>
      </c>
      <c r="AS877" s="31">
        <v>43173</v>
      </c>
      <c r="AT877" s="1" t="s">
        <v>3388</v>
      </c>
      <c r="AU877" s="211"/>
    </row>
    <row r="878" spans="1:47" ht="293.25" x14ac:dyDescent="0.2">
      <c r="A878" s="1">
        <v>388</v>
      </c>
      <c r="B878" s="1" t="str">
        <f t="shared" si="79"/>
        <v>3075-388</v>
      </c>
      <c r="C878" s="99" t="s">
        <v>2294</v>
      </c>
      <c r="D878" s="100" t="s">
        <v>2295</v>
      </c>
      <c r="E878" s="100" t="s">
        <v>2578</v>
      </c>
      <c r="F878" s="99" t="s">
        <v>2328</v>
      </c>
      <c r="G878" s="117" t="s">
        <v>2329</v>
      </c>
      <c r="H878" s="102" t="s">
        <v>2579</v>
      </c>
      <c r="I878" s="100" t="s">
        <v>2300</v>
      </c>
      <c r="J878" s="100" t="s">
        <v>2301</v>
      </c>
      <c r="K878" s="100" t="s">
        <v>50</v>
      </c>
      <c r="L878" s="1" t="s">
        <v>2302</v>
      </c>
      <c r="M878" s="1" t="s">
        <v>493</v>
      </c>
      <c r="N878" s="1" t="s">
        <v>494</v>
      </c>
      <c r="O878" s="100" t="s">
        <v>2369</v>
      </c>
      <c r="P878" s="1" t="s">
        <v>3391</v>
      </c>
      <c r="Q878" s="106">
        <v>54686940</v>
      </c>
      <c r="R878" s="122">
        <v>1</v>
      </c>
      <c r="S878" s="104">
        <v>54686940</v>
      </c>
      <c r="T878" s="1" t="s">
        <v>2323</v>
      </c>
      <c r="U878" s="1" t="s">
        <v>2323</v>
      </c>
      <c r="V878" s="31" t="s">
        <v>507</v>
      </c>
      <c r="W878" s="105" t="s">
        <v>50</v>
      </c>
      <c r="X878" s="123" t="s">
        <v>3392</v>
      </c>
      <c r="Y878" s="31">
        <v>43173</v>
      </c>
      <c r="Z878" s="106">
        <v>54686940</v>
      </c>
      <c r="AA878" s="107" t="s">
        <v>2889</v>
      </c>
      <c r="AB878" s="20">
        <v>726</v>
      </c>
      <c r="AC878" s="31">
        <v>43175</v>
      </c>
      <c r="AD878" s="108">
        <v>54686940</v>
      </c>
      <c r="AE878" s="109">
        <f t="shared" si="78"/>
        <v>0</v>
      </c>
      <c r="AF878" s="20">
        <v>1790</v>
      </c>
      <c r="AG878" s="31">
        <v>43202</v>
      </c>
      <c r="AH878" s="108">
        <v>54686940</v>
      </c>
      <c r="AI878" s="1" t="s">
        <v>3393</v>
      </c>
      <c r="AJ878" s="1">
        <v>1842</v>
      </c>
      <c r="AK878" s="109">
        <f t="shared" si="80"/>
        <v>0</v>
      </c>
      <c r="AL878" s="108">
        <v>0</v>
      </c>
      <c r="AM878" s="108">
        <f t="shared" si="81"/>
        <v>54686940</v>
      </c>
      <c r="AN878" s="1" t="s">
        <v>2308</v>
      </c>
      <c r="AO878" s="108">
        <f t="shared" si="82"/>
        <v>0</v>
      </c>
      <c r="AP878" s="1"/>
      <c r="AQ878" s="31">
        <v>43172</v>
      </c>
      <c r="AR878" s="1" t="s">
        <v>3256</v>
      </c>
      <c r="AS878" s="31">
        <v>43173</v>
      </c>
      <c r="AT878" s="1" t="s">
        <v>3391</v>
      </c>
      <c r="AU878" s="211"/>
    </row>
    <row r="879" spans="1:47" ht="293.25" x14ac:dyDescent="0.2">
      <c r="A879" s="1">
        <v>389</v>
      </c>
      <c r="B879" s="1" t="str">
        <f t="shared" si="79"/>
        <v>3075-389</v>
      </c>
      <c r="C879" s="99" t="s">
        <v>2294</v>
      </c>
      <c r="D879" s="100" t="s">
        <v>2295</v>
      </c>
      <c r="E879" s="100" t="s">
        <v>2578</v>
      </c>
      <c r="F879" s="99" t="s">
        <v>2328</v>
      </c>
      <c r="G879" s="117" t="s">
        <v>2329</v>
      </c>
      <c r="H879" s="102" t="s">
        <v>2579</v>
      </c>
      <c r="I879" s="100" t="s">
        <v>2300</v>
      </c>
      <c r="J879" s="100" t="s">
        <v>2301</v>
      </c>
      <c r="K879" s="100" t="s">
        <v>50</v>
      </c>
      <c r="L879" s="1" t="s">
        <v>2302</v>
      </c>
      <c r="M879" s="1" t="s">
        <v>493</v>
      </c>
      <c r="N879" s="1" t="s">
        <v>494</v>
      </c>
      <c r="O879" s="100" t="s">
        <v>2369</v>
      </c>
      <c r="P879" s="1" t="s">
        <v>3394</v>
      </c>
      <c r="Q879" s="106">
        <v>54686940</v>
      </c>
      <c r="R879" s="122">
        <v>1</v>
      </c>
      <c r="S879" s="104">
        <v>54686940</v>
      </c>
      <c r="T879" s="1" t="s">
        <v>2323</v>
      </c>
      <c r="U879" s="1" t="s">
        <v>2323</v>
      </c>
      <c r="V879" s="31" t="s">
        <v>507</v>
      </c>
      <c r="W879" s="105" t="s">
        <v>50</v>
      </c>
      <c r="X879" s="123" t="s">
        <v>3395</v>
      </c>
      <c r="Y879" s="31">
        <v>43173</v>
      </c>
      <c r="Z879" s="106">
        <v>54686940</v>
      </c>
      <c r="AA879" s="107" t="s">
        <v>2889</v>
      </c>
      <c r="AB879" s="20">
        <v>725</v>
      </c>
      <c r="AC879" s="31">
        <v>43175</v>
      </c>
      <c r="AD879" s="108">
        <v>54686940</v>
      </c>
      <c r="AE879" s="109">
        <f t="shared" si="78"/>
        <v>0</v>
      </c>
      <c r="AF879" s="20">
        <v>1808</v>
      </c>
      <c r="AG879" s="31">
        <v>43207</v>
      </c>
      <c r="AH879" s="108">
        <v>54686940</v>
      </c>
      <c r="AI879" s="1" t="s">
        <v>3396</v>
      </c>
      <c r="AJ879" s="1">
        <v>1864</v>
      </c>
      <c r="AK879" s="109">
        <f t="shared" si="80"/>
        <v>0</v>
      </c>
      <c r="AL879" s="108">
        <v>54686940</v>
      </c>
      <c r="AM879" s="108">
        <f t="shared" si="81"/>
        <v>0</v>
      </c>
      <c r="AN879" s="1" t="s">
        <v>2308</v>
      </c>
      <c r="AO879" s="108">
        <f t="shared" si="82"/>
        <v>0</v>
      </c>
      <c r="AP879" s="1"/>
      <c r="AQ879" s="31">
        <v>43172</v>
      </c>
      <c r="AR879" s="1" t="s">
        <v>3256</v>
      </c>
      <c r="AS879" s="31">
        <v>43173</v>
      </c>
      <c r="AT879" s="1" t="s">
        <v>3394</v>
      </c>
      <c r="AU879" s="211"/>
    </row>
    <row r="880" spans="1:47" ht="293.25" x14ac:dyDescent="0.2">
      <c r="A880" s="1">
        <v>390</v>
      </c>
      <c r="B880" s="1" t="str">
        <f t="shared" si="79"/>
        <v>3075-390</v>
      </c>
      <c r="C880" s="99" t="s">
        <v>2294</v>
      </c>
      <c r="D880" s="100" t="s">
        <v>2295</v>
      </c>
      <c r="E880" s="100" t="s">
        <v>2578</v>
      </c>
      <c r="F880" s="99" t="s">
        <v>2328</v>
      </c>
      <c r="G880" s="117" t="s">
        <v>2329</v>
      </c>
      <c r="H880" s="102" t="s">
        <v>2579</v>
      </c>
      <c r="I880" s="100" t="s">
        <v>2300</v>
      </c>
      <c r="J880" s="100" t="s">
        <v>2301</v>
      </c>
      <c r="K880" s="100" t="s">
        <v>50</v>
      </c>
      <c r="L880" s="1" t="s">
        <v>2302</v>
      </c>
      <c r="M880" s="1" t="s">
        <v>493</v>
      </c>
      <c r="N880" s="1" t="s">
        <v>494</v>
      </c>
      <c r="O880" s="100" t="s">
        <v>2369</v>
      </c>
      <c r="P880" s="1" t="s">
        <v>3397</v>
      </c>
      <c r="Q880" s="106">
        <v>54686940</v>
      </c>
      <c r="R880" s="122">
        <v>1</v>
      </c>
      <c r="S880" s="104">
        <v>54686940</v>
      </c>
      <c r="T880" s="1" t="s">
        <v>2323</v>
      </c>
      <c r="U880" s="1" t="s">
        <v>2323</v>
      </c>
      <c r="V880" s="31" t="s">
        <v>507</v>
      </c>
      <c r="W880" s="105" t="s">
        <v>50</v>
      </c>
      <c r="X880" s="123" t="s">
        <v>3398</v>
      </c>
      <c r="Y880" s="31">
        <v>43173</v>
      </c>
      <c r="Z880" s="106">
        <v>54686940</v>
      </c>
      <c r="AA880" s="107" t="s">
        <v>2889</v>
      </c>
      <c r="AB880" s="20">
        <v>724</v>
      </c>
      <c r="AC880" s="31">
        <v>43175</v>
      </c>
      <c r="AD880" s="108">
        <v>54686940</v>
      </c>
      <c r="AE880" s="109">
        <f t="shared" si="78"/>
        <v>0</v>
      </c>
      <c r="AF880" s="20">
        <v>1824</v>
      </c>
      <c r="AG880" s="31">
        <v>43210</v>
      </c>
      <c r="AH880" s="108">
        <v>54686940</v>
      </c>
      <c r="AI880" s="1" t="s">
        <v>3399</v>
      </c>
      <c r="AJ880" s="1">
        <v>1878</v>
      </c>
      <c r="AK880" s="109">
        <f t="shared" si="80"/>
        <v>0</v>
      </c>
      <c r="AL880" s="108">
        <v>54686940</v>
      </c>
      <c r="AM880" s="108">
        <f t="shared" si="81"/>
        <v>0</v>
      </c>
      <c r="AN880" s="1" t="s">
        <v>2308</v>
      </c>
      <c r="AO880" s="108">
        <f t="shared" si="82"/>
        <v>0</v>
      </c>
      <c r="AP880" s="1"/>
      <c r="AQ880" s="31">
        <v>43172</v>
      </c>
      <c r="AR880" s="1" t="s">
        <v>3256</v>
      </c>
      <c r="AS880" s="31">
        <v>43173</v>
      </c>
      <c r="AT880" s="1" t="s">
        <v>3397</v>
      </c>
      <c r="AU880" s="211"/>
    </row>
    <row r="881" spans="1:47" ht="293.25" x14ac:dyDescent="0.2">
      <c r="A881" s="1">
        <v>391</v>
      </c>
      <c r="B881" s="1" t="str">
        <f t="shared" si="79"/>
        <v>3075-391</v>
      </c>
      <c r="C881" s="99" t="s">
        <v>2294</v>
      </c>
      <c r="D881" s="100" t="s">
        <v>2295</v>
      </c>
      <c r="E881" s="100" t="s">
        <v>2578</v>
      </c>
      <c r="F881" s="99" t="s">
        <v>2328</v>
      </c>
      <c r="G881" s="117" t="s">
        <v>2329</v>
      </c>
      <c r="H881" s="102" t="s">
        <v>2579</v>
      </c>
      <c r="I881" s="100" t="s">
        <v>2300</v>
      </c>
      <c r="J881" s="100" t="s">
        <v>2301</v>
      </c>
      <c r="K881" s="100" t="s">
        <v>50</v>
      </c>
      <c r="L881" s="1" t="s">
        <v>2302</v>
      </c>
      <c r="M881" s="1" t="s">
        <v>493</v>
      </c>
      <c r="N881" s="1" t="s">
        <v>494</v>
      </c>
      <c r="O881" s="100" t="s">
        <v>2369</v>
      </c>
      <c r="P881" s="1" t="s">
        <v>3400</v>
      </c>
      <c r="Q881" s="106">
        <v>54686940</v>
      </c>
      <c r="R881" s="122">
        <v>1</v>
      </c>
      <c r="S881" s="104">
        <v>54686940</v>
      </c>
      <c r="T881" s="1" t="s">
        <v>2323</v>
      </c>
      <c r="U881" s="1" t="s">
        <v>2323</v>
      </c>
      <c r="V881" s="31" t="s">
        <v>507</v>
      </c>
      <c r="W881" s="105" t="s">
        <v>50</v>
      </c>
      <c r="X881" s="123" t="s">
        <v>3401</v>
      </c>
      <c r="Y881" s="31">
        <v>43173</v>
      </c>
      <c r="Z881" s="106">
        <v>54686940</v>
      </c>
      <c r="AA881" s="107" t="s">
        <v>2889</v>
      </c>
      <c r="AB881" s="20">
        <v>723</v>
      </c>
      <c r="AC881" s="31">
        <v>43175</v>
      </c>
      <c r="AD881" s="108">
        <v>54686940</v>
      </c>
      <c r="AE881" s="109">
        <f t="shared" si="78"/>
        <v>0</v>
      </c>
      <c r="AF881" s="20">
        <v>1817</v>
      </c>
      <c r="AG881" s="31">
        <v>43209</v>
      </c>
      <c r="AH881" s="108">
        <v>54686940</v>
      </c>
      <c r="AI881" s="1" t="s">
        <v>3402</v>
      </c>
      <c r="AJ881" s="1">
        <v>1873</v>
      </c>
      <c r="AK881" s="109">
        <f t="shared" si="80"/>
        <v>0</v>
      </c>
      <c r="AL881" s="108">
        <v>54686940</v>
      </c>
      <c r="AM881" s="108">
        <f t="shared" si="81"/>
        <v>0</v>
      </c>
      <c r="AN881" s="1" t="s">
        <v>2308</v>
      </c>
      <c r="AO881" s="108">
        <f t="shared" si="82"/>
        <v>0</v>
      </c>
      <c r="AP881" s="1"/>
      <c r="AQ881" s="31">
        <v>43172</v>
      </c>
      <c r="AR881" s="1" t="s">
        <v>3256</v>
      </c>
      <c r="AS881" s="31">
        <v>43173</v>
      </c>
      <c r="AT881" s="1" t="s">
        <v>3400</v>
      </c>
      <c r="AU881" s="211"/>
    </row>
    <row r="882" spans="1:47" ht="293.25" x14ac:dyDescent="0.2">
      <c r="A882" s="1">
        <v>392</v>
      </c>
      <c r="B882" s="1" t="str">
        <f t="shared" si="79"/>
        <v>3075-392</v>
      </c>
      <c r="C882" s="99" t="s">
        <v>2294</v>
      </c>
      <c r="D882" s="100" t="s">
        <v>2295</v>
      </c>
      <c r="E882" s="100" t="s">
        <v>2578</v>
      </c>
      <c r="F882" s="99" t="s">
        <v>2328</v>
      </c>
      <c r="G882" s="117" t="s">
        <v>2329</v>
      </c>
      <c r="H882" s="102" t="s">
        <v>2579</v>
      </c>
      <c r="I882" s="100" t="s">
        <v>2300</v>
      </c>
      <c r="J882" s="100" t="s">
        <v>2301</v>
      </c>
      <c r="K882" s="100" t="s">
        <v>50</v>
      </c>
      <c r="L882" s="1" t="s">
        <v>2302</v>
      </c>
      <c r="M882" s="1" t="s">
        <v>493</v>
      </c>
      <c r="N882" s="1" t="s">
        <v>494</v>
      </c>
      <c r="O882" s="100" t="s">
        <v>2369</v>
      </c>
      <c r="P882" s="1" t="s">
        <v>3403</v>
      </c>
      <c r="Q882" s="106">
        <v>54686940</v>
      </c>
      <c r="R882" s="122">
        <v>1</v>
      </c>
      <c r="S882" s="104">
        <v>54686940</v>
      </c>
      <c r="T882" s="1" t="s">
        <v>2323</v>
      </c>
      <c r="U882" s="1" t="s">
        <v>2323</v>
      </c>
      <c r="V882" s="31" t="s">
        <v>507</v>
      </c>
      <c r="W882" s="105" t="s">
        <v>50</v>
      </c>
      <c r="X882" s="123" t="s">
        <v>3404</v>
      </c>
      <c r="Y882" s="31">
        <v>43173</v>
      </c>
      <c r="Z882" s="106">
        <v>54686940</v>
      </c>
      <c r="AA882" s="107" t="s">
        <v>2889</v>
      </c>
      <c r="AB882" s="20">
        <v>722</v>
      </c>
      <c r="AC882" s="31">
        <v>43175</v>
      </c>
      <c r="AD882" s="108">
        <v>54686940</v>
      </c>
      <c r="AE882" s="109">
        <f t="shared" si="78"/>
        <v>0</v>
      </c>
      <c r="AF882" s="20">
        <v>1786</v>
      </c>
      <c r="AG882" s="31">
        <v>43202</v>
      </c>
      <c r="AH882" s="108">
        <v>54686940</v>
      </c>
      <c r="AI882" s="1" t="s">
        <v>3405</v>
      </c>
      <c r="AJ882" s="1">
        <v>1840</v>
      </c>
      <c r="AK882" s="109">
        <f t="shared" si="80"/>
        <v>0</v>
      </c>
      <c r="AL882" s="108">
        <v>54686940</v>
      </c>
      <c r="AM882" s="108">
        <f t="shared" si="81"/>
        <v>0</v>
      </c>
      <c r="AN882" s="1" t="s">
        <v>2308</v>
      </c>
      <c r="AO882" s="108">
        <f t="shared" si="82"/>
        <v>0</v>
      </c>
      <c r="AP882" s="1"/>
      <c r="AQ882" s="31">
        <v>43172</v>
      </c>
      <c r="AR882" s="1" t="s">
        <v>3256</v>
      </c>
      <c r="AS882" s="31">
        <v>43173</v>
      </c>
      <c r="AT882" s="1" t="s">
        <v>3403</v>
      </c>
      <c r="AU882" s="211"/>
    </row>
    <row r="883" spans="1:47" ht="293.25" x14ac:dyDescent="0.2">
      <c r="A883" s="1">
        <v>393</v>
      </c>
      <c r="B883" s="1" t="str">
        <f t="shared" si="79"/>
        <v>3075-393</v>
      </c>
      <c r="C883" s="99" t="s">
        <v>2294</v>
      </c>
      <c r="D883" s="100" t="s">
        <v>2295</v>
      </c>
      <c r="E883" s="100" t="s">
        <v>2578</v>
      </c>
      <c r="F883" s="99" t="s">
        <v>2328</v>
      </c>
      <c r="G883" s="117" t="s">
        <v>2329</v>
      </c>
      <c r="H883" s="102" t="s">
        <v>2579</v>
      </c>
      <c r="I883" s="100" t="s">
        <v>2300</v>
      </c>
      <c r="J883" s="100" t="s">
        <v>2301</v>
      </c>
      <c r="K883" s="100" t="s">
        <v>50</v>
      </c>
      <c r="L883" s="1" t="s">
        <v>2302</v>
      </c>
      <c r="M883" s="1" t="s">
        <v>493</v>
      </c>
      <c r="N883" s="1" t="s">
        <v>494</v>
      </c>
      <c r="O883" s="100" t="s">
        <v>2369</v>
      </c>
      <c r="P883" s="1" t="s">
        <v>3406</v>
      </c>
      <c r="Q883" s="106">
        <v>54686940</v>
      </c>
      <c r="R883" s="122">
        <v>1</v>
      </c>
      <c r="S883" s="104">
        <v>54686940</v>
      </c>
      <c r="T883" s="1" t="s">
        <v>2323</v>
      </c>
      <c r="U883" s="1" t="s">
        <v>2323</v>
      </c>
      <c r="V883" s="31" t="s">
        <v>2211</v>
      </c>
      <c r="W883" s="105" t="s">
        <v>50</v>
      </c>
      <c r="X883" s="123" t="s">
        <v>3407</v>
      </c>
      <c r="Y883" s="31">
        <v>43173</v>
      </c>
      <c r="Z883" s="106">
        <v>54686940</v>
      </c>
      <c r="AA883" s="107" t="s">
        <v>2889</v>
      </c>
      <c r="AB883" s="20">
        <v>721</v>
      </c>
      <c r="AC883" s="31">
        <v>43175</v>
      </c>
      <c r="AD883" s="108">
        <v>54686940</v>
      </c>
      <c r="AE883" s="109">
        <f t="shared" si="78"/>
        <v>0</v>
      </c>
      <c r="AF883" s="20">
        <v>1853</v>
      </c>
      <c r="AG883" s="31">
        <v>43223</v>
      </c>
      <c r="AH883" s="108">
        <v>54686940</v>
      </c>
      <c r="AI883" s="1" t="s">
        <v>3408</v>
      </c>
      <c r="AJ883" s="1">
        <v>1965</v>
      </c>
      <c r="AK883" s="109">
        <f t="shared" si="80"/>
        <v>0</v>
      </c>
      <c r="AL883" s="108">
        <v>54686940</v>
      </c>
      <c r="AM883" s="108">
        <f t="shared" si="81"/>
        <v>0</v>
      </c>
      <c r="AN883" s="1" t="s">
        <v>2308</v>
      </c>
      <c r="AO883" s="108">
        <f t="shared" si="82"/>
        <v>0</v>
      </c>
      <c r="AP883" s="1"/>
      <c r="AQ883" s="31">
        <v>43172</v>
      </c>
      <c r="AR883" s="1" t="s">
        <v>3256</v>
      </c>
      <c r="AS883" s="31">
        <v>43173</v>
      </c>
      <c r="AT883" s="1" t="s">
        <v>3406</v>
      </c>
      <c r="AU883" s="211"/>
    </row>
    <row r="884" spans="1:47" ht="293.25" x14ac:dyDescent="0.2">
      <c r="A884" s="1">
        <v>394</v>
      </c>
      <c r="B884" s="1" t="str">
        <f t="shared" si="79"/>
        <v>3075-394</v>
      </c>
      <c r="C884" s="99" t="s">
        <v>2294</v>
      </c>
      <c r="D884" s="100" t="s">
        <v>2295</v>
      </c>
      <c r="E884" s="100" t="s">
        <v>2578</v>
      </c>
      <c r="F884" s="99" t="s">
        <v>2328</v>
      </c>
      <c r="G884" s="117" t="s">
        <v>2329</v>
      </c>
      <c r="H884" s="102" t="s">
        <v>2579</v>
      </c>
      <c r="I884" s="100" t="s">
        <v>2300</v>
      </c>
      <c r="J884" s="100" t="s">
        <v>2301</v>
      </c>
      <c r="K884" s="100" t="s">
        <v>50</v>
      </c>
      <c r="L884" s="1" t="s">
        <v>2302</v>
      </c>
      <c r="M884" s="1" t="s">
        <v>493</v>
      </c>
      <c r="N884" s="1" t="s">
        <v>494</v>
      </c>
      <c r="O884" s="100" t="s">
        <v>2369</v>
      </c>
      <c r="P884" s="1" t="s">
        <v>3409</v>
      </c>
      <c r="Q884" s="106">
        <v>54686940</v>
      </c>
      <c r="R884" s="122">
        <v>1</v>
      </c>
      <c r="S884" s="104">
        <v>54686940</v>
      </c>
      <c r="T884" s="1" t="s">
        <v>2323</v>
      </c>
      <c r="U884" s="1" t="s">
        <v>2323</v>
      </c>
      <c r="V884" s="31" t="s">
        <v>507</v>
      </c>
      <c r="W884" s="105" t="s">
        <v>50</v>
      </c>
      <c r="X884" s="123" t="s">
        <v>3410</v>
      </c>
      <c r="Y884" s="31">
        <v>43173</v>
      </c>
      <c r="Z884" s="106">
        <v>54686940</v>
      </c>
      <c r="AA884" s="107" t="s">
        <v>2889</v>
      </c>
      <c r="AB884" s="20">
        <v>720</v>
      </c>
      <c r="AC884" s="31">
        <v>43175</v>
      </c>
      <c r="AD884" s="108">
        <v>54686940</v>
      </c>
      <c r="AE884" s="109">
        <f t="shared" si="78"/>
        <v>0</v>
      </c>
      <c r="AF884" s="20">
        <v>1828</v>
      </c>
      <c r="AG884" s="31">
        <v>43210</v>
      </c>
      <c r="AH884" s="108">
        <v>54686940</v>
      </c>
      <c r="AI884" s="1" t="s">
        <v>3411</v>
      </c>
      <c r="AJ884" s="1">
        <v>1893</v>
      </c>
      <c r="AK884" s="109">
        <f t="shared" si="80"/>
        <v>0</v>
      </c>
      <c r="AL884" s="108">
        <v>54686940</v>
      </c>
      <c r="AM884" s="108">
        <f t="shared" si="81"/>
        <v>0</v>
      </c>
      <c r="AN884" s="1" t="s">
        <v>2308</v>
      </c>
      <c r="AO884" s="108">
        <f t="shared" si="82"/>
        <v>0</v>
      </c>
      <c r="AP884" s="1"/>
      <c r="AQ884" s="31">
        <v>43172</v>
      </c>
      <c r="AR884" s="1" t="s">
        <v>3256</v>
      </c>
      <c r="AS884" s="31">
        <v>43173</v>
      </c>
      <c r="AT884" s="1" t="s">
        <v>3409</v>
      </c>
      <c r="AU884" s="211"/>
    </row>
    <row r="885" spans="1:47" ht="293.25" x14ac:dyDescent="0.2">
      <c r="A885" s="1">
        <v>395</v>
      </c>
      <c r="B885" s="1" t="str">
        <f t="shared" si="79"/>
        <v>3075-395</v>
      </c>
      <c r="C885" s="99" t="s">
        <v>2294</v>
      </c>
      <c r="D885" s="100" t="s">
        <v>2295</v>
      </c>
      <c r="E885" s="100" t="s">
        <v>2578</v>
      </c>
      <c r="F885" s="99" t="s">
        <v>2328</v>
      </c>
      <c r="G885" s="117" t="s">
        <v>2329</v>
      </c>
      <c r="H885" s="102" t="s">
        <v>2579</v>
      </c>
      <c r="I885" s="100" t="s">
        <v>2300</v>
      </c>
      <c r="J885" s="100" t="s">
        <v>2301</v>
      </c>
      <c r="K885" s="100" t="s">
        <v>50</v>
      </c>
      <c r="L885" s="1" t="s">
        <v>2302</v>
      </c>
      <c r="M885" s="1" t="s">
        <v>493</v>
      </c>
      <c r="N885" s="1" t="s">
        <v>494</v>
      </c>
      <c r="O885" s="100" t="s">
        <v>2369</v>
      </c>
      <c r="P885" s="1" t="s">
        <v>3412</v>
      </c>
      <c r="Q885" s="106">
        <v>54686940</v>
      </c>
      <c r="R885" s="122">
        <v>1</v>
      </c>
      <c r="S885" s="104">
        <v>0</v>
      </c>
      <c r="T885" s="1"/>
      <c r="U885" s="1" t="s">
        <v>2323</v>
      </c>
      <c r="V885" s="31"/>
      <c r="W885" s="105" t="s">
        <v>50</v>
      </c>
      <c r="X885" s="123" t="s">
        <v>3413</v>
      </c>
      <c r="Y885" s="31">
        <v>43173</v>
      </c>
      <c r="Z885" s="106">
        <v>0</v>
      </c>
      <c r="AA885" s="107" t="s">
        <v>2889</v>
      </c>
      <c r="AB885" s="20" t="s">
        <v>3414</v>
      </c>
      <c r="AC885" s="31">
        <v>43175</v>
      </c>
      <c r="AD885" s="108">
        <v>0</v>
      </c>
      <c r="AE885" s="109">
        <f t="shared" si="78"/>
        <v>0</v>
      </c>
      <c r="AF885" s="20"/>
      <c r="AG885" s="31"/>
      <c r="AH885" s="108"/>
      <c r="AI885" s="1"/>
      <c r="AJ885" s="1"/>
      <c r="AK885" s="109">
        <f t="shared" si="80"/>
        <v>0</v>
      </c>
      <c r="AL885" s="108"/>
      <c r="AM885" s="108">
        <f t="shared" si="81"/>
        <v>0</v>
      </c>
      <c r="AN885" s="1" t="s">
        <v>2308</v>
      </c>
      <c r="AO885" s="108">
        <f t="shared" si="82"/>
        <v>0</v>
      </c>
      <c r="AP885" s="1" t="s">
        <v>3415</v>
      </c>
      <c r="AQ885" s="31">
        <v>43172</v>
      </c>
      <c r="AR885" s="1" t="s">
        <v>3256</v>
      </c>
      <c r="AS885" s="31">
        <v>43173</v>
      </c>
      <c r="AT885" s="1" t="s">
        <v>3412</v>
      </c>
      <c r="AU885" s="211"/>
    </row>
    <row r="886" spans="1:47" ht="293.25" x14ac:dyDescent="0.2">
      <c r="A886" s="1">
        <v>396</v>
      </c>
      <c r="B886" s="1" t="str">
        <f t="shared" si="79"/>
        <v>3075-396</v>
      </c>
      <c r="C886" s="99" t="s">
        <v>2294</v>
      </c>
      <c r="D886" s="100" t="s">
        <v>2295</v>
      </c>
      <c r="E886" s="100" t="s">
        <v>2578</v>
      </c>
      <c r="F886" s="99" t="s">
        <v>2328</v>
      </c>
      <c r="G886" s="117" t="s">
        <v>2329</v>
      </c>
      <c r="H886" s="102" t="s">
        <v>2579</v>
      </c>
      <c r="I886" s="100" t="s">
        <v>2300</v>
      </c>
      <c r="J886" s="100" t="s">
        <v>2301</v>
      </c>
      <c r="K886" s="100" t="s">
        <v>50</v>
      </c>
      <c r="L886" s="1" t="s">
        <v>2302</v>
      </c>
      <c r="M886" s="1" t="s">
        <v>493</v>
      </c>
      <c r="N886" s="1" t="s">
        <v>494</v>
      </c>
      <c r="O886" s="100" t="s">
        <v>2369</v>
      </c>
      <c r="P886" s="1" t="s">
        <v>3416</v>
      </c>
      <c r="Q886" s="106">
        <v>54686940</v>
      </c>
      <c r="R886" s="122">
        <v>1</v>
      </c>
      <c r="S886" s="104">
        <v>54686940</v>
      </c>
      <c r="T886" s="1" t="s">
        <v>2323</v>
      </c>
      <c r="U886" s="1" t="s">
        <v>2323</v>
      </c>
      <c r="V886" s="31" t="s">
        <v>507</v>
      </c>
      <c r="W886" s="105" t="s">
        <v>50</v>
      </c>
      <c r="X886" s="123" t="s">
        <v>3417</v>
      </c>
      <c r="Y886" s="31">
        <v>43173</v>
      </c>
      <c r="Z886" s="106">
        <v>54686940</v>
      </c>
      <c r="AA886" s="107" t="s">
        <v>2889</v>
      </c>
      <c r="AB886" s="20">
        <v>729</v>
      </c>
      <c r="AC886" s="31">
        <v>43175</v>
      </c>
      <c r="AD886" s="108">
        <v>54686940</v>
      </c>
      <c r="AE886" s="109">
        <f t="shared" si="78"/>
        <v>0</v>
      </c>
      <c r="AF886" s="20">
        <v>1829</v>
      </c>
      <c r="AG886" s="31">
        <v>43210</v>
      </c>
      <c r="AH886" s="108">
        <v>54686940</v>
      </c>
      <c r="AI886" s="1" t="s">
        <v>3418</v>
      </c>
      <c r="AJ886" s="1">
        <v>1877</v>
      </c>
      <c r="AK886" s="109">
        <f t="shared" si="80"/>
        <v>0</v>
      </c>
      <c r="AL886" s="108">
        <v>54686940</v>
      </c>
      <c r="AM886" s="108">
        <f t="shared" si="81"/>
        <v>0</v>
      </c>
      <c r="AN886" s="1" t="s">
        <v>2308</v>
      </c>
      <c r="AO886" s="108">
        <f t="shared" si="82"/>
        <v>0</v>
      </c>
      <c r="AP886" s="1"/>
      <c r="AQ886" s="31">
        <v>43172</v>
      </c>
      <c r="AR886" s="1" t="s">
        <v>3256</v>
      </c>
      <c r="AS886" s="31">
        <v>43173</v>
      </c>
      <c r="AT886" s="1" t="s">
        <v>3416</v>
      </c>
      <c r="AU886" s="211"/>
    </row>
    <row r="887" spans="1:47" ht="293.25" x14ac:dyDescent="0.2">
      <c r="A887" s="1">
        <v>397</v>
      </c>
      <c r="B887" s="1" t="str">
        <f t="shared" si="79"/>
        <v>3075-397</v>
      </c>
      <c r="C887" s="99" t="s">
        <v>2294</v>
      </c>
      <c r="D887" s="100" t="s">
        <v>2295</v>
      </c>
      <c r="E887" s="100" t="s">
        <v>2578</v>
      </c>
      <c r="F887" s="99" t="s">
        <v>2328</v>
      </c>
      <c r="G887" s="117" t="s">
        <v>2329</v>
      </c>
      <c r="H887" s="102" t="s">
        <v>2579</v>
      </c>
      <c r="I887" s="100" t="s">
        <v>2300</v>
      </c>
      <c r="J887" s="100" t="s">
        <v>2301</v>
      </c>
      <c r="K887" s="100" t="s">
        <v>50</v>
      </c>
      <c r="L887" s="1" t="s">
        <v>2302</v>
      </c>
      <c r="M887" s="1" t="s">
        <v>493</v>
      </c>
      <c r="N887" s="1" t="s">
        <v>494</v>
      </c>
      <c r="O887" s="100" t="s">
        <v>2369</v>
      </c>
      <c r="P887" s="1" t="s">
        <v>3419</v>
      </c>
      <c r="Q887" s="106">
        <v>54686940</v>
      </c>
      <c r="R887" s="122">
        <v>1</v>
      </c>
      <c r="S887" s="104">
        <v>0</v>
      </c>
      <c r="T887" s="1"/>
      <c r="U887" s="1" t="s">
        <v>2323</v>
      </c>
      <c r="V887" s="31"/>
      <c r="W887" s="105" t="s">
        <v>50</v>
      </c>
      <c r="X887" s="123" t="s">
        <v>3420</v>
      </c>
      <c r="Y887" s="31">
        <v>43173</v>
      </c>
      <c r="Z887" s="106">
        <v>0</v>
      </c>
      <c r="AA887" s="107" t="s">
        <v>2889</v>
      </c>
      <c r="AB887" s="20" t="s">
        <v>3421</v>
      </c>
      <c r="AC887" s="31">
        <v>43175</v>
      </c>
      <c r="AD887" s="108">
        <v>0</v>
      </c>
      <c r="AE887" s="109">
        <f t="shared" si="78"/>
        <v>0</v>
      </c>
      <c r="AF887" s="20"/>
      <c r="AG887" s="31"/>
      <c r="AH887" s="108"/>
      <c r="AI887" s="1"/>
      <c r="AJ887" s="1"/>
      <c r="AK887" s="109">
        <f t="shared" si="80"/>
        <v>0</v>
      </c>
      <c r="AL887" s="108"/>
      <c r="AM887" s="108">
        <f t="shared" si="81"/>
        <v>0</v>
      </c>
      <c r="AN887" s="1" t="s">
        <v>2308</v>
      </c>
      <c r="AO887" s="108">
        <f t="shared" si="82"/>
        <v>0</v>
      </c>
      <c r="AP887" s="1" t="s">
        <v>3422</v>
      </c>
      <c r="AQ887" s="31">
        <v>43172</v>
      </c>
      <c r="AR887" s="1" t="s">
        <v>3256</v>
      </c>
      <c r="AS887" s="31">
        <v>43173</v>
      </c>
      <c r="AT887" s="1" t="s">
        <v>3419</v>
      </c>
      <c r="AU887" s="211"/>
    </row>
    <row r="888" spans="1:47" ht="293.25" x14ac:dyDescent="0.2">
      <c r="A888" s="1">
        <v>398</v>
      </c>
      <c r="B888" s="1" t="str">
        <f t="shared" si="79"/>
        <v>3075-398</v>
      </c>
      <c r="C888" s="99" t="s">
        <v>2294</v>
      </c>
      <c r="D888" s="100" t="s">
        <v>2295</v>
      </c>
      <c r="E888" s="100" t="s">
        <v>2578</v>
      </c>
      <c r="F888" s="99" t="s">
        <v>2328</v>
      </c>
      <c r="G888" s="117" t="s">
        <v>2329</v>
      </c>
      <c r="H888" s="102" t="s">
        <v>2579</v>
      </c>
      <c r="I888" s="100" t="s">
        <v>2300</v>
      </c>
      <c r="J888" s="100" t="s">
        <v>2301</v>
      </c>
      <c r="K888" s="100" t="s">
        <v>50</v>
      </c>
      <c r="L888" s="1" t="s">
        <v>2302</v>
      </c>
      <c r="M888" s="1" t="s">
        <v>493</v>
      </c>
      <c r="N888" s="1" t="s">
        <v>494</v>
      </c>
      <c r="O888" s="100" t="s">
        <v>2369</v>
      </c>
      <c r="P888" s="1" t="s">
        <v>3423</v>
      </c>
      <c r="Q888" s="106">
        <v>54686940</v>
      </c>
      <c r="R888" s="122">
        <v>1</v>
      </c>
      <c r="S888" s="104">
        <v>54686940</v>
      </c>
      <c r="T888" s="1" t="s">
        <v>2323</v>
      </c>
      <c r="U888" s="1" t="s">
        <v>2323</v>
      </c>
      <c r="V888" s="31" t="s">
        <v>507</v>
      </c>
      <c r="W888" s="105" t="s">
        <v>50</v>
      </c>
      <c r="X888" s="123" t="s">
        <v>3424</v>
      </c>
      <c r="Y888" s="31">
        <v>43173</v>
      </c>
      <c r="Z888" s="106">
        <v>54686940</v>
      </c>
      <c r="AA888" s="107" t="s">
        <v>2889</v>
      </c>
      <c r="AB888" s="20">
        <v>733</v>
      </c>
      <c r="AC888" s="31">
        <v>43175</v>
      </c>
      <c r="AD888" s="108">
        <v>54686940</v>
      </c>
      <c r="AE888" s="109">
        <f t="shared" si="78"/>
        <v>0</v>
      </c>
      <c r="AF888" s="20">
        <v>1784</v>
      </c>
      <c r="AG888" s="31">
        <v>43202</v>
      </c>
      <c r="AH888" s="108">
        <v>54686940</v>
      </c>
      <c r="AI888" s="1" t="s">
        <v>3425</v>
      </c>
      <c r="AJ888" s="1">
        <v>1845</v>
      </c>
      <c r="AK888" s="109">
        <f t="shared" si="80"/>
        <v>0</v>
      </c>
      <c r="AL888" s="108">
        <v>54686940</v>
      </c>
      <c r="AM888" s="108">
        <f t="shared" si="81"/>
        <v>0</v>
      </c>
      <c r="AN888" s="1" t="s">
        <v>2308</v>
      </c>
      <c r="AO888" s="108">
        <f t="shared" si="82"/>
        <v>0</v>
      </c>
      <c r="AP888" s="1"/>
      <c r="AQ888" s="31">
        <v>43172</v>
      </c>
      <c r="AR888" s="1" t="s">
        <v>3256</v>
      </c>
      <c r="AS888" s="31">
        <v>43173</v>
      </c>
      <c r="AT888" s="1" t="s">
        <v>3423</v>
      </c>
      <c r="AU888" s="211"/>
    </row>
    <row r="889" spans="1:47" ht="293.25" x14ac:dyDescent="0.2">
      <c r="A889" s="1">
        <v>399</v>
      </c>
      <c r="B889" s="1" t="str">
        <f t="shared" si="79"/>
        <v>3075-399</v>
      </c>
      <c r="C889" s="99" t="s">
        <v>2294</v>
      </c>
      <c r="D889" s="100" t="s">
        <v>2295</v>
      </c>
      <c r="E889" s="100" t="s">
        <v>2578</v>
      </c>
      <c r="F889" s="99" t="s">
        <v>2328</v>
      </c>
      <c r="G889" s="117" t="s">
        <v>2329</v>
      </c>
      <c r="H889" s="102" t="s">
        <v>2579</v>
      </c>
      <c r="I889" s="100" t="s">
        <v>2300</v>
      </c>
      <c r="J889" s="100" t="s">
        <v>2301</v>
      </c>
      <c r="K889" s="100" t="s">
        <v>50</v>
      </c>
      <c r="L889" s="1" t="s">
        <v>2302</v>
      </c>
      <c r="M889" s="1" t="s">
        <v>493</v>
      </c>
      <c r="N889" s="1" t="s">
        <v>494</v>
      </c>
      <c r="O889" s="100" t="s">
        <v>2369</v>
      </c>
      <c r="P889" s="1" t="s">
        <v>3426</v>
      </c>
      <c r="Q889" s="106">
        <v>54686940</v>
      </c>
      <c r="R889" s="122">
        <v>1</v>
      </c>
      <c r="S889" s="104">
        <v>54686940</v>
      </c>
      <c r="T889" s="1" t="s">
        <v>2323</v>
      </c>
      <c r="U889" s="1" t="s">
        <v>2323</v>
      </c>
      <c r="V889" s="31" t="s">
        <v>507</v>
      </c>
      <c r="W889" s="105" t="s">
        <v>50</v>
      </c>
      <c r="X889" s="123" t="s">
        <v>3427</v>
      </c>
      <c r="Y889" s="31">
        <v>43173</v>
      </c>
      <c r="Z889" s="106">
        <v>54686940</v>
      </c>
      <c r="AA889" s="107" t="s">
        <v>2889</v>
      </c>
      <c r="AB889" s="20">
        <v>736</v>
      </c>
      <c r="AC889" s="31">
        <v>43175</v>
      </c>
      <c r="AD889" s="108">
        <v>54686940</v>
      </c>
      <c r="AE889" s="109">
        <f t="shared" si="78"/>
        <v>0</v>
      </c>
      <c r="AF889" s="20">
        <v>1787</v>
      </c>
      <c r="AG889" s="31">
        <v>43202</v>
      </c>
      <c r="AH889" s="108">
        <v>54686940</v>
      </c>
      <c r="AI889" s="1" t="s">
        <v>3428</v>
      </c>
      <c r="AJ889" s="1">
        <v>1847</v>
      </c>
      <c r="AK889" s="109">
        <f t="shared" si="80"/>
        <v>0</v>
      </c>
      <c r="AL889" s="108">
        <v>54686940</v>
      </c>
      <c r="AM889" s="108">
        <f t="shared" si="81"/>
        <v>0</v>
      </c>
      <c r="AN889" s="1" t="s">
        <v>2308</v>
      </c>
      <c r="AO889" s="108">
        <f t="shared" si="82"/>
        <v>0</v>
      </c>
      <c r="AP889" s="1"/>
      <c r="AQ889" s="31">
        <v>43172</v>
      </c>
      <c r="AR889" s="1" t="s">
        <v>3256</v>
      </c>
      <c r="AS889" s="31">
        <v>43173</v>
      </c>
      <c r="AT889" s="1" t="s">
        <v>3426</v>
      </c>
      <c r="AU889" s="211"/>
    </row>
    <row r="890" spans="1:47" ht="293.25" x14ac:dyDescent="0.2">
      <c r="A890" s="1">
        <v>400</v>
      </c>
      <c r="B890" s="1" t="str">
        <f t="shared" si="79"/>
        <v>3075-400</v>
      </c>
      <c r="C890" s="99" t="s">
        <v>2294</v>
      </c>
      <c r="D890" s="100" t="s">
        <v>2295</v>
      </c>
      <c r="E890" s="100" t="s">
        <v>2578</v>
      </c>
      <c r="F890" s="99" t="s">
        <v>2328</v>
      </c>
      <c r="G890" s="117" t="s">
        <v>2329</v>
      </c>
      <c r="H890" s="102" t="s">
        <v>2579</v>
      </c>
      <c r="I890" s="100" t="s">
        <v>2300</v>
      </c>
      <c r="J890" s="100" t="s">
        <v>2301</v>
      </c>
      <c r="K890" s="100" t="s">
        <v>50</v>
      </c>
      <c r="L890" s="1" t="s">
        <v>2302</v>
      </c>
      <c r="M890" s="1" t="s">
        <v>493</v>
      </c>
      <c r="N890" s="1" t="s">
        <v>494</v>
      </c>
      <c r="O890" s="100" t="s">
        <v>2369</v>
      </c>
      <c r="P890" s="1" t="s">
        <v>3429</v>
      </c>
      <c r="Q890" s="106">
        <v>54686940</v>
      </c>
      <c r="R890" s="122">
        <v>1</v>
      </c>
      <c r="S890" s="104">
        <v>54686940</v>
      </c>
      <c r="T890" s="1" t="s">
        <v>2323</v>
      </c>
      <c r="U890" s="1" t="s">
        <v>2323</v>
      </c>
      <c r="V890" s="31" t="s">
        <v>507</v>
      </c>
      <c r="W890" s="105" t="s">
        <v>50</v>
      </c>
      <c r="X890" s="123" t="s">
        <v>3430</v>
      </c>
      <c r="Y890" s="31">
        <v>43173</v>
      </c>
      <c r="Z890" s="106">
        <v>54686940</v>
      </c>
      <c r="AA890" s="107" t="s">
        <v>2889</v>
      </c>
      <c r="AB890" s="20">
        <v>738</v>
      </c>
      <c r="AC890" s="31">
        <v>43175</v>
      </c>
      <c r="AD890" s="108">
        <v>54686940</v>
      </c>
      <c r="AE890" s="109">
        <f t="shared" si="78"/>
        <v>0</v>
      </c>
      <c r="AF890" s="20">
        <v>1791</v>
      </c>
      <c r="AG890" s="31">
        <v>43202</v>
      </c>
      <c r="AH890" s="108">
        <v>54686940</v>
      </c>
      <c r="AI890" s="1" t="s">
        <v>3431</v>
      </c>
      <c r="AJ890" s="1">
        <v>1843</v>
      </c>
      <c r="AK890" s="109">
        <f t="shared" si="80"/>
        <v>0</v>
      </c>
      <c r="AL890" s="108">
        <v>54686940</v>
      </c>
      <c r="AM890" s="108">
        <f t="shared" si="81"/>
        <v>0</v>
      </c>
      <c r="AN890" s="1" t="s">
        <v>2308</v>
      </c>
      <c r="AO890" s="108">
        <f t="shared" si="82"/>
        <v>0</v>
      </c>
      <c r="AP890" s="1"/>
      <c r="AQ890" s="31">
        <v>43172</v>
      </c>
      <c r="AR890" s="1" t="s">
        <v>3256</v>
      </c>
      <c r="AS890" s="31">
        <v>43173</v>
      </c>
      <c r="AT890" s="1" t="s">
        <v>3429</v>
      </c>
      <c r="AU890" s="211"/>
    </row>
    <row r="891" spans="1:47" ht="293.25" x14ac:dyDescent="0.2">
      <c r="A891" s="1">
        <v>401</v>
      </c>
      <c r="B891" s="1" t="str">
        <f t="shared" si="79"/>
        <v>3075-401</v>
      </c>
      <c r="C891" s="99" t="s">
        <v>2294</v>
      </c>
      <c r="D891" s="100" t="s">
        <v>2295</v>
      </c>
      <c r="E891" s="100" t="s">
        <v>2578</v>
      </c>
      <c r="F891" s="99" t="s">
        <v>2328</v>
      </c>
      <c r="G891" s="117" t="s">
        <v>2329</v>
      </c>
      <c r="H891" s="102" t="s">
        <v>2579</v>
      </c>
      <c r="I891" s="100" t="s">
        <v>2300</v>
      </c>
      <c r="J891" s="100" t="s">
        <v>2301</v>
      </c>
      <c r="K891" s="100" t="s">
        <v>50</v>
      </c>
      <c r="L891" s="1" t="s">
        <v>2302</v>
      </c>
      <c r="M891" s="1" t="s">
        <v>493</v>
      </c>
      <c r="N891" s="1" t="s">
        <v>494</v>
      </c>
      <c r="O891" s="100" t="s">
        <v>2369</v>
      </c>
      <c r="P891" s="1" t="s">
        <v>3432</v>
      </c>
      <c r="Q891" s="106">
        <v>54686940</v>
      </c>
      <c r="R891" s="122">
        <v>1</v>
      </c>
      <c r="S891" s="104">
        <v>54686940</v>
      </c>
      <c r="T891" s="1" t="s">
        <v>2323</v>
      </c>
      <c r="U891" s="1" t="s">
        <v>2323</v>
      </c>
      <c r="V891" s="31" t="s">
        <v>507</v>
      </c>
      <c r="W891" s="105" t="s">
        <v>50</v>
      </c>
      <c r="X891" s="123" t="s">
        <v>3433</v>
      </c>
      <c r="Y891" s="31">
        <v>43173</v>
      </c>
      <c r="Z891" s="106">
        <v>54686940</v>
      </c>
      <c r="AA891" s="107" t="s">
        <v>2889</v>
      </c>
      <c r="AB891" s="20">
        <v>744</v>
      </c>
      <c r="AC891" s="31">
        <v>43175</v>
      </c>
      <c r="AD891" s="108">
        <v>54686940</v>
      </c>
      <c r="AE891" s="109">
        <f t="shared" si="78"/>
        <v>0</v>
      </c>
      <c r="AF891" s="20">
        <v>1785</v>
      </c>
      <c r="AG891" s="31">
        <v>43202</v>
      </c>
      <c r="AH891" s="108">
        <v>54686940</v>
      </c>
      <c r="AI891" s="1" t="s">
        <v>3434</v>
      </c>
      <c r="AJ891" s="1">
        <v>1846</v>
      </c>
      <c r="AK891" s="109">
        <f t="shared" si="80"/>
        <v>0</v>
      </c>
      <c r="AL891" s="108">
        <v>54686940</v>
      </c>
      <c r="AM891" s="108">
        <f t="shared" si="81"/>
        <v>0</v>
      </c>
      <c r="AN891" s="1" t="s">
        <v>2308</v>
      </c>
      <c r="AO891" s="108">
        <f t="shared" si="82"/>
        <v>0</v>
      </c>
      <c r="AP891" s="1"/>
      <c r="AQ891" s="31">
        <v>43172</v>
      </c>
      <c r="AR891" s="1" t="s">
        <v>3256</v>
      </c>
      <c r="AS891" s="31">
        <v>43173</v>
      </c>
      <c r="AT891" s="1" t="s">
        <v>3432</v>
      </c>
      <c r="AU891" s="211"/>
    </row>
    <row r="892" spans="1:47" ht="293.25" x14ac:dyDescent="0.2">
      <c r="A892" s="1">
        <v>402</v>
      </c>
      <c r="B892" s="1" t="str">
        <f t="shared" si="79"/>
        <v>3075-402</v>
      </c>
      <c r="C892" s="99" t="s">
        <v>2294</v>
      </c>
      <c r="D892" s="100" t="s">
        <v>2295</v>
      </c>
      <c r="E892" s="100" t="s">
        <v>2578</v>
      </c>
      <c r="F892" s="99" t="s">
        <v>2328</v>
      </c>
      <c r="G892" s="117" t="s">
        <v>2329</v>
      </c>
      <c r="H892" s="102" t="s">
        <v>2579</v>
      </c>
      <c r="I892" s="100" t="s">
        <v>2300</v>
      </c>
      <c r="J892" s="100" t="s">
        <v>2301</v>
      </c>
      <c r="K892" s="100" t="s">
        <v>50</v>
      </c>
      <c r="L892" s="1" t="s">
        <v>2302</v>
      </c>
      <c r="M892" s="1" t="s">
        <v>493</v>
      </c>
      <c r="N892" s="1" t="s">
        <v>494</v>
      </c>
      <c r="O892" s="100" t="s">
        <v>2369</v>
      </c>
      <c r="P892" s="1" t="s">
        <v>3435</v>
      </c>
      <c r="Q892" s="106">
        <v>54686940</v>
      </c>
      <c r="R892" s="122">
        <v>1</v>
      </c>
      <c r="S892" s="104">
        <v>54686940</v>
      </c>
      <c r="T892" s="1" t="s">
        <v>2323</v>
      </c>
      <c r="U892" s="1" t="s">
        <v>2323</v>
      </c>
      <c r="V892" s="31" t="s">
        <v>507</v>
      </c>
      <c r="W892" s="105" t="s">
        <v>50</v>
      </c>
      <c r="X892" s="123" t="s">
        <v>3436</v>
      </c>
      <c r="Y892" s="31">
        <v>43173</v>
      </c>
      <c r="Z892" s="106">
        <v>54686940</v>
      </c>
      <c r="AA892" s="107" t="s">
        <v>2889</v>
      </c>
      <c r="AB892" s="20">
        <v>745</v>
      </c>
      <c r="AC892" s="31">
        <v>43175</v>
      </c>
      <c r="AD892" s="108">
        <v>54686940</v>
      </c>
      <c r="AE892" s="109">
        <f t="shared" si="78"/>
        <v>0</v>
      </c>
      <c r="AF892" s="20">
        <v>1815</v>
      </c>
      <c r="AG892" s="31">
        <v>43209</v>
      </c>
      <c r="AH892" s="108">
        <v>54686940</v>
      </c>
      <c r="AI892" s="1" t="s">
        <v>3437</v>
      </c>
      <c r="AJ892" s="1">
        <v>1872</v>
      </c>
      <c r="AK892" s="109">
        <f t="shared" si="80"/>
        <v>0</v>
      </c>
      <c r="AL892" s="108">
        <v>54686940</v>
      </c>
      <c r="AM892" s="108">
        <f t="shared" si="81"/>
        <v>0</v>
      </c>
      <c r="AN892" s="1" t="s">
        <v>2308</v>
      </c>
      <c r="AO892" s="108">
        <f t="shared" si="82"/>
        <v>0</v>
      </c>
      <c r="AP892" s="1"/>
      <c r="AQ892" s="31">
        <v>43172</v>
      </c>
      <c r="AR892" s="1" t="s">
        <v>3256</v>
      </c>
      <c r="AS892" s="31">
        <v>43173</v>
      </c>
      <c r="AT892" s="1" t="s">
        <v>3435</v>
      </c>
      <c r="AU892" s="211"/>
    </row>
    <row r="893" spans="1:47" ht="293.25" x14ac:dyDescent="0.2">
      <c r="A893" s="1">
        <v>403</v>
      </c>
      <c r="B893" s="1" t="str">
        <f t="shared" si="79"/>
        <v>3075-403</v>
      </c>
      <c r="C893" s="99" t="s">
        <v>2294</v>
      </c>
      <c r="D893" s="100" t="s">
        <v>2295</v>
      </c>
      <c r="E893" s="100" t="s">
        <v>2578</v>
      </c>
      <c r="F893" s="99" t="s">
        <v>2328</v>
      </c>
      <c r="G893" s="117" t="s">
        <v>2329</v>
      </c>
      <c r="H893" s="102" t="s">
        <v>2579</v>
      </c>
      <c r="I893" s="100" t="s">
        <v>2300</v>
      </c>
      <c r="J893" s="100" t="s">
        <v>2301</v>
      </c>
      <c r="K893" s="100" t="s">
        <v>50</v>
      </c>
      <c r="L893" s="1" t="s">
        <v>2302</v>
      </c>
      <c r="M893" s="1" t="s">
        <v>493</v>
      </c>
      <c r="N893" s="1" t="s">
        <v>494</v>
      </c>
      <c r="O893" s="100" t="s">
        <v>2369</v>
      </c>
      <c r="P893" s="1" t="s">
        <v>3438</v>
      </c>
      <c r="Q893" s="106">
        <v>54686940</v>
      </c>
      <c r="R893" s="122">
        <v>1</v>
      </c>
      <c r="S893" s="104">
        <v>54686940</v>
      </c>
      <c r="T893" s="1" t="s">
        <v>2323</v>
      </c>
      <c r="U893" s="1" t="s">
        <v>2323</v>
      </c>
      <c r="V893" s="31" t="s">
        <v>507</v>
      </c>
      <c r="W893" s="105" t="s">
        <v>50</v>
      </c>
      <c r="X893" s="123" t="s">
        <v>3439</v>
      </c>
      <c r="Y893" s="31">
        <v>43173</v>
      </c>
      <c r="Z893" s="106">
        <v>54686940</v>
      </c>
      <c r="AA893" s="107" t="s">
        <v>2889</v>
      </c>
      <c r="AB893" s="20">
        <v>747</v>
      </c>
      <c r="AC893" s="31">
        <v>43175</v>
      </c>
      <c r="AD893" s="108">
        <v>54686940</v>
      </c>
      <c r="AE893" s="109">
        <f t="shared" si="78"/>
        <v>0</v>
      </c>
      <c r="AF893" s="20">
        <v>1762</v>
      </c>
      <c r="AG893" s="31">
        <v>43201</v>
      </c>
      <c r="AH893" s="108">
        <v>54686940</v>
      </c>
      <c r="AI893" s="1" t="s">
        <v>3440</v>
      </c>
      <c r="AJ893" s="1">
        <v>1777</v>
      </c>
      <c r="AK893" s="109">
        <f t="shared" si="80"/>
        <v>0</v>
      </c>
      <c r="AL893" s="108">
        <v>54686940</v>
      </c>
      <c r="AM893" s="108">
        <f t="shared" si="81"/>
        <v>0</v>
      </c>
      <c r="AN893" s="1" t="s">
        <v>2308</v>
      </c>
      <c r="AO893" s="108">
        <f t="shared" si="82"/>
        <v>0</v>
      </c>
      <c r="AP893" s="1"/>
      <c r="AQ893" s="31">
        <v>43172</v>
      </c>
      <c r="AR893" s="1" t="s">
        <v>3256</v>
      </c>
      <c r="AS893" s="31">
        <v>43173</v>
      </c>
      <c r="AT893" s="1" t="s">
        <v>3438</v>
      </c>
      <c r="AU893" s="211"/>
    </row>
    <row r="894" spans="1:47" ht="293.25" x14ac:dyDescent="0.2">
      <c r="A894" s="1">
        <v>404</v>
      </c>
      <c r="B894" s="1" t="str">
        <f t="shared" si="79"/>
        <v>3075-404</v>
      </c>
      <c r="C894" s="99" t="s">
        <v>2294</v>
      </c>
      <c r="D894" s="100" t="s">
        <v>2295</v>
      </c>
      <c r="E894" s="100" t="s">
        <v>2578</v>
      </c>
      <c r="F894" s="99" t="s">
        <v>2328</v>
      </c>
      <c r="G894" s="117" t="s">
        <v>2329</v>
      </c>
      <c r="H894" s="102" t="s">
        <v>2579</v>
      </c>
      <c r="I894" s="100" t="s">
        <v>2300</v>
      </c>
      <c r="J894" s="100" t="s">
        <v>2301</v>
      </c>
      <c r="K894" s="100" t="s">
        <v>50</v>
      </c>
      <c r="L894" s="1" t="s">
        <v>2302</v>
      </c>
      <c r="M894" s="1" t="s">
        <v>493</v>
      </c>
      <c r="N894" s="1" t="s">
        <v>494</v>
      </c>
      <c r="O894" s="100" t="s">
        <v>2369</v>
      </c>
      <c r="P894" s="1" t="s">
        <v>3441</v>
      </c>
      <c r="Q894" s="106">
        <v>54686940</v>
      </c>
      <c r="R894" s="122">
        <v>1</v>
      </c>
      <c r="S894" s="104">
        <v>54686940</v>
      </c>
      <c r="T894" s="1" t="s">
        <v>2323</v>
      </c>
      <c r="U894" s="1" t="s">
        <v>2323</v>
      </c>
      <c r="V894" s="31" t="s">
        <v>507</v>
      </c>
      <c r="W894" s="105" t="s">
        <v>50</v>
      </c>
      <c r="X894" s="123" t="s">
        <v>3442</v>
      </c>
      <c r="Y894" s="31">
        <v>43173</v>
      </c>
      <c r="Z894" s="106">
        <v>54686940</v>
      </c>
      <c r="AA894" s="107" t="s">
        <v>2889</v>
      </c>
      <c r="AB894" s="20">
        <v>732</v>
      </c>
      <c r="AC894" s="31">
        <v>43175</v>
      </c>
      <c r="AD894" s="108">
        <v>54686940</v>
      </c>
      <c r="AE894" s="109">
        <f t="shared" si="78"/>
        <v>0</v>
      </c>
      <c r="AF894" s="20">
        <v>1788</v>
      </c>
      <c r="AG894" s="31">
        <v>43202</v>
      </c>
      <c r="AH894" s="108">
        <v>54686940</v>
      </c>
      <c r="AI894" s="1" t="s">
        <v>3443</v>
      </c>
      <c r="AJ894" s="1">
        <v>1841</v>
      </c>
      <c r="AK894" s="109">
        <f t="shared" si="80"/>
        <v>0</v>
      </c>
      <c r="AL894" s="108">
        <v>54686940</v>
      </c>
      <c r="AM894" s="108">
        <f t="shared" si="81"/>
        <v>0</v>
      </c>
      <c r="AN894" s="1" t="s">
        <v>2308</v>
      </c>
      <c r="AO894" s="108">
        <f t="shared" si="82"/>
        <v>0</v>
      </c>
      <c r="AP894" s="1"/>
      <c r="AQ894" s="31">
        <v>43172</v>
      </c>
      <c r="AR894" s="1" t="s">
        <v>3256</v>
      </c>
      <c r="AS894" s="31">
        <v>43173</v>
      </c>
      <c r="AT894" s="1" t="s">
        <v>3441</v>
      </c>
      <c r="AU894" s="211"/>
    </row>
    <row r="895" spans="1:47" ht="293.25" x14ac:dyDescent="0.2">
      <c r="A895" s="1">
        <v>405</v>
      </c>
      <c r="B895" s="1" t="str">
        <f t="shared" si="79"/>
        <v>3075-405</v>
      </c>
      <c r="C895" s="99" t="s">
        <v>2294</v>
      </c>
      <c r="D895" s="100" t="s">
        <v>2295</v>
      </c>
      <c r="E895" s="100" t="s">
        <v>2578</v>
      </c>
      <c r="F895" s="99" t="s">
        <v>2328</v>
      </c>
      <c r="G895" s="117" t="s">
        <v>2329</v>
      </c>
      <c r="H895" s="102" t="s">
        <v>2579</v>
      </c>
      <c r="I895" s="100" t="s">
        <v>2300</v>
      </c>
      <c r="J895" s="100" t="s">
        <v>2301</v>
      </c>
      <c r="K895" s="100" t="s">
        <v>50</v>
      </c>
      <c r="L895" s="1" t="s">
        <v>2302</v>
      </c>
      <c r="M895" s="1" t="s">
        <v>493</v>
      </c>
      <c r="N895" s="1" t="s">
        <v>494</v>
      </c>
      <c r="O895" s="100" t="s">
        <v>2369</v>
      </c>
      <c r="P895" s="1" t="s">
        <v>3444</v>
      </c>
      <c r="Q895" s="106">
        <v>54686940</v>
      </c>
      <c r="R895" s="122">
        <v>1</v>
      </c>
      <c r="S895" s="104">
        <v>54686940</v>
      </c>
      <c r="T895" s="1" t="s">
        <v>2323</v>
      </c>
      <c r="U895" s="1" t="s">
        <v>2323</v>
      </c>
      <c r="V895" s="31" t="s">
        <v>507</v>
      </c>
      <c r="W895" s="105" t="s">
        <v>50</v>
      </c>
      <c r="X895" s="123" t="s">
        <v>3445</v>
      </c>
      <c r="Y895" s="31">
        <v>43173</v>
      </c>
      <c r="Z895" s="106">
        <v>54686940</v>
      </c>
      <c r="AA895" s="107" t="s">
        <v>2889</v>
      </c>
      <c r="AB895" s="20">
        <v>734</v>
      </c>
      <c r="AC895" s="31">
        <v>43175</v>
      </c>
      <c r="AD895" s="108">
        <v>54686940</v>
      </c>
      <c r="AE895" s="109">
        <f t="shared" si="78"/>
        <v>0</v>
      </c>
      <c r="AF895" s="20">
        <v>1789</v>
      </c>
      <c r="AG895" s="31">
        <v>43202</v>
      </c>
      <c r="AH895" s="108">
        <v>54686940</v>
      </c>
      <c r="AI895" s="1" t="s">
        <v>3446</v>
      </c>
      <c r="AJ895" s="1">
        <v>1848</v>
      </c>
      <c r="AK895" s="109">
        <f t="shared" si="80"/>
        <v>0</v>
      </c>
      <c r="AL895" s="108">
        <v>54686940</v>
      </c>
      <c r="AM895" s="108">
        <f t="shared" si="81"/>
        <v>0</v>
      </c>
      <c r="AN895" s="1" t="s">
        <v>2308</v>
      </c>
      <c r="AO895" s="108">
        <f t="shared" si="82"/>
        <v>0</v>
      </c>
      <c r="AP895" s="1"/>
      <c r="AQ895" s="31">
        <v>43172</v>
      </c>
      <c r="AR895" s="1" t="s">
        <v>3256</v>
      </c>
      <c r="AS895" s="31">
        <v>43173</v>
      </c>
      <c r="AT895" s="1" t="s">
        <v>3444</v>
      </c>
      <c r="AU895" s="211"/>
    </row>
    <row r="896" spans="1:47" ht="293.25" x14ac:dyDescent="0.2">
      <c r="A896" s="1">
        <v>406</v>
      </c>
      <c r="B896" s="1" t="str">
        <f t="shared" si="79"/>
        <v>3075-406</v>
      </c>
      <c r="C896" s="99" t="s">
        <v>2294</v>
      </c>
      <c r="D896" s="100" t="s">
        <v>2295</v>
      </c>
      <c r="E896" s="100" t="s">
        <v>2578</v>
      </c>
      <c r="F896" s="99" t="s">
        <v>2328</v>
      </c>
      <c r="G896" s="117" t="s">
        <v>2329</v>
      </c>
      <c r="H896" s="102" t="s">
        <v>2579</v>
      </c>
      <c r="I896" s="100" t="s">
        <v>2300</v>
      </c>
      <c r="J896" s="100" t="s">
        <v>2301</v>
      </c>
      <c r="K896" s="100" t="s">
        <v>50</v>
      </c>
      <c r="L896" s="1" t="s">
        <v>2302</v>
      </c>
      <c r="M896" s="1" t="s">
        <v>493</v>
      </c>
      <c r="N896" s="1" t="s">
        <v>494</v>
      </c>
      <c r="O896" s="100" t="s">
        <v>2369</v>
      </c>
      <c r="P896" s="1" t="s">
        <v>3447</v>
      </c>
      <c r="Q896" s="106">
        <v>54686940</v>
      </c>
      <c r="R896" s="122">
        <v>1</v>
      </c>
      <c r="S896" s="104">
        <v>54686940</v>
      </c>
      <c r="T896" s="1" t="s">
        <v>2323</v>
      </c>
      <c r="U896" s="1" t="s">
        <v>2323</v>
      </c>
      <c r="V896" s="31" t="s">
        <v>507</v>
      </c>
      <c r="W896" s="105" t="s">
        <v>50</v>
      </c>
      <c r="X896" s="123" t="s">
        <v>3448</v>
      </c>
      <c r="Y896" s="31">
        <v>43173</v>
      </c>
      <c r="Z896" s="106">
        <v>54686940</v>
      </c>
      <c r="AA896" s="107" t="s">
        <v>2889</v>
      </c>
      <c r="AB896" s="20">
        <v>735</v>
      </c>
      <c r="AC896" s="31">
        <v>43175</v>
      </c>
      <c r="AD896" s="108">
        <v>54686940</v>
      </c>
      <c r="AE896" s="109">
        <f t="shared" si="78"/>
        <v>0</v>
      </c>
      <c r="AF896" s="20">
        <v>1783</v>
      </c>
      <c r="AG896" s="31">
        <v>43202</v>
      </c>
      <c r="AH896" s="108">
        <v>54686940</v>
      </c>
      <c r="AI896" s="1" t="s">
        <v>3449</v>
      </c>
      <c r="AJ896" s="1">
        <v>1839</v>
      </c>
      <c r="AK896" s="109">
        <f t="shared" si="80"/>
        <v>0</v>
      </c>
      <c r="AL896" s="108">
        <v>54686940</v>
      </c>
      <c r="AM896" s="108">
        <f t="shared" si="81"/>
        <v>0</v>
      </c>
      <c r="AN896" s="1" t="s">
        <v>2308</v>
      </c>
      <c r="AO896" s="108">
        <f t="shared" si="82"/>
        <v>0</v>
      </c>
      <c r="AP896" s="1"/>
      <c r="AQ896" s="31">
        <v>43172</v>
      </c>
      <c r="AR896" s="1" t="s">
        <v>3256</v>
      </c>
      <c r="AS896" s="31">
        <v>43173</v>
      </c>
      <c r="AT896" s="1" t="s">
        <v>3447</v>
      </c>
      <c r="AU896" s="211"/>
    </row>
    <row r="897" spans="1:47" ht="191.25" x14ac:dyDescent="0.2">
      <c r="A897" s="1">
        <v>407</v>
      </c>
      <c r="B897" s="1" t="str">
        <f t="shared" si="79"/>
        <v>3075-407</v>
      </c>
      <c r="C897" s="99" t="s">
        <v>2294</v>
      </c>
      <c r="D897" s="100" t="s">
        <v>2295</v>
      </c>
      <c r="E897" s="100" t="s">
        <v>2327</v>
      </c>
      <c r="F897" s="99" t="s">
        <v>2328</v>
      </c>
      <c r="G897" s="101" t="s">
        <v>2329</v>
      </c>
      <c r="H897" s="102" t="s">
        <v>2330</v>
      </c>
      <c r="I897" s="100" t="s">
        <v>2300</v>
      </c>
      <c r="J897" s="100" t="s">
        <v>2331</v>
      </c>
      <c r="K897" s="100" t="s">
        <v>50</v>
      </c>
      <c r="L897" s="1" t="s">
        <v>2302</v>
      </c>
      <c r="M897" s="1" t="s">
        <v>493</v>
      </c>
      <c r="N897" s="1" t="s">
        <v>494</v>
      </c>
      <c r="O897" s="100" t="s">
        <v>2321</v>
      </c>
      <c r="P897" s="100" t="s">
        <v>3450</v>
      </c>
      <c r="Q897" s="103">
        <v>39062100</v>
      </c>
      <c r="R897" s="1">
        <v>1</v>
      </c>
      <c r="S897" s="104">
        <v>39062100</v>
      </c>
      <c r="T897" s="1" t="s">
        <v>2323</v>
      </c>
      <c r="U897" s="1" t="s">
        <v>2323</v>
      </c>
      <c r="V897" s="31" t="s">
        <v>507</v>
      </c>
      <c r="W897" s="105" t="s">
        <v>50</v>
      </c>
      <c r="X897" s="123" t="s">
        <v>3451</v>
      </c>
      <c r="Y897" s="31">
        <v>43173</v>
      </c>
      <c r="Z897" s="106">
        <v>39062100</v>
      </c>
      <c r="AA897" s="107" t="s">
        <v>3172</v>
      </c>
      <c r="AB897" s="20">
        <v>737</v>
      </c>
      <c r="AC897" s="31">
        <v>43175</v>
      </c>
      <c r="AD897" s="108">
        <v>39062100</v>
      </c>
      <c r="AE897" s="109">
        <f t="shared" si="78"/>
        <v>0</v>
      </c>
      <c r="AF897" s="20">
        <v>1761</v>
      </c>
      <c r="AG897" s="31">
        <v>43201</v>
      </c>
      <c r="AH897" s="108">
        <v>39062100</v>
      </c>
      <c r="AI897" s="1" t="s">
        <v>3452</v>
      </c>
      <c r="AJ897" s="1">
        <v>1783</v>
      </c>
      <c r="AK897" s="109">
        <f t="shared" si="80"/>
        <v>0</v>
      </c>
      <c r="AL897" s="108">
        <v>39062100</v>
      </c>
      <c r="AM897" s="108">
        <f t="shared" si="81"/>
        <v>0</v>
      </c>
      <c r="AN897" s="1" t="s">
        <v>2308</v>
      </c>
      <c r="AO897" s="108">
        <f t="shared" si="82"/>
        <v>0</v>
      </c>
      <c r="AP897" s="1"/>
      <c r="AQ897" s="31">
        <v>43172</v>
      </c>
      <c r="AR897" s="1" t="s">
        <v>3256</v>
      </c>
      <c r="AS897" s="31">
        <v>43173</v>
      </c>
      <c r="AT897" s="1" t="s">
        <v>3450</v>
      </c>
      <c r="AU897" s="211"/>
    </row>
    <row r="898" spans="1:47" ht="178.5" x14ac:dyDescent="0.2">
      <c r="A898" s="1">
        <v>408</v>
      </c>
      <c r="B898" s="1" t="str">
        <f t="shared" si="79"/>
        <v>3075-408</v>
      </c>
      <c r="C898" s="99" t="s">
        <v>2294</v>
      </c>
      <c r="D898" s="100" t="s">
        <v>2295</v>
      </c>
      <c r="E898" s="100" t="s">
        <v>2327</v>
      </c>
      <c r="F898" s="99" t="s">
        <v>2328</v>
      </c>
      <c r="G898" s="101" t="s">
        <v>2329</v>
      </c>
      <c r="H898" s="102" t="s">
        <v>2330</v>
      </c>
      <c r="I898" s="100" t="s">
        <v>2300</v>
      </c>
      <c r="J898" s="100" t="s">
        <v>2331</v>
      </c>
      <c r="K898" s="100" t="s">
        <v>50</v>
      </c>
      <c r="L898" s="1" t="s">
        <v>2302</v>
      </c>
      <c r="M898" s="1" t="s">
        <v>493</v>
      </c>
      <c r="N898" s="1" t="s">
        <v>494</v>
      </c>
      <c r="O898" s="100" t="s">
        <v>2321</v>
      </c>
      <c r="P898" s="100" t="s">
        <v>3453</v>
      </c>
      <c r="Q898" s="103">
        <v>39062100</v>
      </c>
      <c r="R898" s="1">
        <v>1</v>
      </c>
      <c r="S898" s="104">
        <v>39062100</v>
      </c>
      <c r="T898" s="1" t="s">
        <v>2323</v>
      </c>
      <c r="U898" s="1" t="s">
        <v>2323</v>
      </c>
      <c r="V898" s="31" t="s">
        <v>507</v>
      </c>
      <c r="W898" s="105" t="s">
        <v>50</v>
      </c>
      <c r="X898" s="123" t="s">
        <v>3454</v>
      </c>
      <c r="Y898" s="31">
        <v>43173</v>
      </c>
      <c r="Z898" s="106">
        <v>39062100</v>
      </c>
      <c r="AA898" s="107" t="s">
        <v>3172</v>
      </c>
      <c r="AB898" s="20">
        <v>739</v>
      </c>
      <c r="AC898" s="31">
        <v>43175</v>
      </c>
      <c r="AD898" s="108">
        <v>39062100</v>
      </c>
      <c r="AE898" s="109">
        <f t="shared" si="78"/>
        <v>0</v>
      </c>
      <c r="AF898" s="20">
        <v>1792</v>
      </c>
      <c r="AG898" s="31">
        <v>43203</v>
      </c>
      <c r="AH898" s="108">
        <v>39062100</v>
      </c>
      <c r="AI898" s="1" t="s">
        <v>3455</v>
      </c>
      <c r="AJ898" s="1">
        <v>1862</v>
      </c>
      <c r="AK898" s="109">
        <f t="shared" si="80"/>
        <v>0</v>
      </c>
      <c r="AL898" s="108">
        <v>0</v>
      </c>
      <c r="AM898" s="108">
        <f t="shared" si="81"/>
        <v>39062100</v>
      </c>
      <c r="AN898" s="1" t="s">
        <v>2308</v>
      </c>
      <c r="AO898" s="108">
        <f t="shared" si="82"/>
        <v>0</v>
      </c>
      <c r="AP898" s="1"/>
      <c r="AQ898" s="31">
        <v>43172</v>
      </c>
      <c r="AR898" s="1" t="s">
        <v>3256</v>
      </c>
      <c r="AS898" s="31">
        <v>43173</v>
      </c>
      <c r="AT898" s="1" t="s">
        <v>3453</v>
      </c>
      <c r="AU898" s="211"/>
    </row>
    <row r="899" spans="1:47" ht="165.75" x14ac:dyDescent="0.2">
      <c r="A899" s="1">
        <v>409</v>
      </c>
      <c r="B899" s="1" t="str">
        <f t="shared" si="79"/>
        <v>3075-409</v>
      </c>
      <c r="C899" s="99" t="s">
        <v>2294</v>
      </c>
      <c r="D899" s="100" t="s">
        <v>2295</v>
      </c>
      <c r="E899" s="100" t="s">
        <v>2327</v>
      </c>
      <c r="F899" s="99" t="s">
        <v>2328</v>
      </c>
      <c r="G899" s="101" t="s">
        <v>2329</v>
      </c>
      <c r="H899" s="102" t="s">
        <v>2330</v>
      </c>
      <c r="I899" s="100" t="s">
        <v>2300</v>
      </c>
      <c r="J899" s="100" t="s">
        <v>2331</v>
      </c>
      <c r="K899" s="100" t="s">
        <v>50</v>
      </c>
      <c r="L899" s="1" t="s">
        <v>2302</v>
      </c>
      <c r="M899" s="1" t="s">
        <v>493</v>
      </c>
      <c r="N899" s="1" t="s">
        <v>494</v>
      </c>
      <c r="O899" s="100" t="s">
        <v>2321</v>
      </c>
      <c r="P899" s="100" t="s">
        <v>3456</v>
      </c>
      <c r="Q899" s="103">
        <v>39062100</v>
      </c>
      <c r="R899" s="1">
        <v>1</v>
      </c>
      <c r="S899" s="104">
        <v>39062100</v>
      </c>
      <c r="T899" s="1"/>
      <c r="U899" s="1" t="s">
        <v>2323</v>
      </c>
      <c r="V899" s="31" t="s">
        <v>510</v>
      </c>
      <c r="W899" s="105" t="s">
        <v>50</v>
      </c>
      <c r="X899" s="123" t="s">
        <v>3457</v>
      </c>
      <c r="Y899" s="31">
        <v>43173</v>
      </c>
      <c r="Z899" s="106">
        <v>39062100</v>
      </c>
      <c r="AA899" s="107" t="s">
        <v>3172</v>
      </c>
      <c r="AB899" s="20">
        <v>740</v>
      </c>
      <c r="AC899" s="31">
        <v>43175</v>
      </c>
      <c r="AD899" s="108">
        <v>39062100</v>
      </c>
      <c r="AE899" s="109">
        <f t="shared" si="78"/>
        <v>0</v>
      </c>
      <c r="AF899" s="20"/>
      <c r="AG899" s="31"/>
      <c r="AH899" s="108"/>
      <c r="AI899" s="1"/>
      <c r="AJ899" s="1"/>
      <c r="AK899" s="109">
        <f t="shared" si="80"/>
        <v>39062100</v>
      </c>
      <c r="AL899" s="108"/>
      <c r="AM899" s="108">
        <f t="shared" si="81"/>
        <v>0</v>
      </c>
      <c r="AN899" s="1" t="s">
        <v>2308</v>
      </c>
      <c r="AO899" s="108">
        <f t="shared" si="82"/>
        <v>39062100</v>
      </c>
      <c r="AP899" s="1"/>
      <c r="AQ899" s="31">
        <v>43172</v>
      </c>
      <c r="AR899" s="1" t="s">
        <v>3256</v>
      </c>
      <c r="AS899" s="31">
        <v>43173</v>
      </c>
      <c r="AT899" s="1" t="s">
        <v>3456</v>
      </c>
      <c r="AU899" s="211"/>
    </row>
    <row r="900" spans="1:47" ht="114.75" x14ac:dyDescent="0.2">
      <c r="A900" s="1">
        <v>410</v>
      </c>
      <c r="B900" s="1" t="str">
        <f t="shared" si="79"/>
        <v>3075-410</v>
      </c>
      <c r="C900" s="99" t="s">
        <v>2294</v>
      </c>
      <c r="D900" s="100" t="s">
        <v>2295</v>
      </c>
      <c r="E900" s="99" t="s">
        <v>2317</v>
      </c>
      <c r="F900" s="99" t="s">
        <v>2318</v>
      </c>
      <c r="G900" s="101" t="s">
        <v>2319</v>
      </c>
      <c r="H900" s="102" t="s">
        <v>2320</v>
      </c>
      <c r="I900" s="100" t="s">
        <v>2300</v>
      </c>
      <c r="J900" s="100" t="s">
        <v>2301</v>
      </c>
      <c r="K900" s="100" t="s">
        <v>50</v>
      </c>
      <c r="L900" s="1" t="s">
        <v>2302</v>
      </c>
      <c r="M900" s="1" t="s">
        <v>493</v>
      </c>
      <c r="N900" s="1" t="s">
        <v>494</v>
      </c>
      <c r="O900" s="100" t="s">
        <v>2321</v>
      </c>
      <c r="P900" s="112" t="s">
        <v>3368</v>
      </c>
      <c r="Q900" s="103">
        <v>119476956</v>
      </c>
      <c r="R900" s="1">
        <v>1</v>
      </c>
      <c r="S900" s="104">
        <f>119476956+33401186-152878142</f>
        <v>0</v>
      </c>
      <c r="T900" s="1"/>
      <c r="U900" s="1" t="s">
        <v>2323</v>
      </c>
      <c r="V900" s="31"/>
      <c r="W900" s="105" t="s">
        <v>50</v>
      </c>
      <c r="X900" s="123" t="s">
        <v>3458</v>
      </c>
      <c r="Y900" s="31">
        <v>43215</v>
      </c>
      <c r="Z900" s="106">
        <f>152878142-152878142</f>
        <v>0</v>
      </c>
      <c r="AA900" s="107" t="s">
        <v>3459</v>
      </c>
      <c r="AB900" s="20">
        <v>805</v>
      </c>
      <c r="AC900" s="31">
        <v>43216</v>
      </c>
      <c r="AD900" s="108">
        <f>152878142-152878142</f>
        <v>0</v>
      </c>
      <c r="AE900" s="109">
        <f t="shared" si="78"/>
        <v>0</v>
      </c>
      <c r="AF900" s="20"/>
      <c r="AG900" s="31"/>
      <c r="AH900" s="108"/>
      <c r="AI900" s="1"/>
      <c r="AJ900" s="1"/>
      <c r="AK900" s="109">
        <f t="shared" si="80"/>
        <v>0</v>
      </c>
      <c r="AL900" s="108"/>
      <c r="AM900" s="108">
        <f t="shared" si="81"/>
        <v>0</v>
      </c>
      <c r="AN900" s="1" t="s">
        <v>2308</v>
      </c>
      <c r="AO900" s="108">
        <f t="shared" si="82"/>
        <v>0</v>
      </c>
      <c r="AP900" s="1" t="s">
        <v>3460</v>
      </c>
      <c r="AQ900" s="31">
        <v>43215</v>
      </c>
      <c r="AR900" s="1" t="s">
        <v>2786</v>
      </c>
      <c r="AS900" s="31">
        <v>43215</v>
      </c>
      <c r="AT900" s="1" t="s">
        <v>3368</v>
      </c>
      <c r="AU900" s="211"/>
    </row>
    <row r="901" spans="1:47" ht="127.5" x14ac:dyDescent="0.2">
      <c r="A901" s="1">
        <v>411</v>
      </c>
      <c r="B901" s="1" t="str">
        <f t="shared" si="79"/>
        <v>3075-411</v>
      </c>
      <c r="C901" s="99" t="s">
        <v>2294</v>
      </c>
      <c r="D901" s="100" t="s">
        <v>2295</v>
      </c>
      <c r="E901" s="100" t="s">
        <v>2327</v>
      </c>
      <c r="F901" s="99" t="s">
        <v>2328</v>
      </c>
      <c r="G901" s="101" t="s">
        <v>2329</v>
      </c>
      <c r="H901" s="102" t="s">
        <v>2330</v>
      </c>
      <c r="I901" s="100" t="s">
        <v>2300</v>
      </c>
      <c r="J901" s="100" t="s">
        <v>2301</v>
      </c>
      <c r="K901" s="100" t="s">
        <v>50</v>
      </c>
      <c r="L901" s="1" t="s">
        <v>2302</v>
      </c>
      <c r="M901" s="1" t="s">
        <v>493</v>
      </c>
      <c r="N901" s="1" t="s">
        <v>494</v>
      </c>
      <c r="O901" s="100" t="s">
        <v>2321</v>
      </c>
      <c r="P901" s="112" t="s">
        <v>3368</v>
      </c>
      <c r="Q901" s="103">
        <v>37295000</v>
      </c>
      <c r="R901" s="1">
        <v>1</v>
      </c>
      <c r="S901" s="104">
        <f>37295000-29475000-1000000-6820000</f>
        <v>0</v>
      </c>
      <c r="T901" s="1"/>
      <c r="U901" s="1" t="s">
        <v>2323</v>
      </c>
      <c r="V901" s="31"/>
      <c r="W901" s="105" t="s">
        <v>50</v>
      </c>
      <c r="X901" s="123" t="s">
        <v>3461</v>
      </c>
      <c r="Y901" s="31">
        <v>43248</v>
      </c>
      <c r="Z901" s="106">
        <f>6820000-6820000</f>
        <v>0</v>
      </c>
      <c r="AA901" s="107" t="s">
        <v>2933</v>
      </c>
      <c r="AB901" s="20">
        <v>853</v>
      </c>
      <c r="AC901" s="31">
        <v>43248</v>
      </c>
      <c r="AD901" s="108">
        <f>6820000-6820000</f>
        <v>0</v>
      </c>
      <c r="AE901" s="109">
        <f t="shared" si="78"/>
        <v>0</v>
      </c>
      <c r="AF901" s="20"/>
      <c r="AG901" s="31"/>
      <c r="AH901" s="108"/>
      <c r="AI901" s="1"/>
      <c r="AJ901" s="1"/>
      <c r="AK901" s="109">
        <f t="shared" si="80"/>
        <v>0</v>
      </c>
      <c r="AL901" s="108"/>
      <c r="AM901" s="108">
        <f t="shared" si="81"/>
        <v>0</v>
      </c>
      <c r="AN901" s="1" t="s">
        <v>2308</v>
      </c>
      <c r="AO901" s="108">
        <f t="shared" si="82"/>
        <v>0</v>
      </c>
      <c r="AP901" s="1" t="s">
        <v>3460</v>
      </c>
      <c r="AQ901" s="31">
        <v>43248</v>
      </c>
      <c r="AR901" s="1" t="s">
        <v>2786</v>
      </c>
      <c r="AS901" s="31">
        <v>43248</v>
      </c>
      <c r="AT901" s="1" t="s">
        <v>3368</v>
      </c>
      <c r="AU901" s="211"/>
    </row>
    <row r="902" spans="1:47" ht="229.5" x14ac:dyDescent="0.2">
      <c r="A902" s="1">
        <v>412</v>
      </c>
      <c r="B902" s="1" t="str">
        <f t="shared" si="79"/>
        <v>3075-412</v>
      </c>
      <c r="C902" s="100" t="s">
        <v>2294</v>
      </c>
      <c r="D902" s="100" t="s">
        <v>2295</v>
      </c>
      <c r="E902" s="100" t="s">
        <v>2296</v>
      </c>
      <c r="F902" s="100" t="s">
        <v>2318</v>
      </c>
      <c r="G902" s="110" t="s">
        <v>2298</v>
      </c>
      <c r="H902" s="115" t="s">
        <v>3202</v>
      </c>
      <c r="I902" s="100" t="s">
        <v>2300</v>
      </c>
      <c r="J902" s="100" t="s">
        <v>2301</v>
      </c>
      <c r="K902" s="116" t="s">
        <v>50</v>
      </c>
      <c r="L902" s="1" t="s">
        <v>2302</v>
      </c>
      <c r="M902" s="1" t="s">
        <v>493</v>
      </c>
      <c r="N902" s="1" t="s">
        <v>494</v>
      </c>
      <c r="O902" s="100" t="s">
        <v>2353</v>
      </c>
      <c r="P902" s="100" t="s">
        <v>3462</v>
      </c>
      <c r="Q902" s="106">
        <v>122953</v>
      </c>
      <c r="R902" s="1">
        <v>1</v>
      </c>
      <c r="S902" s="104">
        <v>122953</v>
      </c>
      <c r="T902" s="1" t="s">
        <v>2323</v>
      </c>
      <c r="U902" s="1" t="s">
        <v>2323</v>
      </c>
      <c r="V902" s="31" t="s">
        <v>507</v>
      </c>
      <c r="W902" s="105" t="s">
        <v>50</v>
      </c>
      <c r="X902" s="1" t="s">
        <v>3463</v>
      </c>
      <c r="Y902" s="111">
        <v>43174</v>
      </c>
      <c r="Z902" s="106">
        <v>122953</v>
      </c>
      <c r="AA902" s="107" t="s">
        <v>3464</v>
      </c>
      <c r="AB902" s="20">
        <v>718</v>
      </c>
      <c r="AC902" s="31">
        <v>43174</v>
      </c>
      <c r="AD902" s="108">
        <v>122953</v>
      </c>
      <c r="AE902" s="109">
        <f t="shared" si="78"/>
        <v>0</v>
      </c>
      <c r="AF902" s="20">
        <v>1778</v>
      </c>
      <c r="AG902" s="31">
        <v>43202</v>
      </c>
      <c r="AH902" s="108">
        <v>122953</v>
      </c>
      <c r="AI902" s="1" t="s">
        <v>3206</v>
      </c>
      <c r="AJ902" s="1">
        <v>1758</v>
      </c>
      <c r="AK902" s="109">
        <f t="shared" si="80"/>
        <v>0</v>
      </c>
      <c r="AL902" s="108">
        <v>122953</v>
      </c>
      <c r="AM902" s="108">
        <f t="shared" si="81"/>
        <v>0</v>
      </c>
      <c r="AN902" s="1" t="s">
        <v>2308</v>
      </c>
      <c r="AO902" s="108">
        <f t="shared" si="82"/>
        <v>0</v>
      </c>
      <c r="AP902" s="1"/>
      <c r="AQ902" s="31">
        <v>43173</v>
      </c>
      <c r="AR902" s="1" t="s">
        <v>3256</v>
      </c>
      <c r="AS902" s="31">
        <v>43174</v>
      </c>
      <c r="AT902" s="1" t="s">
        <v>3465</v>
      </c>
      <c r="AU902" s="211"/>
    </row>
    <row r="903" spans="1:47" ht="293.25" x14ac:dyDescent="0.2">
      <c r="A903" s="1">
        <v>413</v>
      </c>
      <c r="B903" s="1" t="str">
        <f t="shared" si="79"/>
        <v>3075-413</v>
      </c>
      <c r="C903" s="99" t="s">
        <v>2294</v>
      </c>
      <c r="D903" s="100" t="s">
        <v>2295</v>
      </c>
      <c r="E903" s="100" t="s">
        <v>2578</v>
      </c>
      <c r="F903" s="99" t="s">
        <v>2328</v>
      </c>
      <c r="G903" s="117" t="s">
        <v>2329</v>
      </c>
      <c r="H903" s="102" t="s">
        <v>2579</v>
      </c>
      <c r="I903" s="100" t="s">
        <v>2300</v>
      </c>
      <c r="J903" s="100" t="s">
        <v>2301</v>
      </c>
      <c r="K903" s="100" t="s">
        <v>50</v>
      </c>
      <c r="L903" s="1" t="s">
        <v>2302</v>
      </c>
      <c r="M903" s="1" t="s">
        <v>493</v>
      </c>
      <c r="N903" s="1" t="s">
        <v>494</v>
      </c>
      <c r="O903" s="100" t="s">
        <v>2369</v>
      </c>
      <c r="P903" s="1" t="s">
        <v>3466</v>
      </c>
      <c r="Q903" s="106">
        <v>54686940</v>
      </c>
      <c r="R903" s="122">
        <v>1</v>
      </c>
      <c r="S903" s="104">
        <v>54686940</v>
      </c>
      <c r="T903" s="1" t="s">
        <v>2323</v>
      </c>
      <c r="U903" s="1" t="s">
        <v>2323</v>
      </c>
      <c r="V903" s="31" t="s">
        <v>507</v>
      </c>
      <c r="W903" s="105" t="s">
        <v>50</v>
      </c>
      <c r="X903" s="123" t="s">
        <v>3467</v>
      </c>
      <c r="Y903" s="31">
        <v>43175</v>
      </c>
      <c r="Z903" s="106">
        <v>54686940</v>
      </c>
      <c r="AA903" s="107" t="s">
        <v>2889</v>
      </c>
      <c r="AB903" s="20">
        <v>750</v>
      </c>
      <c r="AC903" s="31">
        <v>43179</v>
      </c>
      <c r="AD903" s="108">
        <v>54686940</v>
      </c>
      <c r="AE903" s="109">
        <f t="shared" si="78"/>
        <v>0</v>
      </c>
      <c r="AF903" s="20">
        <v>1816</v>
      </c>
      <c r="AG903" s="31">
        <v>43209</v>
      </c>
      <c r="AH903" s="108">
        <v>54686940</v>
      </c>
      <c r="AI903" s="1" t="s">
        <v>3468</v>
      </c>
      <c r="AJ903" s="1">
        <v>1870</v>
      </c>
      <c r="AK903" s="109">
        <f t="shared" si="80"/>
        <v>0</v>
      </c>
      <c r="AL903" s="108">
        <v>54686940</v>
      </c>
      <c r="AM903" s="108">
        <f t="shared" si="81"/>
        <v>0</v>
      </c>
      <c r="AN903" s="1" t="s">
        <v>2308</v>
      </c>
      <c r="AO903" s="108">
        <f t="shared" si="82"/>
        <v>0</v>
      </c>
      <c r="AP903" s="1"/>
      <c r="AQ903" s="1" t="s">
        <v>3469</v>
      </c>
      <c r="AR903" s="1" t="s">
        <v>3256</v>
      </c>
      <c r="AS903" s="31">
        <v>43175</v>
      </c>
      <c r="AT903" s="1"/>
      <c r="AU903" s="211"/>
    </row>
    <row r="904" spans="1:47" ht="293.25" x14ac:dyDescent="0.2">
      <c r="A904" s="1">
        <v>414</v>
      </c>
      <c r="B904" s="1" t="str">
        <f t="shared" si="79"/>
        <v>3075-414</v>
      </c>
      <c r="C904" s="99" t="s">
        <v>2294</v>
      </c>
      <c r="D904" s="100" t="s">
        <v>2295</v>
      </c>
      <c r="E904" s="100" t="s">
        <v>2578</v>
      </c>
      <c r="F904" s="99" t="s">
        <v>2328</v>
      </c>
      <c r="G904" s="117" t="s">
        <v>2329</v>
      </c>
      <c r="H904" s="102" t="s">
        <v>2579</v>
      </c>
      <c r="I904" s="100" t="s">
        <v>2300</v>
      </c>
      <c r="J904" s="100" t="s">
        <v>2301</v>
      </c>
      <c r="K904" s="100" t="s">
        <v>50</v>
      </c>
      <c r="L904" s="1" t="s">
        <v>2302</v>
      </c>
      <c r="M904" s="1" t="s">
        <v>493</v>
      </c>
      <c r="N904" s="1" t="s">
        <v>494</v>
      </c>
      <c r="O904" s="100" t="s">
        <v>2369</v>
      </c>
      <c r="P904" s="1" t="s">
        <v>3470</v>
      </c>
      <c r="Q904" s="106">
        <v>54686940</v>
      </c>
      <c r="R904" s="122">
        <v>1</v>
      </c>
      <c r="S904" s="104">
        <v>54686940</v>
      </c>
      <c r="T904" s="1" t="s">
        <v>2323</v>
      </c>
      <c r="U904" s="1" t="s">
        <v>2323</v>
      </c>
      <c r="V904" s="31" t="s">
        <v>507</v>
      </c>
      <c r="W904" s="105" t="s">
        <v>50</v>
      </c>
      <c r="X904" s="1" t="s">
        <v>3471</v>
      </c>
      <c r="Y904" s="31">
        <v>43175</v>
      </c>
      <c r="Z904" s="106">
        <v>54686940</v>
      </c>
      <c r="AA904" s="107" t="s">
        <v>2889</v>
      </c>
      <c r="AB904" s="20">
        <v>751</v>
      </c>
      <c r="AC904" s="31">
        <v>43179</v>
      </c>
      <c r="AD904" s="108">
        <v>54686940</v>
      </c>
      <c r="AE904" s="109">
        <f t="shared" si="78"/>
        <v>0</v>
      </c>
      <c r="AF904" s="20">
        <v>1826</v>
      </c>
      <c r="AG904" s="31">
        <v>43210</v>
      </c>
      <c r="AH904" s="108">
        <v>54686940</v>
      </c>
      <c r="AI904" s="1" t="s">
        <v>3472</v>
      </c>
      <c r="AJ904" s="1">
        <v>1876</v>
      </c>
      <c r="AK904" s="109">
        <f t="shared" si="80"/>
        <v>0</v>
      </c>
      <c r="AL904" s="108">
        <v>54686940</v>
      </c>
      <c r="AM904" s="108">
        <f t="shared" si="81"/>
        <v>0</v>
      </c>
      <c r="AN904" s="1" t="s">
        <v>2308</v>
      </c>
      <c r="AO904" s="108">
        <f t="shared" si="82"/>
        <v>0</v>
      </c>
      <c r="AP904" s="1"/>
      <c r="AQ904" s="1" t="s">
        <v>3469</v>
      </c>
      <c r="AR904" s="1" t="s">
        <v>3256</v>
      </c>
      <c r="AS904" s="31">
        <v>43175</v>
      </c>
      <c r="AT904" s="1"/>
      <c r="AU904" s="211"/>
    </row>
    <row r="905" spans="1:47" ht="293.25" x14ac:dyDescent="0.2">
      <c r="A905" s="1">
        <v>415</v>
      </c>
      <c r="B905" s="1" t="str">
        <f t="shared" si="79"/>
        <v>3075-415</v>
      </c>
      <c r="C905" s="99" t="s">
        <v>2294</v>
      </c>
      <c r="D905" s="100" t="s">
        <v>2295</v>
      </c>
      <c r="E905" s="100" t="s">
        <v>2578</v>
      </c>
      <c r="F905" s="99" t="s">
        <v>2328</v>
      </c>
      <c r="G905" s="117" t="s">
        <v>2329</v>
      </c>
      <c r="H905" s="102" t="s">
        <v>2579</v>
      </c>
      <c r="I905" s="100" t="s">
        <v>2300</v>
      </c>
      <c r="J905" s="100" t="s">
        <v>2301</v>
      </c>
      <c r="K905" s="100" t="s">
        <v>50</v>
      </c>
      <c r="L905" s="1" t="s">
        <v>2302</v>
      </c>
      <c r="M905" s="1" t="s">
        <v>493</v>
      </c>
      <c r="N905" s="1" t="s">
        <v>494</v>
      </c>
      <c r="O905" s="100" t="s">
        <v>2369</v>
      </c>
      <c r="P905" s="1" t="s">
        <v>3473</v>
      </c>
      <c r="Q905" s="106">
        <v>54686940</v>
      </c>
      <c r="R905" s="122">
        <v>1</v>
      </c>
      <c r="S905" s="104">
        <v>54686940</v>
      </c>
      <c r="T905" s="1" t="s">
        <v>2323</v>
      </c>
      <c r="U905" s="1" t="s">
        <v>2323</v>
      </c>
      <c r="V905" s="31" t="s">
        <v>507</v>
      </c>
      <c r="W905" s="105" t="s">
        <v>50</v>
      </c>
      <c r="X905" s="123" t="s">
        <v>3474</v>
      </c>
      <c r="Y905" s="31">
        <v>43175</v>
      </c>
      <c r="Z905" s="106">
        <v>54686940</v>
      </c>
      <c r="AA905" s="107" t="s">
        <v>2889</v>
      </c>
      <c r="AB905" s="20">
        <v>752</v>
      </c>
      <c r="AC905" s="31">
        <v>43179</v>
      </c>
      <c r="AD905" s="108">
        <v>54686940</v>
      </c>
      <c r="AE905" s="109">
        <f t="shared" si="78"/>
        <v>0</v>
      </c>
      <c r="AF905" s="20">
        <v>1767</v>
      </c>
      <c r="AG905" s="31">
        <v>43201</v>
      </c>
      <c r="AH905" s="108">
        <v>54686940</v>
      </c>
      <c r="AI905" s="1" t="s">
        <v>3475</v>
      </c>
      <c r="AJ905" s="1">
        <v>1775</v>
      </c>
      <c r="AK905" s="109">
        <f t="shared" si="80"/>
        <v>0</v>
      </c>
      <c r="AL905" s="108">
        <v>54686940</v>
      </c>
      <c r="AM905" s="108">
        <f t="shared" si="81"/>
        <v>0</v>
      </c>
      <c r="AN905" s="1" t="s">
        <v>2308</v>
      </c>
      <c r="AO905" s="108">
        <f t="shared" si="82"/>
        <v>0</v>
      </c>
      <c r="AP905" s="1"/>
      <c r="AQ905" s="1" t="s">
        <v>3469</v>
      </c>
      <c r="AR905" s="1" t="s">
        <v>3256</v>
      </c>
      <c r="AS905" s="31">
        <v>43175</v>
      </c>
      <c r="AT905" s="1"/>
      <c r="AU905" s="211"/>
    </row>
    <row r="906" spans="1:47" ht="293.25" x14ac:dyDescent="0.2">
      <c r="A906" s="1">
        <v>416</v>
      </c>
      <c r="B906" s="1" t="str">
        <f t="shared" si="79"/>
        <v>3075-416</v>
      </c>
      <c r="C906" s="99" t="s">
        <v>2294</v>
      </c>
      <c r="D906" s="100" t="s">
        <v>2295</v>
      </c>
      <c r="E906" s="100" t="s">
        <v>2578</v>
      </c>
      <c r="F906" s="99" t="s">
        <v>2328</v>
      </c>
      <c r="G906" s="117" t="s">
        <v>2329</v>
      </c>
      <c r="H906" s="102" t="s">
        <v>2579</v>
      </c>
      <c r="I906" s="100" t="s">
        <v>2300</v>
      </c>
      <c r="J906" s="100" t="s">
        <v>2301</v>
      </c>
      <c r="K906" s="100" t="s">
        <v>50</v>
      </c>
      <c r="L906" s="1" t="s">
        <v>2302</v>
      </c>
      <c r="M906" s="1" t="s">
        <v>493</v>
      </c>
      <c r="N906" s="1" t="s">
        <v>494</v>
      </c>
      <c r="O906" s="100" t="s">
        <v>2369</v>
      </c>
      <c r="P906" s="1" t="s">
        <v>3476</v>
      </c>
      <c r="Q906" s="106">
        <v>54686940</v>
      </c>
      <c r="R906" s="122">
        <v>1</v>
      </c>
      <c r="S906" s="104">
        <v>54686940</v>
      </c>
      <c r="T906" s="1" t="s">
        <v>2323</v>
      </c>
      <c r="U906" s="1" t="s">
        <v>2323</v>
      </c>
      <c r="V906" s="31" t="s">
        <v>507</v>
      </c>
      <c r="W906" s="105" t="s">
        <v>50</v>
      </c>
      <c r="X906" s="1" t="s">
        <v>3477</v>
      </c>
      <c r="Y906" s="31">
        <v>43180</v>
      </c>
      <c r="Z906" s="106">
        <v>54686940</v>
      </c>
      <c r="AA906" s="107" t="s">
        <v>2889</v>
      </c>
      <c r="AB906" s="20">
        <v>756</v>
      </c>
      <c r="AC906" s="31">
        <v>43182</v>
      </c>
      <c r="AD906" s="108">
        <v>54686940</v>
      </c>
      <c r="AE906" s="109">
        <f t="shared" si="78"/>
        <v>0</v>
      </c>
      <c r="AF906" s="20">
        <v>1780</v>
      </c>
      <c r="AG906" s="31">
        <v>43202</v>
      </c>
      <c r="AH906" s="108">
        <v>54686940</v>
      </c>
      <c r="AI906" s="1" t="s">
        <v>3478</v>
      </c>
      <c r="AJ906" s="1">
        <v>1844</v>
      </c>
      <c r="AK906" s="109">
        <f t="shared" si="80"/>
        <v>0</v>
      </c>
      <c r="AL906" s="108">
        <v>54686940</v>
      </c>
      <c r="AM906" s="108">
        <f t="shared" si="81"/>
        <v>0</v>
      </c>
      <c r="AN906" s="1" t="s">
        <v>2308</v>
      </c>
      <c r="AO906" s="108">
        <f t="shared" si="82"/>
        <v>0</v>
      </c>
      <c r="AP906" s="1"/>
      <c r="AQ906" s="31">
        <v>43180</v>
      </c>
      <c r="AR906" s="1" t="s">
        <v>3256</v>
      </c>
      <c r="AS906" s="31">
        <v>43180</v>
      </c>
      <c r="AT906" s="1"/>
      <c r="AU906" s="211"/>
    </row>
    <row r="907" spans="1:47" ht="357" x14ac:dyDescent="0.2">
      <c r="A907" s="1">
        <v>417</v>
      </c>
      <c r="B907" s="1" t="str">
        <f t="shared" si="79"/>
        <v>3075-417</v>
      </c>
      <c r="C907" s="99" t="s">
        <v>2294</v>
      </c>
      <c r="D907" s="100" t="s">
        <v>2295</v>
      </c>
      <c r="E907" s="100" t="s">
        <v>2578</v>
      </c>
      <c r="F907" s="99" t="s">
        <v>2328</v>
      </c>
      <c r="G907" s="117" t="s">
        <v>2329</v>
      </c>
      <c r="H907" s="102" t="s">
        <v>2579</v>
      </c>
      <c r="I907" s="100" t="s">
        <v>2300</v>
      </c>
      <c r="J907" s="100" t="s">
        <v>2301</v>
      </c>
      <c r="K907" s="100" t="s">
        <v>50</v>
      </c>
      <c r="L907" s="1" t="s">
        <v>2302</v>
      </c>
      <c r="M907" s="1" t="s">
        <v>493</v>
      </c>
      <c r="N907" s="1" t="s">
        <v>494</v>
      </c>
      <c r="O907" s="100" t="s">
        <v>2369</v>
      </c>
      <c r="P907" s="1" t="s">
        <v>2580</v>
      </c>
      <c r="Q907" s="106">
        <v>54686940</v>
      </c>
      <c r="R907" s="122">
        <v>1</v>
      </c>
      <c r="S907" s="104">
        <v>54686940</v>
      </c>
      <c r="T907" s="1" t="s">
        <v>2323</v>
      </c>
      <c r="U907" s="1" t="s">
        <v>2323</v>
      </c>
      <c r="V907" s="31" t="s">
        <v>2211</v>
      </c>
      <c r="W907" s="105" t="s">
        <v>50</v>
      </c>
      <c r="X907" s="123" t="s">
        <v>3479</v>
      </c>
      <c r="Y907" s="125">
        <v>43186</v>
      </c>
      <c r="Z907" s="126">
        <v>54686940</v>
      </c>
      <c r="AA907" s="107" t="s">
        <v>2889</v>
      </c>
      <c r="AB907" s="20">
        <v>762</v>
      </c>
      <c r="AC907" s="31">
        <v>43192</v>
      </c>
      <c r="AD907" s="108">
        <v>54686940</v>
      </c>
      <c r="AE907" s="109">
        <f t="shared" si="78"/>
        <v>0</v>
      </c>
      <c r="AF907" s="20">
        <v>1850</v>
      </c>
      <c r="AG907" s="31">
        <v>43222</v>
      </c>
      <c r="AH907" s="108">
        <v>54686940</v>
      </c>
      <c r="AI907" s="1" t="s">
        <v>3480</v>
      </c>
      <c r="AJ907" s="1">
        <v>1962</v>
      </c>
      <c r="AK907" s="109">
        <f t="shared" si="80"/>
        <v>0</v>
      </c>
      <c r="AL907" s="108">
        <v>54686940</v>
      </c>
      <c r="AM907" s="108">
        <f t="shared" si="81"/>
        <v>0</v>
      </c>
      <c r="AN907" s="1" t="s">
        <v>2308</v>
      </c>
      <c r="AO907" s="108">
        <f t="shared" si="82"/>
        <v>0</v>
      </c>
      <c r="AP907" s="97"/>
      <c r="AQ907" s="97"/>
      <c r="AR907" s="97"/>
      <c r="AS907" s="97"/>
      <c r="AT907" s="97"/>
      <c r="AU907" s="211"/>
    </row>
    <row r="908" spans="1:47" ht="357" x14ac:dyDescent="0.2">
      <c r="A908" s="1">
        <v>418</v>
      </c>
      <c r="B908" s="1" t="str">
        <f t="shared" si="79"/>
        <v>3075-418</v>
      </c>
      <c r="C908" s="99" t="s">
        <v>2294</v>
      </c>
      <c r="D908" s="100" t="s">
        <v>2295</v>
      </c>
      <c r="E908" s="100" t="s">
        <v>2578</v>
      </c>
      <c r="F908" s="99" t="s">
        <v>2328</v>
      </c>
      <c r="G908" s="117" t="s">
        <v>2329</v>
      </c>
      <c r="H908" s="102" t="s">
        <v>2579</v>
      </c>
      <c r="I908" s="100" t="s">
        <v>2300</v>
      </c>
      <c r="J908" s="100" t="s">
        <v>2301</v>
      </c>
      <c r="K908" s="100" t="s">
        <v>50</v>
      </c>
      <c r="L908" s="1" t="s">
        <v>2302</v>
      </c>
      <c r="M908" s="1" t="s">
        <v>493</v>
      </c>
      <c r="N908" s="1" t="s">
        <v>494</v>
      </c>
      <c r="O908" s="100" t="s">
        <v>2369</v>
      </c>
      <c r="P908" s="1" t="s">
        <v>2580</v>
      </c>
      <c r="Q908" s="106">
        <v>54686940</v>
      </c>
      <c r="R908" s="122">
        <v>1</v>
      </c>
      <c r="S908" s="104">
        <v>54686940</v>
      </c>
      <c r="T908" s="1" t="s">
        <v>2323</v>
      </c>
      <c r="U908" s="1" t="s">
        <v>2323</v>
      </c>
      <c r="V908" s="31" t="s">
        <v>2211</v>
      </c>
      <c r="W908" s="105" t="s">
        <v>50</v>
      </c>
      <c r="X908" s="1" t="s">
        <v>3481</v>
      </c>
      <c r="Y908" s="125">
        <v>43186</v>
      </c>
      <c r="Z908" s="126">
        <v>54686940</v>
      </c>
      <c r="AA908" s="107" t="s">
        <v>2889</v>
      </c>
      <c r="AB908" s="20">
        <v>763</v>
      </c>
      <c r="AC908" s="31">
        <v>43192</v>
      </c>
      <c r="AD908" s="108">
        <v>54686940</v>
      </c>
      <c r="AE908" s="97"/>
      <c r="AF908" s="20">
        <v>1854</v>
      </c>
      <c r="AG908" s="31">
        <v>43223</v>
      </c>
      <c r="AH908" s="108">
        <v>54686940</v>
      </c>
      <c r="AI908" s="1" t="s">
        <v>3482</v>
      </c>
      <c r="AJ908" s="1">
        <v>1964</v>
      </c>
      <c r="AK908" s="109">
        <f t="shared" si="80"/>
        <v>0</v>
      </c>
      <c r="AL908" s="108">
        <v>54686940</v>
      </c>
      <c r="AM908" s="108">
        <f t="shared" si="81"/>
        <v>0</v>
      </c>
      <c r="AN908" s="1" t="s">
        <v>2308</v>
      </c>
      <c r="AO908" s="108">
        <f t="shared" si="82"/>
        <v>0</v>
      </c>
      <c r="AP908" s="97"/>
      <c r="AQ908" s="97"/>
      <c r="AR908" s="97"/>
      <c r="AS908" s="97"/>
      <c r="AT908" s="97"/>
      <c r="AU908" s="211"/>
    </row>
    <row r="909" spans="1:47" ht="293.25" x14ac:dyDescent="0.2">
      <c r="A909" s="1">
        <v>419</v>
      </c>
      <c r="B909" s="1" t="str">
        <f t="shared" si="79"/>
        <v>3075-419</v>
      </c>
      <c r="C909" s="99" t="s">
        <v>2294</v>
      </c>
      <c r="D909" s="100" t="s">
        <v>2295</v>
      </c>
      <c r="E909" s="100" t="s">
        <v>2578</v>
      </c>
      <c r="F909" s="99" t="s">
        <v>2328</v>
      </c>
      <c r="G909" s="117" t="s">
        <v>2329</v>
      </c>
      <c r="H909" s="102" t="s">
        <v>2579</v>
      </c>
      <c r="I909" s="100" t="s">
        <v>2300</v>
      </c>
      <c r="J909" s="100" t="s">
        <v>2301</v>
      </c>
      <c r="K909" s="100" t="s">
        <v>50</v>
      </c>
      <c r="L909" s="1" t="s">
        <v>2302</v>
      </c>
      <c r="M909" s="1" t="s">
        <v>493</v>
      </c>
      <c r="N909" s="1" t="s">
        <v>494</v>
      </c>
      <c r="O909" s="100" t="s">
        <v>2369</v>
      </c>
      <c r="P909" s="1" t="s">
        <v>3483</v>
      </c>
      <c r="Q909" s="106">
        <v>57510750</v>
      </c>
      <c r="R909" s="122">
        <v>0.95089944053937747</v>
      </c>
      <c r="S909" s="104">
        <v>54686940</v>
      </c>
      <c r="T909" s="1" t="s">
        <v>2323</v>
      </c>
      <c r="U909" s="1" t="s">
        <v>2323</v>
      </c>
      <c r="V909" s="31" t="s">
        <v>507</v>
      </c>
      <c r="W909" s="105" t="s">
        <v>50</v>
      </c>
      <c r="X909" s="1" t="s">
        <v>3484</v>
      </c>
      <c r="Y909" s="31">
        <v>43192</v>
      </c>
      <c r="Z909" s="127">
        <v>54686940</v>
      </c>
      <c r="AA909" s="107" t="s">
        <v>2889</v>
      </c>
      <c r="AB909" s="20">
        <v>766</v>
      </c>
      <c r="AC909" s="31">
        <v>43195</v>
      </c>
      <c r="AD909" s="108">
        <v>54686940</v>
      </c>
      <c r="AE909" s="109">
        <f t="shared" ref="AE909:AE972" si="83">S909-Z909</f>
        <v>0</v>
      </c>
      <c r="AF909" s="20">
        <v>1843</v>
      </c>
      <c r="AG909" s="31">
        <v>43215</v>
      </c>
      <c r="AH909" s="108">
        <v>54686940</v>
      </c>
      <c r="AI909" s="1" t="s">
        <v>3485</v>
      </c>
      <c r="AJ909" s="1">
        <v>1931</v>
      </c>
      <c r="AK909" s="109">
        <f t="shared" si="80"/>
        <v>0</v>
      </c>
      <c r="AL909" s="108">
        <v>54686940</v>
      </c>
      <c r="AM909" s="108">
        <f t="shared" si="81"/>
        <v>0</v>
      </c>
      <c r="AN909" s="1" t="s">
        <v>2308</v>
      </c>
      <c r="AO909" s="108">
        <f t="shared" si="82"/>
        <v>0</v>
      </c>
      <c r="AP909" s="1" t="s">
        <v>3486</v>
      </c>
      <c r="AQ909" s="1"/>
      <c r="AR909" s="1"/>
      <c r="AS909" s="1"/>
      <c r="AT909" s="1"/>
      <c r="AU909" s="211"/>
    </row>
    <row r="910" spans="1:47" ht="293.25" x14ac:dyDescent="0.2">
      <c r="A910" s="1">
        <v>420</v>
      </c>
      <c r="B910" s="1" t="str">
        <f t="shared" si="79"/>
        <v>3075-420</v>
      </c>
      <c r="C910" s="99" t="s">
        <v>2294</v>
      </c>
      <c r="D910" s="100" t="s">
        <v>2295</v>
      </c>
      <c r="E910" s="100" t="s">
        <v>2578</v>
      </c>
      <c r="F910" s="99" t="s">
        <v>2328</v>
      </c>
      <c r="G910" s="117" t="s">
        <v>2329</v>
      </c>
      <c r="H910" s="102" t="s">
        <v>2579</v>
      </c>
      <c r="I910" s="100" t="s">
        <v>2300</v>
      </c>
      <c r="J910" s="100" t="s">
        <v>2301</v>
      </c>
      <c r="K910" s="100" t="s">
        <v>50</v>
      </c>
      <c r="L910" s="1" t="s">
        <v>2302</v>
      </c>
      <c r="M910" s="1" t="s">
        <v>493</v>
      </c>
      <c r="N910" s="1" t="s">
        <v>494</v>
      </c>
      <c r="O910" s="100" t="s">
        <v>2369</v>
      </c>
      <c r="P910" s="1" t="s">
        <v>3487</v>
      </c>
      <c r="Q910" s="106">
        <v>57510750</v>
      </c>
      <c r="R910" s="122">
        <v>0.95089944053937747</v>
      </c>
      <c r="S910" s="104">
        <v>54686940</v>
      </c>
      <c r="T910" s="1" t="s">
        <v>2323</v>
      </c>
      <c r="U910" s="1" t="s">
        <v>2323</v>
      </c>
      <c r="V910" s="31" t="s">
        <v>2211</v>
      </c>
      <c r="W910" s="105" t="s">
        <v>50</v>
      </c>
      <c r="X910" s="1" t="s">
        <v>3488</v>
      </c>
      <c r="Y910" s="31">
        <v>43192</v>
      </c>
      <c r="Z910" s="127">
        <v>54686940</v>
      </c>
      <c r="AA910" s="107" t="s">
        <v>2889</v>
      </c>
      <c r="AB910" s="20">
        <v>764</v>
      </c>
      <c r="AC910" s="31">
        <v>43195</v>
      </c>
      <c r="AD910" s="108">
        <v>54686940</v>
      </c>
      <c r="AE910" s="109">
        <f t="shared" si="83"/>
        <v>0</v>
      </c>
      <c r="AF910" s="20">
        <v>1858</v>
      </c>
      <c r="AG910" s="31">
        <v>43227</v>
      </c>
      <c r="AH910" s="108">
        <v>54686940</v>
      </c>
      <c r="AI910" s="1" t="s">
        <v>3489</v>
      </c>
      <c r="AJ910" s="1">
        <v>1963</v>
      </c>
      <c r="AK910" s="109">
        <f t="shared" si="80"/>
        <v>0</v>
      </c>
      <c r="AL910" s="108">
        <v>54686940</v>
      </c>
      <c r="AM910" s="108">
        <f t="shared" si="81"/>
        <v>0</v>
      </c>
      <c r="AN910" s="1" t="s">
        <v>2308</v>
      </c>
      <c r="AO910" s="108">
        <f t="shared" si="82"/>
        <v>0</v>
      </c>
      <c r="AP910" s="1" t="s">
        <v>3486</v>
      </c>
      <c r="AQ910" s="1"/>
      <c r="AR910" s="1"/>
      <c r="AS910" s="1"/>
      <c r="AT910" s="1"/>
      <c r="AU910" s="211"/>
    </row>
    <row r="911" spans="1:47" ht="267.75" x14ac:dyDescent="0.2">
      <c r="A911" s="1">
        <v>421</v>
      </c>
      <c r="B911" s="1" t="str">
        <f t="shared" si="79"/>
        <v>3075-421</v>
      </c>
      <c r="C911" s="99" t="s">
        <v>2294</v>
      </c>
      <c r="D911" s="100" t="s">
        <v>2295</v>
      </c>
      <c r="E911" s="100" t="s">
        <v>2327</v>
      </c>
      <c r="F911" s="99" t="s">
        <v>2328</v>
      </c>
      <c r="G911" s="101" t="s">
        <v>2329</v>
      </c>
      <c r="H911" s="102" t="s">
        <v>2330</v>
      </c>
      <c r="I911" s="100" t="s">
        <v>2300</v>
      </c>
      <c r="J911" s="100" t="s">
        <v>2336</v>
      </c>
      <c r="K911" s="100" t="s">
        <v>50</v>
      </c>
      <c r="L911" s="1" t="s">
        <v>2302</v>
      </c>
      <c r="M911" s="1" t="s">
        <v>493</v>
      </c>
      <c r="N911" s="1" t="s">
        <v>494</v>
      </c>
      <c r="O911" s="100" t="s">
        <v>2321</v>
      </c>
      <c r="P911" s="100" t="s">
        <v>3490</v>
      </c>
      <c r="Q911" s="103">
        <v>138036400</v>
      </c>
      <c r="R911" s="1">
        <v>1</v>
      </c>
      <c r="S911" s="104">
        <f t="shared" ref="S911:S933" si="84">Q911*R911</f>
        <v>138036400</v>
      </c>
      <c r="T911" s="1" t="s">
        <v>2323</v>
      </c>
      <c r="U911" s="1" t="s">
        <v>2323</v>
      </c>
      <c r="V911" s="31" t="s">
        <v>2211</v>
      </c>
      <c r="W911" s="105" t="s">
        <v>50</v>
      </c>
      <c r="X911" s="1" t="s">
        <v>3491</v>
      </c>
      <c r="Y911" s="31">
        <v>43195</v>
      </c>
      <c r="Z911" s="106">
        <v>138036400</v>
      </c>
      <c r="AA911" s="107" t="s">
        <v>3287</v>
      </c>
      <c r="AB911" s="20">
        <v>768</v>
      </c>
      <c r="AC911" s="31">
        <v>43201</v>
      </c>
      <c r="AD911" s="108">
        <v>138036400</v>
      </c>
      <c r="AE911" s="109">
        <f t="shared" si="83"/>
        <v>0</v>
      </c>
      <c r="AF911" s="20">
        <v>1942</v>
      </c>
      <c r="AG911" s="31">
        <v>43243</v>
      </c>
      <c r="AH911" s="108">
        <v>138036400</v>
      </c>
      <c r="AI911" s="1" t="s">
        <v>3492</v>
      </c>
      <c r="AJ911" s="1">
        <v>2077</v>
      </c>
      <c r="AK911" s="109">
        <f t="shared" si="80"/>
        <v>0</v>
      </c>
      <c r="AL911" s="108">
        <v>0</v>
      </c>
      <c r="AM911" s="108">
        <f t="shared" si="81"/>
        <v>138036400</v>
      </c>
      <c r="AN911" s="1" t="s">
        <v>2308</v>
      </c>
      <c r="AO911" s="108">
        <f t="shared" si="82"/>
        <v>0</v>
      </c>
      <c r="AP911" s="1"/>
      <c r="AQ911" s="31">
        <v>43195</v>
      </c>
      <c r="AR911" s="1" t="s">
        <v>3256</v>
      </c>
      <c r="AS911" s="31">
        <v>43195</v>
      </c>
      <c r="AT911" s="1" t="s">
        <v>3490</v>
      </c>
      <c r="AU911" s="211"/>
    </row>
    <row r="912" spans="1:47" ht="216.75" x14ac:dyDescent="0.2">
      <c r="A912" s="1">
        <v>422</v>
      </c>
      <c r="B912" s="1" t="str">
        <f t="shared" si="79"/>
        <v>3075-422</v>
      </c>
      <c r="C912" s="99" t="s">
        <v>2294</v>
      </c>
      <c r="D912" s="100" t="s">
        <v>2295</v>
      </c>
      <c r="E912" s="100" t="s">
        <v>2327</v>
      </c>
      <c r="F912" s="99" t="s">
        <v>2328</v>
      </c>
      <c r="G912" s="101" t="s">
        <v>2329</v>
      </c>
      <c r="H912" s="102" t="s">
        <v>2330</v>
      </c>
      <c r="I912" s="100" t="s">
        <v>2300</v>
      </c>
      <c r="J912" s="100" t="s">
        <v>2336</v>
      </c>
      <c r="K912" s="100" t="s">
        <v>50</v>
      </c>
      <c r="L912" s="1" t="s">
        <v>2302</v>
      </c>
      <c r="M912" s="1" t="s">
        <v>493</v>
      </c>
      <c r="N912" s="1" t="s">
        <v>494</v>
      </c>
      <c r="O912" s="100" t="s">
        <v>2321</v>
      </c>
      <c r="P912" s="100" t="s">
        <v>3493</v>
      </c>
      <c r="Q912" s="103">
        <v>39062100</v>
      </c>
      <c r="R912" s="1">
        <v>1</v>
      </c>
      <c r="S912" s="104">
        <f t="shared" si="84"/>
        <v>39062100</v>
      </c>
      <c r="T912" s="1" t="s">
        <v>2323</v>
      </c>
      <c r="U912" s="1" t="s">
        <v>2323</v>
      </c>
      <c r="V912" s="31" t="s">
        <v>2211</v>
      </c>
      <c r="W912" s="105" t="s">
        <v>50</v>
      </c>
      <c r="X912" s="1" t="s">
        <v>3494</v>
      </c>
      <c r="Y912" s="31">
        <v>43195</v>
      </c>
      <c r="Z912" s="106">
        <v>39062100</v>
      </c>
      <c r="AA912" s="107" t="s">
        <v>3287</v>
      </c>
      <c r="AB912" s="20">
        <v>769</v>
      </c>
      <c r="AC912" s="31">
        <v>43201</v>
      </c>
      <c r="AD912" s="108">
        <v>39062100</v>
      </c>
      <c r="AE912" s="109">
        <f t="shared" si="83"/>
        <v>0</v>
      </c>
      <c r="AF912" s="20">
        <v>1891</v>
      </c>
      <c r="AG912" s="31">
        <v>43230</v>
      </c>
      <c r="AH912" s="108">
        <v>39062100</v>
      </c>
      <c r="AI912" s="1" t="s">
        <v>3495</v>
      </c>
      <c r="AJ912" s="1">
        <v>1968</v>
      </c>
      <c r="AK912" s="109">
        <f t="shared" si="80"/>
        <v>0</v>
      </c>
      <c r="AL912" s="108">
        <v>0</v>
      </c>
      <c r="AM912" s="108">
        <f t="shared" si="81"/>
        <v>39062100</v>
      </c>
      <c r="AN912" s="1" t="s">
        <v>2308</v>
      </c>
      <c r="AO912" s="108">
        <f t="shared" si="82"/>
        <v>0</v>
      </c>
      <c r="AP912" s="1"/>
      <c r="AQ912" s="31">
        <v>43195</v>
      </c>
      <c r="AR912" s="1" t="s">
        <v>3256</v>
      </c>
      <c r="AS912" s="31">
        <v>43195</v>
      </c>
      <c r="AT912" s="1" t="s">
        <v>3493</v>
      </c>
      <c r="AU912" s="211"/>
    </row>
    <row r="913" spans="1:47" ht="191.25" x14ac:dyDescent="0.2">
      <c r="A913" s="1">
        <v>423</v>
      </c>
      <c r="B913" s="1" t="str">
        <f t="shared" si="79"/>
        <v>3075-423</v>
      </c>
      <c r="C913" s="99" t="s">
        <v>2294</v>
      </c>
      <c r="D913" s="100" t="s">
        <v>2295</v>
      </c>
      <c r="E913" s="100" t="s">
        <v>2327</v>
      </c>
      <c r="F913" s="99" t="s">
        <v>2328</v>
      </c>
      <c r="G913" s="101" t="s">
        <v>2329</v>
      </c>
      <c r="H913" s="102" t="s">
        <v>2330</v>
      </c>
      <c r="I913" s="100" t="s">
        <v>2300</v>
      </c>
      <c r="J913" s="100" t="s">
        <v>2336</v>
      </c>
      <c r="K913" s="100" t="s">
        <v>50</v>
      </c>
      <c r="L913" s="1" t="s">
        <v>2302</v>
      </c>
      <c r="M913" s="1" t="s">
        <v>493</v>
      </c>
      <c r="N913" s="1" t="s">
        <v>494</v>
      </c>
      <c r="O913" s="100" t="s">
        <v>2321</v>
      </c>
      <c r="P913" s="100" t="s">
        <v>3496</v>
      </c>
      <c r="Q913" s="103">
        <v>35479385</v>
      </c>
      <c r="R913" s="1">
        <v>1</v>
      </c>
      <c r="S913" s="104">
        <f t="shared" si="84"/>
        <v>35479385</v>
      </c>
      <c r="T913" s="1" t="s">
        <v>2323</v>
      </c>
      <c r="U913" s="1" t="s">
        <v>2323</v>
      </c>
      <c r="V913" s="31" t="s">
        <v>1352</v>
      </c>
      <c r="W913" s="105" t="s">
        <v>50</v>
      </c>
      <c r="X913" s="1" t="s">
        <v>3497</v>
      </c>
      <c r="Y913" s="31">
        <v>43195</v>
      </c>
      <c r="Z913" s="106">
        <v>35479385</v>
      </c>
      <c r="AA913" s="107" t="s">
        <v>3287</v>
      </c>
      <c r="AB913" s="20">
        <v>770</v>
      </c>
      <c r="AC913" s="31">
        <v>43201</v>
      </c>
      <c r="AD913" s="108">
        <v>35479385</v>
      </c>
      <c r="AE913" s="109">
        <f t="shared" si="83"/>
        <v>0</v>
      </c>
      <c r="AF913" s="20">
        <v>2408</v>
      </c>
      <c r="AG913" s="31">
        <v>43280</v>
      </c>
      <c r="AH913" s="108">
        <v>35479385</v>
      </c>
      <c r="AI913" s="1" t="s">
        <v>3498</v>
      </c>
      <c r="AJ913" s="1">
        <v>2828</v>
      </c>
      <c r="AK913" s="109">
        <f t="shared" si="80"/>
        <v>0</v>
      </c>
      <c r="AL913" s="108">
        <v>0</v>
      </c>
      <c r="AM913" s="108">
        <f t="shared" si="81"/>
        <v>35479385</v>
      </c>
      <c r="AN913" s="1" t="s">
        <v>2308</v>
      </c>
      <c r="AO913" s="108">
        <f t="shared" si="82"/>
        <v>0</v>
      </c>
      <c r="AP913" s="1"/>
      <c r="AQ913" s="31">
        <v>43195</v>
      </c>
      <c r="AR913" s="1" t="s">
        <v>3256</v>
      </c>
      <c r="AS913" s="31">
        <v>43195</v>
      </c>
      <c r="AT913" s="1" t="s">
        <v>3496</v>
      </c>
      <c r="AU913" s="211"/>
    </row>
    <row r="914" spans="1:47" ht="165.75" x14ac:dyDescent="0.2">
      <c r="A914" s="1">
        <v>424</v>
      </c>
      <c r="B914" s="1" t="str">
        <f t="shared" si="79"/>
        <v>3075-424</v>
      </c>
      <c r="C914" s="99" t="s">
        <v>2294</v>
      </c>
      <c r="D914" s="100" t="s">
        <v>2295</v>
      </c>
      <c r="E914" s="99" t="s">
        <v>2317</v>
      </c>
      <c r="F914" s="99" t="s">
        <v>2318</v>
      </c>
      <c r="G914" s="101" t="s">
        <v>2319</v>
      </c>
      <c r="H914" s="102" t="s">
        <v>2320</v>
      </c>
      <c r="I914" s="100" t="s">
        <v>2300</v>
      </c>
      <c r="J914" s="100" t="s">
        <v>2301</v>
      </c>
      <c r="K914" s="100" t="s">
        <v>50</v>
      </c>
      <c r="L914" s="1" t="s">
        <v>2302</v>
      </c>
      <c r="M914" s="1" t="s">
        <v>493</v>
      </c>
      <c r="N914" s="1" t="s">
        <v>494</v>
      </c>
      <c r="O914" s="100" t="s">
        <v>2321</v>
      </c>
      <c r="P914" s="112" t="s">
        <v>3499</v>
      </c>
      <c r="Q914" s="103">
        <v>65920800</v>
      </c>
      <c r="R914" s="1">
        <v>1</v>
      </c>
      <c r="S914" s="104">
        <f t="shared" si="84"/>
        <v>65920800</v>
      </c>
      <c r="T914" s="1" t="s">
        <v>2323</v>
      </c>
      <c r="U914" s="1" t="s">
        <v>2323</v>
      </c>
      <c r="V914" s="31" t="s">
        <v>2211</v>
      </c>
      <c r="W914" s="105" t="s">
        <v>50</v>
      </c>
      <c r="X914" s="1" t="s">
        <v>3500</v>
      </c>
      <c r="Y914" s="31">
        <v>43195</v>
      </c>
      <c r="Z914" s="106">
        <v>65920800</v>
      </c>
      <c r="AA914" s="107" t="s">
        <v>3501</v>
      </c>
      <c r="AB914" s="20">
        <v>774</v>
      </c>
      <c r="AC914" s="31">
        <v>43201</v>
      </c>
      <c r="AD914" s="108">
        <v>65920800</v>
      </c>
      <c r="AE914" s="109">
        <f t="shared" si="83"/>
        <v>0</v>
      </c>
      <c r="AF914" s="20">
        <v>1859</v>
      </c>
      <c r="AG914" s="31">
        <v>43227</v>
      </c>
      <c r="AH914" s="108">
        <v>65920800</v>
      </c>
      <c r="AI914" s="1" t="s">
        <v>2934</v>
      </c>
      <c r="AJ914" s="1">
        <v>2010</v>
      </c>
      <c r="AK914" s="109">
        <f t="shared" si="80"/>
        <v>0</v>
      </c>
      <c r="AL914" s="108">
        <v>0</v>
      </c>
      <c r="AM914" s="108">
        <f t="shared" si="81"/>
        <v>65920800</v>
      </c>
      <c r="AN914" s="1" t="s">
        <v>2308</v>
      </c>
      <c r="AO914" s="108">
        <f t="shared" si="82"/>
        <v>0</v>
      </c>
      <c r="AP914" s="1"/>
      <c r="AQ914" s="31">
        <v>43195</v>
      </c>
      <c r="AR914" s="1" t="s">
        <v>3256</v>
      </c>
      <c r="AS914" s="31">
        <v>43195</v>
      </c>
      <c r="AT914" s="1" t="s">
        <v>3499</v>
      </c>
      <c r="AU914" s="211"/>
    </row>
    <row r="915" spans="1:47" ht="204" x14ac:dyDescent="0.2">
      <c r="A915" s="1">
        <v>425</v>
      </c>
      <c r="B915" s="1" t="str">
        <f t="shared" si="79"/>
        <v>3075-425</v>
      </c>
      <c r="C915" s="99" t="s">
        <v>2294</v>
      </c>
      <c r="D915" s="100" t="s">
        <v>2295</v>
      </c>
      <c r="E915" s="100" t="s">
        <v>2327</v>
      </c>
      <c r="F915" s="99" t="s">
        <v>2328</v>
      </c>
      <c r="G915" s="101" t="s">
        <v>2329</v>
      </c>
      <c r="H915" s="102" t="s">
        <v>2330</v>
      </c>
      <c r="I915" s="100" t="s">
        <v>2300</v>
      </c>
      <c r="J915" s="100" t="s">
        <v>2336</v>
      </c>
      <c r="K915" s="100" t="s">
        <v>50</v>
      </c>
      <c r="L915" s="1" t="s">
        <v>2302</v>
      </c>
      <c r="M915" s="1" t="s">
        <v>493</v>
      </c>
      <c r="N915" s="1" t="s">
        <v>494</v>
      </c>
      <c r="O915" s="100" t="s">
        <v>2321</v>
      </c>
      <c r="P915" s="100" t="s">
        <v>3502</v>
      </c>
      <c r="Q915" s="103">
        <v>39062100</v>
      </c>
      <c r="R915" s="1">
        <v>1</v>
      </c>
      <c r="S915" s="104">
        <f t="shared" si="84"/>
        <v>39062100</v>
      </c>
      <c r="T915" s="1" t="s">
        <v>2323</v>
      </c>
      <c r="U915" s="1" t="s">
        <v>2323</v>
      </c>
      <c r="V915" s="31" t="s">
        <v>2211</v>
      </c>
      <c r="W915" s="105" t="s">
        <v>50</v>
      </c>
      <c r="X915" s="1" t="s">
        <v>3503</v>
      </c>
      <c r="Y915" s="111">
        <v>43195</v>
      </c>
      <c r="Z915" s="106">
        <v>39062100</v>
      </c>
      <c r="AA915" s="107" t="s">
        <v>3287</v>
      </c>
      <c r="AB915" s="20">
        <v>772</v>
      </c>
      <c r="AC915" s="31">
        <v>43201</v>
      </c>
      <c r="AD915" s="108">
        <v>39062100</v>
      </c>
      <c r="AE915" s="109">
        <f t="shared" si="83"/>
        <v>0</v>
      </c>
      <c r="AF915" s="20">
        <v>1855</v>
      </c>
      <c r="AG915" s="31">
        <v>43224</v>
      </c>
      <c r="AH915" s="108">
        <v>39062100</v>
      </c>
      <c r="AI915" s="1" t="s">
        <v>3504</v>
      </c>
      <c r="AJ915" s="1">
        <v>1969</v>
      </c>
      <c r="AK915" s="109">
        <f t="shared" si="80"/>
        <v>0</v>
      </c>
      <c r="AL915" s="108">
        <v>0</v>
      </c>
      <c r="AM915" s="108">
        <f t="shared" si="81"/>
        <v>39062100</v>
      </c>
      <c r="AN915" s="1" t="s">
        <v>2308</v>
      </c>
      <c r="AO915" s="108">
        <f t="shared" si="82"/>
        <v>0</v>
      </c>
      <c r="AP915" s="1"/>
      <c r="AQ915" s="31">
        <v>43195</v>
      </c>
      <c r="AR915" s="1" t="s">
        <v>3256</v>
      </c>
      <c r="AS915" s="31">
        <v>43195</v>
      </c>
      <c r="AT915" s="1" t="s">
        <v>3502</v>
      </c>
      <c r="AU915" s="211"/>
    </row>
    <row r="916" spans="1:47" ht="165.75" x14ac:dyDescent="0.2">
      <c r="A916" s="1">
        <v>426</v>
      </c>
      <c r="B916" s="1" t="str">
        <f t="shared" si="79"/>
        <v>3075-426</v>
      </c>
      <c r="C916" s="99" t="s">
        <v>2294</v>
      </c>
      <c r="D916" s="100" t="s">
        <v>2295</v>
      </c>
      <c r="E916" s="100" t="s">
        <v>2327</v>
      </c>
      <c r="F916" s="99" t="s">
        <v>2328</v>
      </c>
      <c r="G916" s="101" t="s">
        <v>2329</v>
      </c>
      <c r="H916" s="102" t="s">
        <v>2330</v>
      </c>
      <c r="I916" s="100" t="s">
        <v>2300</v>
      </c>
      <c r="J916" s="100" t="s">
        <v>2336</v>
      </c>
      <c r="K916" s="100" t="s">
        <v>50</v>
      </c>
      <c r="L916" s="1" t="s">
        <v>2302</v>
      </c>
      <c r="M916" s="1" t="s">
        <v>493</v>
      </c>
      <c r="N916" s="1" t="s">
        <v>494</v>
      </c>
      <c r="O916" s="100" t="s">
        <v>2321</v>
      </c>
      <c r="P916" s="100" t="s">
        <v>3505</v>
      </c>
      <c r="Q916" s="103">
        <v>39062100</v>
      </c>
      <c r="R916" s="1">
        <v>1</v>
      </c>
      <c r="S916" s="104">
        <f t="shared" si="84"/>
        <v>39062100</v>
      </c>
      <c r="T916" s="1" t="s">
        <v>2323</v>
      </c>
      <c r="U916" s="1" t="s">
        <v>2323</v>
      </c>
      <c r="V916" s="31" t="s">
        <v>2211</v>
      </c>
      <c r="W916" s="105" t="s">
        <v>50</v>
      </c>
      <c r="X916" s="1" t="s">
        <v>3506</v>
      </c>
      <c r="Y916" s="111">
        <v>43195</v>
      </c>
      <c r="Z916" s="106">
        <v>39062100</v>
      </c>
      <c r="AA916" s="107" t="s">
        <v>3287</v>
      </c>
      <c r="AB916" s="20">
        <v>771</v>
      </c>
      <c r="AC916" s="31">
        <v>43201</v>
      </c>
      <c r="AD916" s="108">
        <v>39062100</v>
      </c>
      <c r="AE916" s="109">
        <f t="shared" si="83"/>
        <v>0</v>
      </c>
      <c r="AF916" s="20">
        <v>1862</v>
      </c>
      <c r="AG916" s="31">
        <v>43227</v>
      </c>
      <c r="AH916" s="108">
        <v>39062100</v>
      </c>
      <c r="AI916" s="1" t="s">
        <v>3507</v>
      </c>
      <c r="AJ916" s="1">
        <v>2004</v>
      </c>
      <c r="AK916" s="109">
        <f t="shared" si="80"/>
        <v>0</v>
      </c>
      <c r="AL916" s="108">
        <v>0</v>
      </c>
      <c r="AM916" s="108">
        <f t="shared" si="81"/>
        <v>39062100</v>
      </c>
      <c r="AN916" s="1" t="s">
        <v>2308</v>
      </c>
      <c r="AO916" s="108">
        <f t="shared" si="82"/>
        <v>0</v>
      </c>
      <c r="AP916" s="1"/>
      <c r="AQ916" s="31">
        <v>43195</v>
      </c>
      <c r="AR916" s="1" t="s">
        <v>3256</v>
      </c>
      <c r="AS916" s="31">
        <v>43195</v>
      </c>
      <c r="AT916" s="1" t="s">
        <v>3505</v>
      </c>
      <c r="AU916" s="211"/>
    </row>
    <row r="917" spans="1:47" ht="216.75" x14ac:dyDescent="0.2">
      <c r="A917" s="1">
        <v>427</v>
      </c>
      <c r="B917" s="1" t="str">
        <f t="shared" si="79"/>
        <v>3075-427</v>
      </c>
      <c r="C917" s="99" t="s">
        <v>2294</v>
      </c>
      <c r="D917" s="100" t="s">
        <v>2295</v>
      </c>
      <c r="E917" s="100" t="s">
        <v>2327</v>
      </c>
      <c r="F917" s="99" t="s">
        <v>2328</v>
      </c>
      <c r="G917" s="101" t="s">
        <v>2329</v>
      </c>
      <c r="H917" s="102" t="s">
        <v>2330</v>
      </c>
      <c r="I917" s="100" t="s">
        <v>2300</v>
      </c>
      <c r="J917" s="100" t="s">
        <v>2336</v>
      </c>
      <c r="K917" s="100" t="s">
        <v>50</v>
      </c>
      <c r="L917" s="1" t="s">
        <v>2302</v>
      </c>
      <c r="M917" s="1" t="s">
        <v>493</v>
      </c>
      <c r="N917" s="1" t="s">
        <v>494</v>
      </c>
      <c r="O917" s="100" t="s">
        <v>2321</v>
      </c>
      <c r="P917" s="100" t="s">
        <v>3508</v>
      </c>
      <c r="Q917" s="103">
        <v>69667715</v>
      </c>
      <c r="R917" s="1">
        <v>1</v>
      </c>
      <c r="S917" s="104">
        <f t="shared" si="84"/>
        <v>69667715</v>
      </c>
      <c r="T917" s="1" t="s">
        <v>2323</v>
      </c>
      <c r="U917" s="1" t="s">
        <v>2323</v>
      </c>
      <c r="V917" s="31" t="s">
        <v>632</v>
      </c>
      <c r="W917" s="105" t="s">
        <v>50</v>
      </c>
      <c r="X917" s="1" t="s">
        <v>3509</v>
      </c>
      <c r="Y917" s="111">
        <v>43202</v>
      </c>
      <c r="Z917" s="106">
        <v>69667715</v>
      </c>
      <c r="AA917" s="107" t="s">
        <v>2339</v>
      </c>
      <c r="AB917" s="20">
        <v>782</v>
      </c>
      <c r="AC917" s="31">
        <v>43203</v>
      </c>
      <c r="AD917" s="108">
        <v>69667715</v>
      </c>
      <c r="AE917" s="109">
        <f t="shared" si="83"/>
        <v>0</v>
      </c>
      <c r="AF917" s="20">
        <v>2438</v>
      </c>
      <c r="AG917" s="31">
        <v>43286</v>
      </c>
      <c r="AH917" s="108">
        <v>69667715</v>
      </c>
      <c r="AI917" s="1" t="s">
        <v>3510</v>
      </c>
      <c r="AJ917" s="1">
        <v>2833</v>
      </c>
      <c r="AK917" s="109">
        <f t="shared" si="80"/>
        <v>0</v>
      </c>
      <c r="AL917" s="108">
        <v>0</v>
      </c>
      <c r="AM917" s="108">
        <f t="shared" si="81"/>
        <v>69667715</v>
      </c>
      <c r="AN917" s="1" t="s">
        <v>2308</v>
      </c>
      <c r="AO917" s="108">
        <f t="shared" si="82"/>
        <v>0</v>
      </c>
      <c r="AP917" s="1"/>
      <c r="AQ917" s="31">
        <v>43201</v>
      </c>
      <c r="AR917" s="1" t="s">
        <v>3256</v>
      </c>
      <c r="AS917" s="31">
        <v>43202</v>
      </c>
      <c r="AT917" s="1" t="s">
        <v>3508</v>
      </c>
      <c r="AU917" s="211"/>
    </row>
    <row r="918" spans="1:47" ht="153" x14ac:dyDescent="0.2">
      <c r="A918" s="1">
        <v>428</v>
      </c>
      <c r="B918" s="1" t="str">
        <f t="shared" si="79"/>
        <v>3075-428</v>
      </c>
      <c r="C918" s="99" t="s">
        <v>2294</v>
      </c>
      <c r="D918" s="100" t="s">
        <v>2295</v>
      </c>
      <c r="E918" s="99" t="s">
        <v>2317</v>
      </c>
      <c r="F918" s="99" t="s">
        <v>2318</v>
      </c>
      <c r="G918" s="101" t="s">
        <v>2319</v>
      </c>
      <c r="H918" s="102" t="s">
        <v>2320</v>
      </c>
      <c r="I918" s="100" t="s">
        <v>2300</v>
      </c>
      <c r="J918" s="100" t="s">
        <v>2301</v>
      </c>
      <c r="K918" s="100" t="s">
        <v>50</v>
      </c>
      <c r="L918" s="1" t="s">
        <v>2302</v>
      </c>
      <c r="M918" s="1" t="s">
        <v>493</v>
      </c>
      <c r="N918" s="1" t="s">
        <v>494</v>
      </c>
      <c r="O918" s="100" t="s">
        <v>2321</v>
      </c>
      <c r="P918" s="112" t="s">
        <v>3511</v>
      </c>
      <c r="Q918" s="103">
        <v>4536000</v>
      </c>
      <c r="R918" s="1">
        <v>1</v>
      </c>
      <c r="S918" s="104">
        <f t="shared" si="84"/>
        <v>4536000</v>
      </c>
      <c r="T918" s="1" t="s">
        <v>2323</v>
      </c>
      <c r="U918" s="1" t="s">
        <v>2323</v>
      </c>
      <c r="V918" s="31" t="s">
        <v>2211</v>
      </c>
      <c r="W918" s="105" t="s">
        <v>50</v>
      </c>
      <c r="X918" s="1" t="s">
        <v>3512</v>
      </c>
      <c r="Y918" s="111">
        <v>43202</v>
      </c>
      <c r="Z918" s="106">
        <v>4536000</v>
      </c>
      <c r="AA918" s="107" t="s">
        <v>2929</v>
      </c>
      <c r="AB918" s="20">
        <v>783</v>
      </c>
      <c r="AC918" s="31">
        <v>43203</v>
      </c>
      <c r="AD918" s="108">
        <v>4536000</v>
      </c>
      <c r="AE918" s="109">
        <f t="shared" si="83"/>
        <v>0</v>
      </c>
      <c r="AF918" s="20">
        <v>1861</v>
      </c>
      <c r="AG918" s="31">
        <v>43227</v>
      </c>
      <c r="AH918" s="108">
        <v>4536000</v>
      </c>
      <c r="AI918" s="1" t="s">
        <v>3513</v>
      </c>
      <c r="AJ918" s="1">
        <v>2009</v>
      </c>
      <c r="AK918" s="109">
        <f t="shared" si="80"/>
        <v>0</v>
      </c>
      <c r="AL918" s="108">
        <v>0</v>
      </c>
      <c r="AM918" s="108">
        <f t="shared" si="81"/>
        <v>4536000</v>
      </c>
      <c r="AN918" s="1" t="s">
        <v>2308</v>
      </c>
      <c r="AO918" s="108">
        <f t="shared" si="82"/>
        <v>0</v>
      </c>
      <c r="AP918" s="1"/>
      <c r="AQ918" s="31">
        <v>43201</v>
      </c>
      <c r="AR918" s="1" t="s">
        <v>3256</v>
      </c>
      <c r="AS918" s="31">
        <v>43202</v>
      </c>
      <c r="AT918" s="1" t="s">
        <v>3511</v>
      </c>
      <c r="AU918" s="211"/>
    </row>
    <row r="919" spans="1:47" ht="153" x14ac:dyDescent="0.2">
      <c r="A919" s="1">
        <v>429</v>
      </c>
      <c r="B919" s="1" t="str">
        <f t="shared" si="79"/>
        <v>3075-429</v>
      </c>
      <c r="C919" s="99" t="s">
        <v>2294</v>
      </c>
      <c r="D919" s="100" t="s">
        <v>2295</v>
      </c>
      <c r="E919" s="99" t="s">
        <v>2317</v>
      </c>
      <c r="F919" s="99" t="s">
        <v>2318</v>
      </c>
      <c r="G919" s="101" t="s">
        <v>2319</v>
      </c>
      <c r="H919" s="102" t="s">
        <v>2320</v>
      </c>
      <c r="I919" s="100" t="s">
        <v>2300</v>
      </c>
      <c r="J919" s="100" t="s">
        <v>2301</v>
      </c>
      <c r="K919" s="100" t="s">
        <v>50</v>
      </c>
      <c r="L919" s="1" t="s">
        <v>2302</v>
      </c>
      <c r="M919" s="1" t="s">
        <v>493</v>
      </c>
      <c r="N919" s="1" t="s">
        <v>494</v>
      </c>
      <c r="O919" s="100" t="s">
        <v>2321</v>
      </c>
      <c r="P919" s="112" t="s">
        <v>3514</v>
      </c>
      <c r="Q919" s="103">
        <v>95276430</v>
      </c>
      <c r="R919" s="1">
        <v>1</v>
      </c>
      <c r="S919" s="104">
        <f t="shared" si="84"/>
        <v>95276430</v>
      </c>
      <c r="T919" s="1" t="s">
        <v>2323</v>
      </c>
      <c r="U919" s="1" t="s">
        <v>2323</v>
      </c>
      <c r="V919" s="31" t="s">
        <v>2211</v>
      </c>
      <c r="W919" s="105" t="s">
        <v>50</v>
      </c>
      <c r="X919" s="1" t="s">
        <v>3515</v>
      </c>
      <c r="Y919" s="111">
        <v>43202</v>
      </c>
      <c r="Z919" s="106">
        <v>95276430</v>
      </c>
      <c r="AA919" s="107" t="s">
        <v>2929</v>
      </c>
      <c r="AB919" s="20">
        <v>784</v>
      </c>
      <c r="AC919" s="31">
        <v>43203</v>
      </c>
      <c r="AD919" s="108">
        <v>95276430</v>
      </c>
      <c r="AE919" s="109">
        <f t="shared" si="83"/>
        <v>0</v>
      </c>
      <c r="AF919" s="20">
        <v>1860</v>
      </c>
      <c r="AG919" s="31">
        <v>43227</v>
      </c>
      <c r="AH919" s="108">
        <v>95276430</v>
      </c>
      <c r="AI919" s="1" t="s">
        <v>3516</v>
      </c>
      <c r="AJ919" s="1">
        <v>2005</v>
      </c>
      <c r="AK919" s="109">
        <f t="shared" si="80"/>
        <v>0</v>
      </c>
      <c r="AL919" s="108">
        <v>28582929</v>
      </c>
      <c r="AM919" s="108">
        <f t="shared" si="81"/>
        <v>66693501</v>
      </c>
      <c r="AN919" s="1" t="s">
        <v>2308</v>
      </c>
      <c r="AO919" s="108">
        <f t="shared" si="82"/>
        <v>0</v>
      </c>
      <c r="AP919" s="1"/>
      <c r="AQ919" s="31">
        <v>43201</v>
      </c>
      <c r="AR919" s="1" t="s">
        <v>3256</v>
      </c>
      <c r="AS919" s="31">
        <v>43202</v>
      </c>
      <c r="AT919" s="1" t="s">
        <v>3517</v>
      </c>
      <c r="AU919" s="211"/>
    </row>
    <row r="920" spans="1:47" ht="178.5" x14ac:dyDescent="0.2">
      <c r="A920" s="1">
        <v>430</v>
      </c>
      <c r="B920" s="1" t="str">
        <f t="shared" si="79"/>
        <v>3075-430</v>
      </c>
      <c r="C920" s="99" t="s">
        <v>2294</v>
      </c>
      <c r="D920" s="100" t="s">
        <v>2295</v>
      </c>
      <c r="E920" s="99" t="s">
        <v>2317</v>
      </c>
      <c r="F920" s="99" t="s">
        <v>2318</v>
      </c>
      <c r="G920" s="101" t="s">
        <v>2319</v>
      </c>
      <c r="H920" s="102" t="s">
        <v>2320</v>
      </c>
      <c r="I920" s="100" t="s">
        <v>2300</v>
      </c>
      <c r="J920" s="100" t="s">
        <v>2301</v>
      </c>
      <c r="K920" s="100" t="s">
        <v>50</v>
      </c>
      <c r="L920" s="1" t="s">
        <v>2302</v>
      </c>
      <c r="M920" s="1" t="s">
        <v>493</v>
      </c>
      <c r="N920" s="1" t="s">
        <v>494</v>
      </c>
      <c r="O920" s="100" t="s">
        <v>2321</v>
      </c>
      <c r="P920" s="112" t="s">
        <v>3518</v>
      </c>
      <c r="Q920" s="103">
        <v>7733250</v>
      </c>
      <c r="R920" s="1">
        <v>1</v>
      </c>
      <c r="S920" s="104">
        <f t="shared" si="84"/>
        <v>7733250</v>
      </c>
      <c r="T920" s="1" t="s">
        <v>2323</v>
      </c>
      <c r="U920" s="1" t="s">
        <v>2323</v>
      </c>
      <c r="V920" s="31" t="s">
        <v>2211</v>
      </c>
      <c r="W920" s="105" t="s">
        <v>50</v>
      </c>
      <c r="X920" s="1" t="s">
        <v>3519</v>
      </c>
      <c r="Y920" s="111">
        <v>43202</v>
      </c>
      <c r="Z920" s="106">
        <v>7733250</v>
      </c>
      <c r="AA920" s="107" t="s">
        <v>2929</v>
      </c>
      <c r="AB920" s="20">
        <v>785</v>
      </c>
      <c r="AC920" s="31">
        <v>43203</v>
      </c>
      <c r="AD920" s="108">
        <v>7733250</v>
      </c>
      <c r="AE920" s="109">
        <f t="shared" si="83"/>
        <v>0</v>
      </c>
      <c r="AF920" s="20">
        <v>1937</v>
      </c>
      <c r="AG920" s="31">
        <v>43242</v>
      </c>
      <c r="AH920" s="108">
        <v>7733250</v>
      </c>
      <c r="AI920" s="1" t="s">
        <v>3520</v>
      </c>
      <c r="AJ920" s="1">
        <v>2080</v>
      </c>
      <c r="AK920" s="109">
        <f t="shared" si="80"/>
        <v>0</v>
      </c>
      <c r="AL920" s="108">
        <v>7733250</v>
      </c>
      <c r="AM920" s="108">
        <f t="shared" si="81"/>
        <v>0</v>
      </c>
      <c r="AN920" s="1" t="s">
        <v>2308</v>
      </c>
      <c r="AO920" s="108">
        <f t="shared" si="82"/>
        <v>0</v>
      </c>
      <c r="AP920" s="1"/>
      <c r="AQ920" s="31">
        <v>43201</v>
      </c>
      <c r="AR920" s="1" t="s">
        <v>3256</v>
      </c>
      <c r="AS920" s="31">
        <v>43202</v>
      </c>
      <c r="AT920" s="1" t="s">
        <v>3518</v>
      </c>
      <c r="AU920" s="211"/>
    </row>
    <row r="921" spans="1:47" ht="165.75" x14ac:dyDescent="0.2">
      <c r="A921" s="1">
        <v>431</v>
      </c>
      <c r="B921" s="1" t="str">
        <f t="shared" si="79"/>
        <v>3075-431</v>
      </c>
      <c r="C921" s="99" t="s">
        <v>2294</v>
      </c>
      <c r="D921" s="100" t="s">
        <v>2295</v>
      </c>
      <c r="E921" s="100" t="s">
        <v>2327</v>
      </c>
      <c r="F921" s="99" t="s">
        <v>2328</v>
      </c>
      <c r="G921" s="101" t="s">
        <v>2329</v>
      </c>
      <c r="H921" s="102" t="s">
        <v>2330</v>
      </c>
      <c r="I921" s="100" t="s">
        <v>2300</v>
      </c>
      <c r="J921" s="100" t="s">
        <v>2336</v>
      </c>
      <c r="K921" s="100" t="s">
        <v>50</v>
      </c>
      <c r="L921" s="1" t="s">
        <v>2302</v>
      </c>
      <c r="M921" s="1" t="s">
        <v>493</v>
      </c>
      <c r="N921" s="1" t="s">
        <v>494</v>
      </c>
      <c r="O921" s="100" t="s">
        <v>2321</v>
      </c>
      <c r="P921" s="100" t="s">
        <v>3521</v>
      </c>
      <c r="Q921" s="103">
        <v>39062100</v>
      </c>
      <c r="R921" s="1">
        <v>1</v>
      </c>
      <c r="S921" s="104">
        <f t="shared" si="84"/>
        <v>39062100</v>
      </c>
      <c r="T921" s="1" t="s">
        <v>2323</v>
      </c>
      <c r="U921" s="1" t="s">
        <v>2323</v>
      </c>
      <c r="V921" s="31" t="s">
        <v>2211</v>
      </c>
      <c r="W921" s="105" t="s">
        <v>50</v>
      </c>
      <c r="X921" s="1" t="s">
        <v>3522</v>
      </c>
      <c r="Y921" s="111">
        <v>43202</v>
      </c>
      <c r="Z921" s="106">
        <v>39062100</v>
      </c>
      <c r="AA921" s="107" t="s">
        <v>2339</v>
      </c>
      <c r="AB921" s="20">
        <v>777</v>
      </c>
      <c r="AC921" s="31">
        <v>43203</v>
      </c>
      <c r="AD921" s="108">
        <v>39062100</v>
      </c>
      <c r="AE921" s="109">
        <f t="shared" si="83"/>
        <v>0</v>
      </c>
      <c r="AF921" s="20">
        <v>1915</v>
      </c>
      <c r="AG921" s="31">
        <v>43237</v>
      </c>
      <c r="AH921" s="108">
        <v>39062100</v>
      </c>
      <c r="AI921" s="1" t="s">
        <v>3523</v>
      </c>
      <c r="AJ921" s="1">
        <v>2069</v>
      </c>
      <c r="AK921" s="109">
        <f t="shared" si="80"/>
        <v>0</v>
      </c>
      <c r="AL921" s="108">
        <v>0</v>
      </c>
      <c r="AM921" s="108">
        <f t="shared" si="81"/>
        <v>39062100</v>
      </c>
      <c r="AN921" s="1" t="s">
        <v>2308</v>
      </c>
      <c r="AO921" s="108">
        <f t="shared" si="82"/>
        <v>0</v>
      </c>
      <c r="AP921" s="1"/>
      <c r="AQ921" s="31">
        <v>43201</v>
      </c>
      <c r="AR921" s="1" t="s">
        <v>3256</v>
      </c>
      <c r="AS921" s="31">
        <v>43202</v>
      </c>
      <c r="AT921" s="1" t="s">
        <v>3521</v>
      </c>
      <c r="AU921" s="211"/>
    </row>
    <row r="922" spans="1:47" ht="178.5" x14ac:dyDescent="0.2">
      <c r="A922" s="1">
        <v>432</v>
      </c>
      <c r="B922" s="1" t="str">
        <f t="shared" si="79"/>
        <v>3075-432</v>
      </c>
      <c r="C922" s="99" t="s">
        <v>2294</v>
      </c>
      <c r="D922" s="100" t="s">
        <v>2295</v>
      </c>
      <c r="E922" s="99" t="s">
        <v>2317</v>
      </c>
      <c r="F922" s="99" t="s">
        <v>2318</v>
      </c>
      <c r="G922" s="101" t="s">
        <v>2319</v>
      </c>
      <c r="H922" s="102" t="s">
        <v>2320</v>
      </c>
      <c r="I922" s="100" t="s">
        <v>2300</v>
      </c>
      <c r="J922" s="100" t="s">
        <v>2301</v>
      </c>
      <c r="K922" s="100" t="s">
        <v>50</v>
      </c>
      <c r="L922" s="1" t="s">
        <v>2302</v>
      </c>
      <c r="M922" s="1" t="s">
        <v>493</v>
      </c>
      <c r="N922" s="1" t="s">
        <v>494</v>
      </c>
      <c r="O922" s="100" t="s">
        <v>2321</v>
      </c>
      <c r="P922" s="112" t="s">
        <v>3524</v>
      </c>
      <c r="Q922" s="103">
        <v>7392000</v>
      </c>
      <c r="R922" s="1">
        <v>1</v>
      </c>
      <c r="S922" s="104">
        <f t="shared" si="84"/>
        <v>7392000</v>
      </c>
      <c r="T922" s="1" t="s">
        <v>2323</v>
      </c>
      <c r="U922" s="1" t="s">
        <v>2323</v>
      </c>
      <c r="V922" s="31" t="s">
        <v>2211</v>
      </c>
      <c r="W922" s="105" t="s">
        <v>50</v>
      </c>
      <c r="X922" s="1" t="s">
        <v>3525</v>
      </c>
      <c r="Y922" s="111">
        <v>43202</v>
      </c>
      <c r="Z922" s="106">
        <v>7392000</v>
      </c>
      <c r="AA922" s="107" t="s">
        <v>2929</v>
      </c>
      <c r="AB922" s="20">
        <v>778</v>
      </c>
      <c r="AC922" s="31">
        <v>43203</v>
      </c>
      <c r="AD922" s="108">
        <v>7392000</v>
      </c>
      <c r="AE922" s="109">
        <f t="shared" si="83"/>
        <v>0</v>
      </c>
      <c r="AF922" s="20">
        <v>1857</v>
      </c>
      <c r="AG922" s="31">
        <v>43227</v>
      </c>
      <c r="AH922" s="108">
        <v>7392000</v>
      </c>
      <c r="AI922" s="1" t="s">
        <v>3526</v>
      </c>
      <c r="AJ922" s="1">
        <v>2008</v>
      </c>
      <c r="AK922" s="109">
        <f t="shared" si="80"/>
        <v>0</v>
      </c>
      <c r="AL922" s="108">
        <v>0</v>
      </c>
      <c r="AM922" s="108">
        <f t="shared" si="81"/>
        <v>7392000</v>
      </c>
      <c r="AN922" s="1" t="s">
        <v>2308</v>
      </c>
      <c r="AO922" s="108">
        <f t="shared" si="82"/>
        <v>0</v>
      </c>
      <c r="AP922" s="1"/>
      <c r="AQ922" s="31">
        <v>43201</v>
      </c>
      <c r="AR922" s="1" t="s">
        <v>3256</v>
      </c>
      <c r="AS922" s="31">
        <v>43202</v>
      </c>
      <c r="AT922" s="1" t="s">
        <v>3524</v>
      </c>
      <c r="AU922" s="211"/>
    </row>
    <row r="923" spans="1:47" ht="191.25" x14ac:dyDescent="0.2">
      <c r="A923" s="1">
        <v>433</v>
      </c>
      <c r="B923" s="1" t="str">
        <f t="shared" si="79"/>
        <v>3075-433</v>
      </c>
      <c r="C923" s="99" t="s">
        <v>2294</v>
      </c>
      <c r="D923" s="100" t="s">
        <v>2295</v>
      </c>
      <c r="E923" s="100" t="s">
        <v>2327</v>
      </c>
      <c r="F923" s="99" t="s">
        <v>2328</v>
      </c>
      <c r="G923" s="101" t="s">
        <v>2329</v>
      </c>
      <c r="H923" s="102" t="s">
        <v>2330</v>
      </c>
      <c r="I923" s="100" t="s">
        <v>2300</v>
      </c>
      <c r="J923" s="100" t="s">
        <v>2336</v>
      </c>
      <c r="K923" s="100" t="s">
        <v>50</v>
      </c>
      <c r="L923" s="1" t="s">
        <v>2302</v>
      </c>
      <c r="M923" s="1" t="s">
        <v>493</v>
      </c>
      <c r="N923" s="1" t="s">
        <v>494</v>
      </c>
      <c r="O923" s="100" t="s">
        <v>2321</v>
      </c>
      <c r="P923" s="100" t="s">
        <v>3527</v>
      </c>
      <c r="Q923" s="103">
        <v>62779330</v>
      </c>
      <c r="R923" s="1">
        <v>1</v>
      </c>
      <c r="S923" s="104">
        <f t="shared" si="84"/>
        <v>62779330</v>
      </c>
      <c r="T923" s="1" t="s">
        <v>2323</v>
      </c>
      <c r="U923" s="1" t="s">
        <v>2323</v>
      </c>
      <c r="V923" s="31" t="s">
        <v>2211</v>
      </c>
      <c r="W923" s="105" t="s">
        <v>50</v>
      </c>
      <c r="X923" s="1" t="s">
        <v>3528</v>
      </c>
      <c r="Y923" s="111">
        <v>43202</v>
      </c>
      <c r="Z923" s="106">
        <v>62779330</v>
      </c>
      <c r="AA923" s="107" t="s">
        <v>2339</v>
      </c>
      <c r="AB923" s="20">
        <v>779</v>
      </c>
      <c r="AC923" s="31">
        <v>43203</v>
      </c>
      <c r="AD923" s="108">
        <v>62779330</v>
      </c>
      <c r="AE923" s="109">
        <f t="shared" si="83"/>
        <v>0</v>
      </c>
      <c r="AF923" s="20">
        <v>1935</v>
      </c>
      <c r="AG923" s="31">
        <v>43242</v>
      </c>
      <c r="AH923" s="108">
        <v>62779330</v>
      </c>
      <c r="AI923" s="1" t="s">
        <v>3529</v>
      </c>
      <c r="AJ923" s="1">
        <v>2083</v>
      </c>
      <c r="AK923" s="109">
        <f t="shared" si="80"/>
        <v>0</v>
      </c>
      <c r="AL923" s="108">
        <v>0</v>
      </c>
      <c r="AM923" s="108">
        <f t="shared" si="81"/>
        <v>62779330</v>
      </c>
      <c r="AN923" s="1" t="s">
        <v>2308</v>
      </c>
      <c r="AO923" s="108">
        <f t="shared" si="82"/>
        <v>0</v>
      </c>
      <c r="AP923" s="1"/>
      <c r="AQ923" s="31">
        <v>43201</v>
      </c>
      <c r="AR923" s="1" t="s">
        <v>3256</v>
      </c>
      <c r="AS923" s="31">
        <v>43202</v>
      </c>
      <c r="AT923" s="1" t="s">
        <v>3527</v>
      </c>
      <c r="AU923" s="211"/>
    </row>
    <row r="924" spans="1:47" ht="178.5" x14ac:dyDescent="0.2">
      <c r="A924" s="1">
        <v>434</v>
      </c>
      <c r="B924" s="1" t="str">
        <f t="shared" si="79"/>
        <v>3075-434</v>
      </c>
      <c r="C924" s="99" t="s">
        <v>2294</v>
      </c>
      <c r="D924" s="100" t="s">
        <v>2295</v>
      </c>
      <c r="E924" s="100" t="s">
        <v>2327</v>
      </c>
      <c r="F924" s="99" t="s">
        <v>2328</v>
      </c>
      <c r="G924" s="101" t="s">
        <v>2329</v>
      </c>
      <c r="H924" s="102" t="s">
        <v>2330</v>
      </c>
      <c r="I924" s="100" t="s">
        <v>2300</v>
      </c>
      <c r="J924" s="100" t="s">
        <v>2336</v>
      </c>
      <c r="K924" s="100" t="s">
        <v>50</v>
      </c>
      <c r="L924" s="1" t="s">
        <v>2302</v>
      </c>
      <c r="M924" s="1" t="s">
        <v>493</v>
      </c>
      <c r="N924" s="1" t="s">
        <v>494</v>
      </c>
      <c r="O924" s="100" t="s">
        <v>2321</v>
      </c>
      <c r="P924" s="100" t="s">
        <v>3530</v>
      </c>
      <c r="Q924" s="103">
        <v>39062100</v>
      </c>
      <c r="R924" s="1">
        <v>1</v>
      </c>
      <c r="S924" s="104">
        <f t="shared" si="84"/>
        <v>39062100</v>
      </c>
      <c r="T924" s="1" t="s">
        <v>2323</v>
      </c>
      <c r="U924" s="1" t="s">
        <v>2323</v>
      </c>
      <c r="V924" s="31" t="s">
        <v>507</v>
      </c>
      <c r="W924" s="105" t="s">
        <v>50</v>
      </c>
      <c r="X924" s="1" t="s">
        <v>3531</v>
      </c>
      <c r="Y924" s="111">
        <v>43202</v>
      </c>
      <c r="Z924" s="106">
        <v>39062100</v>
      </c>
      <c r="AA924" s="107" t="s">
        <v>2339</v>
      </c>
      <c r="AB924" s="20">
        <v>786</v>
      </c>
      <c r="AC924" s="31">
        <v>43203</v>
      </c>
      <c r="AD924" s="108">
        <v>39062100</v>
      </c>
      <c r="AE924" s="109">
        <f t="shared" si="83"/>
        <v>0</v>
      </c>
      <c r="AF924" s="20">
        <v>1846</v>
      </c>
      <c r="AG924" s="31">
        <v>43216</v>
      </c>
      <c r="AH924" s="108">
        <v>39062100</v>
      </c>
      <c r="AI924" s="1" t="s">
        <v>3532</v>
      </c>
      <c r="AJ924" s="1">
        <v>1933</v>
      </c>
      <c r="AK924" s="109">
        <f t="shared" si="80"/>
        <v>0</v>
      </c>
      <c r="AL924" s="108">
        <v>0</v>
      </c>
      <c r="AM924" s="108">
        <f t="shared" si="81"/>
        <v>39062100</v>
      </c>
      <c r="AN924" s="1" t="s">
        <v>2308</v>
      </c>
      <c r="AO924" s="108">
        <f t="shared" si="82"/>
        <v>0</v>
      </c>
      <c r="AP924" s="1"/>
      <c r="AQ924" s="31">
        <v>43201</v>
      </c>
      <c r="AR924" s="1" t="s">
        <v>3256</v>
      </c>
      <c r="AS924" s="31">
        <v>43202</v>
      </c>
      <c r="AT924" s="1" t="s">
        <v>3530</v>
      </c>
      <c r="AU924" s="211"/>
    </row>
    <row r="925" spans="1:47" ht="165.75" x14ac:dyDescent="0.2">
      <c r="A925" s="1">
        <v>435</v>
      </c>
      <c r="B925" s="1" t="str">
        <f t="shared" si="79"/>
        <v>3075-435</v>
      </c>
      <c r="C925" s="99" t="s">
        <v>2294</v>
      </c>
      <c r="D925" s="100" t="s">
        <v>2295</v>
      </c>
      <c r="E925" s="99" t="s">
        <v>2317</v>
      </c>
      <c r="F925" s="99" t="s">
        <v>2318</v>
      </c>
      <c r="G925" s="101" t="s">
        <v>2319</v>
      </c>
      <c r="H925" s="102" t="s">
        <v>2320</v>
      </c>
      <c r="I925" s="100" t="s">
        <v>2300</v>
      </c>
      <c r="J925" s="100" t="s">
        <v>2301</v>
      </c>
      <c r="K925" s="100" t="s">
        <v>50</v>
      </c>
      <c r="L925" s="1" t="s">
        <v>2302</v>
      </c>
      <c r="M925" s="1" t="s">
        <v>493</v>
      </c>
      <c r="N925" s="1" t="s">
        <v>494</v>
      </c>
      <c r="O925" s="100" t="s">
        <v>2321</v>
      </c>
      <c r="P925" s="112" t="s">
        <v>3533</v>
      </c>
      <c r="Q925" s="103">
        <v>52944200</v>
      </c>
      <c r="R925" s="1">
        <v>1</v>
      </c>
      <c r="S925" s="104">
        <f t="shared" si="84"/>
        <v>52944200</v>
      </c>
      <c r="T925" s="1" t="s">
        <v>2323</v>
      </c>
      <c r="U925" s="1" t="s">
        <v>2323</v>
      </c>
      <c r="V925" s="31" t="s">
        <v>1352</v>
      </c>
      <c r="W925" s="105" t="s">
        <v>50</v>
      </c>
      <c r="X925" s="1" t="s">
        <v>3534</v>
      </c>
      <c r="Y925" s="111">
        <v>43202</v>
      </c>
      <c r="Z925" s="106">
        <v>52944200</v>
      </c>
      <c r="AA925" s="107" t="s">
        <v>3501</v>
      </c>
      <c r="AB925" s="20">
        <v>787</v>
      </c>
      <c r="AC925" s="31">
        <v>43203</v>
      </c>
      <c r="AD925" s="108">
        <v>52944200</v>
      </c>
      <c r="AE925" s="109">
        <f t="shared" si="83"/>
        <v>0</v>
      </c>
      <c r="AF925" s="20">
        <v>2024</v>
      </c>
      <c r="AG925" s="31">
        <v>43266</v>
      </c>
      <c r="AH925" s="108">
        <v>52944200</v>
      </c>
      <c r="AI925" s="1" t="s">
        <v>3535</v>
      </c>
      <c r="AJ925" s="1">
        <v>2220</v>
      </c>
      <c r="AK925" s="109">
        <f t="shared" si="80"/>
        <v>0</v>
      </c>
      <c r="AL925" s="108">
        <v>0</v>
      </c>
      <c r="AM925" s="108">
        <f t="shared" si="81"/>
        <v>52944200</v>
      </c>
      <c r="AN925" s="1" t="s">
        <v>2308</v>
      </c>
      <c r="AO925" s="108">
        <f t="shared" si="82"/>
        <v>0</v>
      </c>
      <c r="AP925" s="1"/>
      <c r="AQ925" s="31">
        <v>43201</v>
      </c>
      <c r="AR925" s="1" t="s">
        <v>3256</v>
      </c>
      <c r="AS925" s="31">
        <v>43202</v>
      </c>
      <c r="AT925" s="1" t="s">
        <v>3533</v>
      </c>
      <c r="AU925" s="211"/>
    </row>
    <row r="926" spans="1:47" ht="191.25" x14ac:dyDescent="0.2">
      <c r="A926" s="1">
        <v>436</v>
      </c>
      <c r="B926" s="1" t="str">
        <f t="shared" si="79"/>
        <v>3075-436</v>
      </c>
      <c r="C926" s="99" t="s">
        <v>2294</v>
      </c>
      <c r="D926" s="100" t="s">
        <v>2295</v>
      </c>
      <c r="E926" s="100" t="s">
        <v>2327</v>
      </c>
      <c r="F926" s="99" t="s">
        <v>2328</v>
      </c>
      <c r="G926" s="101" t="s">
        <v>2329</v>
      </c>
      <c r="H926" s="102" t="s">
        <v>2330</v>
      </c>
      <c r="I926" s="100" t="s">
        <v>2300</v>
      </c>
      <c r="J926" s="100" t="s">
        <v>2331</v>
      </c>
      <c r="K926" s="100" t="s">
        <v>50</v>
      </c>
      <c r="L926" s="1" t="s">
        <v>2302</v>
      </c>
      <c r="M926" s="1" t="s">
        <v>493</v>
      </c>
      <c r="N926" s="1" t="s">
        <v>494</v>
      </c>
      <c r="O926" s="100" t="s">
        <v>2321</v>
      </c>
      <c r="P926" s="100" t="s">
        <v>3536</v>
      </c>
      <c r="Q926" s="103">
        <v>8741700</v>
      </c>
      <c r="R926" s="1">
        <v>1</v>
      </c>
      <c r="S926" s="104">
        <f t="shared" si="84"/>
        <v>8741700</v>
      </c>
      <c r="T926" s="1" t="s">
        <v>2323</v>
      </c>
      <c r="U926" s="1" t="s">
        <v>2323</v>
      </c>
      <c r="V926" s="31" t="s">
        <v>2211</v>
      </c>
      <c r="W926" s="105" t="s">
        <v>50</v>
      </c>
      <c r="X926" s="1" t="s">
        <v>3537</v>
      </c>
      <c r="Y926" s="111">
        <v>43202</v>
      </c>
      <c r="Z926" s="106">
        <v>8741700</v>
      </c>
      <c r="AA926" s="107" t="s">
        <v>3172</v>
      </c>
      <c r="AB926" s="20">
        <v>780</v>
      </c>
      <c r="AC926" s="31">
        <v>43203</v>
      </c>
      <c r="AD926" s="108">
        <v>8741700</v>
      </c>
      <c r="AE926" s="109">
        <f t="shared" si="83"/>
        <v>0</v>
      </c>
      <c r="AF926" s="20">
        <v>1913</v>
      </c>
      <c r="AG926" s="31">
        <v>43237</v>
      </c>
      <c r="AH926" s="108">
        <v>8741700</v>
      </c>
      <c r="AI926" s="1" t="s">
        <v>3538</v>
      </c>
      <c r="AJ926" s="1">
        <v>2072</v>
      </c>
      <c r="AK926" s="109">
        <f t="shared" si="80"/>
        <v>0</v>
      </c>
      <c r="AL926" s="108">
        <v>0</v>
      </c>
      <c r="AM926" s="108">
        <f t="shared" si="81"/>
        <v>8741700</v>
      </c>
      <c r="AN926" s="1" t="s">
        <v>2308</v>
      </c>
      <c r="AO926" s="108">
        <f t="shared" si="82"/>
        <v>0</v>
      </c>
      <c r="AP926" s="1"/>
      <c r="AQ926" s="31">
        <v>43201</v>
      </c>
      <c r="AR926" s="1" t="s">
        <v>3256</v>
      </c>
      <c r="AS926" s="31">
        <v>43202</v>
      </c>
      <c r="AT926" s="1" t="s">
        <v>3536</v>
      </c>
      <c r="AU926" s="211"/>
    </row>
    <row r="927" spans="1:47" ht="204" x14ac:dyDescent="0.2">
      <c r="A927" s="1">
        <v>437</v>
      </c>
      <c r="B927" s="1" t="str">
        <f t="shared" si="79"/>
        <v>3075-437</v>
      </c>
      <c r="C927" s="99" t="s">
        <v>2294</v>
      </c>
      <c r="D927" s="100" t="s">
        <v>2295</v>
      </c>
      <c r="E927" s="100" t="s">
        <v>2327</v>
      </c>
      <c r="F927" s="99" t="s">
        <v>2328</v>
      </c>
      <c r="G927" s="101" t="s">
        <v>2329</v>
      </c>
      <c r="H927" s="102" t="s">
        <v>2330</v>
      </c>
      <c r="I927" s="100" t="s">
        <v>2300</v>
      </c>
      <c r="J927" s="100" t="s">
        <v>2331</v>
      </c>
      <c r="K927" s="100" t="s">
        <v>50</v>
      </c>
      <c r="L927" s="1" t="s">
        <v>2302</v>
      </c>
      <c r="M927" s="1" t="s">
        <v>493</v>
      </c>
      <c r="N927" s="1" t="s">
        <v>494</v>
      </c>
      <c r="O927" s="100" t="s">
        <v>2321</v>
      </c>
      <c r="P927" s="100" t="s">
        <v>3539</v>
      </c>
      <c r="Q927" s="103">
        <v>480610</v>
      </c>
      <c r="R927" s="1">
        <v>1</v>
      </c>
      <c r="S927" s="104">
        <f t="shared" si="84"/>
        <v>480610</v>
      </c>
      <c r="T927" s="1" t="s">
        <v>2323</v>
      </c>
      <c r="U927" s="1" t="s">
        <v>2323</v>
      </c>
      <c r="V927" s="31" t="s">
        <v>2211</v>
      </c>
      <c r="W927" s="105" t="s">
        <v>50</v>
      </c>
      <c r="X927" s="1" t="s">
        <v>3540</v>
      </c>
      <c r="Y927" s="111">
        <v>43202</v>
      </c>
      <c r="Z927" s="106">
        <v>480610</v>
      </c>
      <c r="AA927" s="107" t="s">
        <v>3172</v>
      </c>
      <c r="AB927" s="20">
        <v>781</v>
      </c>
      <c r="AC927" s="31">
        <v>43203</v>
      </c>
      <c r="AD927" s="108">
        <v>480610</v>
      </c>
      <c r="AE927" s="109">
        <f t="shared" si="83"/>
        <v>0</v>
      </c>
      <c r="AF927" s="20">
        <v>1933</v>
      </c>
      <c r="AG927" s="31">
        <v>43242</v>
      </c>
      <c r="AH927" s="108">
        <v>480610</v>
      </c>
      <c r="AI927" s="1" t="s">
        <v>3541</v>
      </c>
      <c r="AJ927" s="1">
        <v>2082</v>
      </c>
      <c r="AK927" s="109">
        <f t="shared" si="80"/>
        <v>0</v>
      </c>
      <c r="AL927" s="108">
        <v>0</v>
      </c>
      <c r="AM927" s="108">
        <f t="shared" si="81"/>
        <v>480610</v>
      </c>
      <c r="AN927" s="1" t="s">
        <v>2308</v>
      </c>
      <c r="AO927" s="108">
        <f t="shared" si="82"/>
        <v>0</v>
      </c>
      <c r="AP927" s="1"/>
      <c r="AQ927" s="31">
        <v>43201</v>
      </c>
      <c r="AR927" s="1" t="s">
        <v>3256</v>
      </c>
      <c r="AS927" s="31">
        <v>43202</v>
      </c>
      <c r="AT927" s="1" t="s">
        <v>3539</v>
      </c>
      <c r="AU927" s="211"/>
    </row>
    <row r="928" spans="1:47" ht="409.5" x14ac:dyDescent="0.2">
      <c r="A928" s="1">
        <v>438</v>
      </c>
      <c r="B928" s="1" t="str">
        <f t="shared" si="79"/>
        <v>3075-438</v>
      </c>
      <c r="C928" s="99" t="s">
        <v>2294</v>
      </c>
      <c r="D928" s="100" t="s">
        <v>2295</v>
      </c>
      <c r="E928" s="99" t="s">
        <v>2296</v>
      </c>
      <c r="F928" s="100" t="s">
        <v>2318</v>
      </c>
      <c r="G928" s="110" t="s">
        <v>2298</v>
      </c>
      <c r="H928" s="115" t="s">
        <v>3202</v>
      </c>
      <c r="I928" s="100" t="s">
        <v>2300</v>
      </c>
      <c r="J928" s="100" t="s">
        <v>2301</v>
      </c>
      <c r="K928" s="100" t="s">
        <v>50</v>
      </c>
      <c r="L928" s="1" t="s">
        <v>2302</v>
      </c>
      <c r="M928" s="1" t="s">
        <v>493</v>
      </c>
      <c r="N928" s="1" t="s">
        <v>494</v>
      </c>
      <c r="O928" s="100" t="s">
        <v>2353</v>
      </c>
      <c r="P928" s="100" t="s">
        <v>3542</v>
      </c>
      <c r="Q928" s="103">
        <v>406560</v>
      </c>
      <c r="R928" s="1">
        <v>1</v>
      </c>
      <c r="S928" s="104">
        <f t="shared" si="84"/>
        <v>406560</v>
      </c>
      <c r="T928" s="1" t="s">
        <v>2323</v>
      </c>
      <c r="U928" s="1" t="s">
        <v>2323</v>
      </c>
      <c r="V928" s="31" t="s">
        <v>507</v>
      </c>
      <c r="W928" s="105" t="s">
        <v>50</v>
      </c>
      <c r="X928" s="114" t="s">
        <v>3543</v>
      </c>
      <c r="Y928" s="31">
        <v>43208</v>
      </c>
      <c r="Z928" s="106">
        <v>406560</v>
      </c>
      <c r="AA928" s="107" t="s">
        <v>3544</v>
      </c>
      <c r="AB928" s="20">
        <v>798</v>
      </c>
      <c r="AC928" s="31">
        <v>43208</v>
      </c>
      <c r="AD928" s="108">
        <v>406560</v>
      </c>
      <c r="AE928" s="109">
        <f t="shared" si="83"/>
        <v>0</v>
      </c>
      <c r="AF928" s="20">
        <v>1814</v>
      </c>
      <c r="AG928" s="31">
        <v>43209</v>
      </c>
      <c r="AH928" s="108">
        <v>406560</v>
      </c>
      <c r="AI928" s="1" t="s">
        <v>3545</v>
      </c>
      <c r="AJ928" s="1">
        <v>1894</v>
      </c>
      <c r="AK928" s="109">
        <f t="shared" si="80"/>
        <v>0</v>
      </c>
      <c r="AL928" s="108">
        <v>406560</v>
      </c>
      <c r="AM928" s="108">
        <f t="shared" si="81"/>
        <v>0</v>
      </c>
      <c r="AN928" s="1" t="s">
        <v>2308</v>
      </c>
      <c r="AO928" s="108">
        <f t="shared" si="82"/>
        <v>0</v>
      </c>
      <c r="AP928" s="1"/>
      <c r="AQ928" s="31">
        <v>43208</v>
      </c>
      <c r="AR928" s="1" t="s">
        <v>3256</v>
      </c>
      <c r="AS928" s="31">
        <v>43208</v>
      </c>
      <c r="AT928" s="1" t="s">
        <v>3546</v>
      </c>
      <c r="AU928" s="211"/>
    </row>
    <row r="929" spans="1:47" ht="153" x14ac:dyDescent="0.2">
      <c r="A929" s="1">
        <v>439</v>
      </c>
      <c r="B929" s="1" t="str">
        <f t="shared" si="79"/>
        <v>3075-439</v>
      </c>
      <c r="C929" s="99" t="s">
        <v>2294</v>
      </c>
      <c r="D929" s="100" t="s">
        <v>2295</v>
      </c>
      <c r="E929" s="99" t="s">
        <v>2317</v>
      </c>
      <c r="F929" s="99" t="s">
        <v>2318</v>
      </c>
      <c r="G929" s="101" t="s">
        <v>2319</v>
      </c>
      <c r="H929" s="102" t="s">
        <v>2320</v>
      </c>
      <c r="I929" s="100" t="s">
        <v>2300</v>
      </c>
      <c r="J929" s="100" t="s">
        <v>2301</v>
      </c>
      <c r="K929" s="100" t="s">
        <v>50</v>
      </c>
      <c r="L929" s="1" t="s">
        <v>2302</v>
      </c>
      <c r="M929" s="1" t="s">
        <v>493</v>
      </c>
      <c r="N929" s="1" t="s">
        <v>494</v>
      </c>
      <c r="O929" s="100" t="s">
        <v>2321</v>
      </c>
      <c r="P929" s="112" t="s">
        <v>3547</v>
      </c>
      <c r="Q929" s="103">
        <v>22194000</v>
      </c>
      <c r="R929" s="1">
        <v>1</v>
      </c>
      <c r="S929" s="104">
        <f t="shared" si="84"/>
        <v>22194000</v>
      </c>
      <c r="T929" s="1" t="s">
        <v>2323</v>
      </c>
      <c r="U929" s="1" t="s">
        <v>2323</v>
      </c>
      <c r="V929" s="31" t="s">
        <v>2211</v>
      </c>
      <c r="W929" s="105" t="s">
        <v>50</v>
      </c>
      <c r="X929" s="1" t="s">
        <v>3548</v>
      </c>
      <c r="Y929" s="111">
        <v>43208</v>
      </c>
      <c r="Z929" s="106">
        <v>22194000</v>
      </c>
      <c r="AA929" s="107" t="s">
        <v>2929</v>
      </c>
      <c r="AB929" s="20">
        <v>801</v>
      </c>
      <c r="AC929" s="31">
        <v>43210</v>
      </c>
      <c r="AD929" s="108">
        <v>22194000</v>
      </c>
      <c r="AE929" s="109">
        <f t="shared" si="83"/>
        <v>0</v>
      </c>
      <c r="AF929" s="20">
        <v>1932</v>
      </c>
      <c r="AG929" s="31">
        <v>43242</v>
      </c>
      <c r="AH929" s="108">
        <v>22194000</v>
      </c>
      <c r="AI929" s="1" t="s">
        <v>3549</v>
      </c>
      <c r="AJ929" s="1">
        <v>2079</v>
      </c>
      <c r="AK929" s="109">
        <f t="shared" si="80"/>
        <v>0</v>
      </c>
      <c r="AL929" s="108">
        <v>0</v>
      </c>
      <c r="AM929" s="108">
        <f t="shared" si="81"/>
        <v>22194000</v>
      </c>
      <c r="AN929" s="1" t="s">
        <v>2308</v>
      </c>
      <c r="AO929" s="108">
        <f t="shared" si="82"/>
        <v>0</v>
      </c>
      <c r="AP929" s="1"/>
      <c r="AQ929" s="31">
        <v>43207</v>
      </c>
      <c r="AR929" s="1" t="s">
        <v>3256</v>
      </c>
      <c r="AS929" s="31">
        <v>43208</v>
      </c>
      <c r="AT929" s="1" t="s">
        <v>3547</v>
      </c>
      <c r="AU929" s="211"/>
    </row>
    <row r="930" spans="1:47" ht="191.25" x14ac:dyDescent="0.2">
      <c r="A930" s="1">
        <v>440</v>
      </c>
      <c r="B930" s="1" t="str">
        <f t="shared" si="79"/>
        <v>3075-440</v>
      </c>
      <c r="C930" s="99" t="s">
        <v>2294</v>
      </c>
      <c r="D930" s="100" t="s">
        <v>2295</v>
      </c>
      <c r="E930" s="100" t="s">
        <v>2327</v>
      </c>
      <c r="F930" s="99" t="s">
        <v>2328</v>
      </c>
      <c r="G930" s="101" t="s">
        <v>2329</v>
      </c>
      <c r="H930" s="102" t="s">
        <v>2330</v>
      </c>
      <c r="I930" s="100" t="s">
        <v>2300</v>
      </c>
      <c r="J930" s="100" t="s">
        <v>2331</v>
      </c>
      <c r="K930" s="100" t="s">
        <v>50</v>
      </c>
      <c r="L930" s="1" t="s">
        <v>2302</v>
      </c>
      <c r="M930" s="1" t="s">
        <v>493</v>
      </c>
      <c r="N930" s="1" t="s">
        <v>494</v>
      </c>
      <c r="O930" s="100" t="s">
        <v>2321</v>
      </c>
      <c r="P930" s="100" t="s">
        <v>3550</v>
      </c>
      <c r="Q930" s="103">
        <v>4151008</v>
      </c>
      <c r="R930" s="1">
        <v>1</v>
      </c>
      <c r="S930" s="104">
        <f t="shared" si="84"/>
        <v>4151008</v>
      </c>
      <c r="T930" s="1" t="s">
        <v>2323</v>
      </c>
      <c r="U930" s="1" t="s">
        <v>2323</v>
      </c>
      <c r="V930" s="31" t="s">
        <v>1352</v>
      </c>
      <c r="W930" s="105" t="s">
        <v>50</v>
      </c>
      <c r="X930" s="113" t="s">
        <v>3551</v>
      </c>
      <c r="Y930" s="111">
        <v>43215</v>
      </c>
      <c r="Z930" s="106">
        <v>4151008</v>
      </c>
      <c r="AA930" s="107" t="s">
        <v>3172</v>
      </c>
      <c r="AB930" s="20">
        <v>813</v>
      </c>
      <c r="AC930" s="31">
        <v>43220</v>
      </c>
      <c r="AD930" s="108">
        <v>4151008</v>
      </c>
      <c r="AE930" s="109">
        <f t="shared" si="83"/>
        <v>0</v>
      </c>
      <c r="AF930" s="20">
        <v>2011</v>
      </c>
      <c r="AG930" s="31">
        <v>43263</v>
      </c>
      <c r="AH930" s="108">
        <v>4151008</v>
      </c>
      <c r="AI930" s="1" t="s">
        <v>3552</v>
      </c>
      <c r="AJ930" s="1">
        <v>2204</v>
      </c>
      <c r="AK930" s="109">
        <f t="shared" si="80"/>
        <v>0</v>
      </c>
      <c r="AL930" s="108">
        <v>0</v>
      </c>
      <c r="AM930" s="108">
        <f t="shared" si="81"/>
        <v>4151008</v>
      </c>
      <c r="AN930" s="1" t="s">
        <v>2308</v>
      </c>
      <c r="AO930" s="108">
        <f t="shared" si="82"/>
        <v>0</v>
      </c>
      <c r="AP930" s="1"/>
      <c r="AQ930" s="31">
        <v>43215</v>
      </c>
      <c r="AR930" s="1" t="s">
        <v>3256</v>
      </c>
      <c r="AS930" s="31">
        <v>43215</v>
      </c>
      <c r="AT930" s="1" t="s">
        <v>3550</v>
      </c>
      <c r="AU930" s="211"/>
    </row>
    <row r="931" spans="1:47" ht="191.25" x14ac:dyDescent="0.2">
      <c r="A931" s="1">
        <v>441</v>
      </c>
      <c r="B931" s="1" t="str">
        <f t="shared" si="79"/>
        <v>3075-441</v>
      </c>
      <c r="C931" s="99" t="s">
        <v>2294</v>
      </c>
      <c r="D931" s="100" t="s">
        <v>2295</v>
      </c>
      <c r="E931" s="100" t="s">
        <v>2327</v>
      </c>
      <c r="F931" s="99" t="s">
        <v>2328</v>
      </c>
      <c r="G931" s="101" t="s">
        <v>2329</v>
      </c>
      <c r="H931" s="102" t="s">
        <v>2330</v>
      </c>
      <c r="I931" s="100" t="s">
        <v>2300</v>
      </c>
      <c r="J931" s="100" t="s">
        <v>2336</v>
      </c>
      <c r="K931" s="100" t="s">
        <v>50</v>
      </c>
      <c r="L931" s="1" t="s">
        <v>2302</v>
      </c>
      <c r="M931" s="1" t="s">
        <v>493</v>
      </c>
      <c r="N931" s="1" t="s">
        <v>494</v>
      </c>
      <c r="O931" s="100" t="s">
        <v>2321</v>
      </c>
      <c r="P931" s="100" t="s">
        <v>3550</v>
      </c>
      <c r="Q931" s="103">
        <v>34911092</v>
      </c>
      <c r="R931" s="1">
        <v>1</v>
      </c>
      <c r="S931" s="104">
        <f t="shared" si="84"/>
        <v>34911092</v>
      </c>
      <c r="T931" s="1" t="s">
        <v>2323</v>
      </c>
      <c r="U931" s="1" t="s">
        <v>2323</v>
      </c>
      <c r="V931" s="31" t="s">
        <v>1352</v>
      </c>
      <c r="W931" s="105" t="s">
        <v>50</v>
      </c>
      <c r="X931" s="113" t="s">
        <v>3553</v>
      </c>
      <c r="Y931" s="111">
        <v>43215</v>
      </c>
      <c r="Z931" s="106">
        <v>34911092</v>
      </c>
      <c r="AA931" s="107" t="s">
        <v>2339</v>
      </c>
      <c r="AB931" s="20">
        <v>812</v>
      </c>
      <c r="AC931" s="31">
        <v>43220</v>
      </c>
      <c r="AD931" s="108">
        <v>34911092</v>
      </c>
      <c r="AE931" s="109">
        <f t="shared" si="83"/>
        <v>0</v>
      </c>
      <c r="AF931" s="20">
        <v>2010</v>
      </c>
      <c r="AG931" s="31">
        <v>43263</v>
      </c>
      <c r="AH931" s="108">
        <v>34911092</v>
      </c>
      <c r="AI931" s="1" t="s">
        <v>3552</v>
      </c>
      <c r="AJ931" s="1">
        <v>2204</v>
      </c>
      <c r="AK931" s="109">
        <f t="shared" si="80"/>
        <v>0</v>
      </c>
      <c r="AL931" s="108">
        <v>0</v>
      </c>
      <c r="AM931" s="108">
        <f t="shared" si="81"/>
        <v>34911092</v>
      </c>
      <c r="AN931" s="1" t="s">
        <v>2308</v>
      </c>
      <c r="AO931" s="108">
        <f t="shared" si="82"/>
        <v>0</v>
      </c>
      <c r="AP931" s="1"/>
      <c r="AQ931" s="31">
        <v>43215</v>
      </c>
      <c r="AR931" s="1" t="s">
        <v>3256</v>
      </c>
      <c r="AS931" s="31">
        <v>43215</v>
      </c>
      <c r="AT931" s="1" t="s">
        <v>3283</v>
      </c>
      <c r="AU931" s="211"/>
    </row>
    <row r="932" spans="1:47" ht="280.5" x14ac:dyDescent="0.2">
      <c r="A932" s="1">
        <v>442</v>
      </c>
      <c r="B932" s="1" t="str">
        <f t="shared" si="79"/>
        <v>3075-442</v>
      </c>
      <c r="C932" s="99" t="s">
        <v>2294</v>
      </c>
      <c r="D932" s="100" t="s">
        <v>2295</v>
      </c>
      <c r="E932" s="100" t="s">
        <v>2327</v>
      </c>
      <c r="F932" s="99" t="s">
        <v>2328</v>
      </c>
      <c r="G932" s="101" t="s">
        <v>2329</v>
      </c>
      <c r="H932" s="102" t="s">
        <v>3554</v>
      </c>
      <c r="I932" s="100" t="s">
        <v>2300</v>
      </c>
      <c r="J932" s="100" t="s">
        <v>2301</v>
      </c>
      <c r="K932" s="100" t="s">
        <v>50</v>
      </c>
      <c r="L932" s="1" t="s">
        <v>2302</v>
      </c>
      <c r="M932" s="1" t="s">
        <v>493</v>
      </c>
      <c r="N932" s="1" t="s">
        <v>494</v>
      </c>
      <c r="O932" s="100" t="s">
        <v>2321</v>
      </c>
      <c r="P932" s="100" t="s">
        <v>3555</v>
      </c>
      <c r="Q932" s="103">
        <v>54686940</v>
      </c>
      <c r="R932" s="1">
        <v>1</v>
      </c>
      <c r="S932" s="104">
        <f t="shared" si="84"/>
        <v>54686940</v>
      </c>
      <c r="T932" s="1" t="s">
        <v>2323</v>
      </c>
      <c r="U932" s="1" t="s">
        <v>2323</v>
      </c>
      <c r="V932" s="31" t="s">
        <v>1352</v>
      </c>
      <c r="W932" s="105" t="s">
        <v>50</v>
      </c>
      <c r="X932" s="1" t="s">
        <v>3556</v>
      </c>
      <c r="Y932" s="111">
        <v>43215</v>
      </c>
      <c r="Z932" s="108">
        <v>54686940</v>
      </c>
      <c r="AA932" s="107" t="s">
        <v>3557</v>
      </c>
      <c r="AB932" s="20">
        <v>809</v>
      </c>
      <c r="AC932" s="31">
        <v>43220</v>
      </c>
      <c r="AD932" s="108">
        <v>54686940</v>
      </c>
      <c r="AE932" s="109">
        <f t="shared" si="83"/>
        <v>0</v>
      </c>
      <c r="AF932" s="20">
        <v>2013</v>
      </c>
      <c r="AG932" s="31">
        <v>43263</v>
      </c>
      <c r="AH932" s="108">
        <v>54686940</v>
      </c>
      <c r="AI932" s="1" t="s">
        <v>3558</v>
      </c>
      <c r="AJ932" s="1">
        <v>2223</v>
      </c>
      <c r="AK932" s="109">
        <f t="shared" si="80"/>
        <v>0</v>
      </c>
      <c r="AL932" s="108">
        <v>0</v>
      </c>
      <c r="AM932" s="108">
        <f t="shared" si="81"/>
        <v>54686940</v>
      </c>
      <c r="AN932" s="1" t="s">
        <v>2308</v>
      </c>
      <c r="AO932" s="108">
        <f t="shared" si="82"/>
        <v>0</v>
      </c>
      <c r="AP932" s="1"/>
      <c r="AQ932" s="31">
        <v>43215</v>
      </c>
      <c r="AR932" s="1" t="s">
        <v>3256</v>
      </c>
      <c r="AS932" s="31">
        <v>43215</v>
      </c>
      <c r="AT932" s="1" t="s">
        <v>3555</v>
      </c>
      <c r="AU932" s="211"/>
    </row>
    <row r="933" spans="1:47" ht="280.5" x14ac:dyDescent="0.2">
      <c r="A933" s="1">
        <v>443</v>
      </c>
      <c r="B933" s="1" t="str">
        <f t="shared" si="79"/>
        <v>3075-443</v>
      </c>
      <c r="C933" s="99" t="s">
        <v>2294</v>
      </c>
      <c r="D933" s="100" t="s">
        <v>2295</v>
      </c>
      <c r="E933" s="100" t="s">
        <v>2327</v>
      </c>
      <c r="F933" s="99" t="s">
        <v>2328</v>
      </c>
      <c r="G933" s="101" t="s">
        <v>2329</v>
      </c>
      <c r="H933" s="102" t="s">
        <v>3554</v>
      </c>
      <c r="I933" s="100" t="s">
        <v>2300</v>
      </c>
      <c r="J933" s="100" t="s">
        <v>2301</v>
      </c>
      <c r="K933" s="100" t="s">
        <v>50</v>
      </c>
      <c r="L933" s="1" t="s">
        <v>2302</v>
      </c>
      <c r="M933" s="1" t="s">
        <v>493</v>
      </c>
      <c r="N933" s="1" t="s">
        <v>494</v>
      </c>
      <c r="O933" s="100" t="s">
        <v>2321</v>
      </c>
      <c r="P933" s="100" t="s">
        <v>3559</v>
      </c>
      <c r="Q933" s="103">
        <v>54686940</v>
      </c>
      <c r="R933" s="1">
        <v>1</v>
      </c>
      <c r="S933" s="104">
        <f t="shared" si="84"/>
        <v>54686940</v>
      </c>
      <c r="T933" s="1" t="s">
        <v>2323</v>
      </c>
      <c r="U933" s="1" t="s">
        <v>2323</v>
      </c>
      <c r="V933" s="31" t="s">
        <v>1352</v>
      </c>
      <c r="W933" s="105" t="s">
        <v>50</v>
      </c>
      <c r="X933" s="1" t="s">
        <v>3560</v>
      </c>
      <c r="Y933" s="111">
        <v>43215</v>
      </c>
      <c r="Z933" s="108">
        <v>54686940</v>
      </c>
      <c r="AA933" s="107" t="s">
        <v>3557</v>
      </c>
      <c r="AB933" s="20">
        <v>810</v>
      </c>
      <c r="AC933" s="31">
        <v>43220</v>
      </c>
      <c r="AD933" s="108">
        <v>54686940</v>
      </c>
      <c r="AE933" s="109">
        <f t="shared" si="83"/>
        <v>0</v>
      </c>
      <c r="AF933" s="20">
        <v>2012</v>
      </c>
      <c r="AG933" s="31">
        <v>43263</v>
      </c>
      <c r="AH933" s="108">
        <v>54686940</v>
      </c>
      <c r="AI933" s="1" t="s">
        <v>3561</v>
      </c>
      <c r="AJ933" s="1">
        <v>2222</v>
      </c>
      <c r="AK933" s="109">
        <f t="shared" si="80"/>
        <v>0</v>
      </c>
      <c r="AL933" s="108">
        <v>0</v>
      </c>
      <c r="AM933" s="108">
        <f t="shared" si="81"/>
        <v>54686940</v>
      </c>
      <c r="AN933" s="1" t="s">
        <v>2308</v>
      </c>
      <c r="AO933" s="108">
        <f t="shared" si="82"/>
        <v>0</v>
      </c>
      <c r="AP933" s="1"/>
      <c r="AQ933" s="31">
        <v>43215</v>
      </c>
      <c r="AR933" s="1" t="s">
        <v>3256</v>
      </c>
      <c r="AS933" s="31">
        <v>43215</v>
      </c>
      <c r="AT933" s="1" t="s">
        <v>3559</v>
      </c>
      <c r="AU933" s="211"/>
    </row>
    <row r="934" spans="1:47" ht="140.25" x14ac:dyDescent="0.2">
      <c r="A934" s="1">
        <v>444</v>
      </c>
      <c r="B934" s="1" t="str">
        <f t="shared" si="79"/>
        <v>3075-444</v>
      </c>
      <c r="C934" s="99" t="s">
        <v>2294</v>
      </c>
      <c r="D934" s="100" t="s">
        <v>2295</v>
      </c>
      <c r="E934" s="100" t="s">
        <v>2327</v>
      </c>
      <c r="F934" s="99" t="s">
        <v>2328</v>
      </c>
      <c r="G934" s="101" t="s">
        <v>2329</v>
      </c>
      <c r="H934" s="102" t="s">
        <v>2330</v>
      </c>
      <c r="I934" s="100" t="s">
        <v>2345</v>
      </c>
      <c r="J934" s="100" t="s">
        <v>2346</v>
      </c>
      <c r="K934" s="100" t="s">
        <v>50</v>
      </c>
      <c r="L934" s="1" t="s">
        <v>2302</v>
      </c>
      <c r="M934" s="1" t="s">
        <v>493</v>
      </c>
      <c r="N934" s="1" t="s">
        <v>494</v>
      </c>
      <c r="O934" s="100" t="s">
        <v>2321</v>
      </c>
      <c r="P934" s="100" t="s">
        <v>3562</v>
      </c>
      <c r="Q934" s="103">
        <v>4150000000</v>
      </c>
      <c r="R934" s="1">
        <v>1</v>
      </c>
      <c r="S934" s="104">
        <f>Q934*R934-4150000000</f>
        <v>0</v>
      </c>
      <c r="T934" s="1"/>
      <c r="U934" s="1" t="s">
        <v>2323</v>
      </c>
      <c r="V934" s="31"/>
      <c r="W934" s="105" t="s">
        <v>50</v>
      </c>
      <c r="X934" s="113" t="s">
        <v>3563</v>
      </c>
      <c r="Y934" s="31">
        <v>43223</v>
      </c>
      <c r="Z934" s="106">
        <f>4150000000-4150000000</f>
        <v>0</v>
      </c>
      <c r="AA934" s="107" t="s">
        <v>3564</v>
      </c>
      <c r="AB934" s="20" t="s">
        <v>3565</v>
      </c>
      <c r="AC934" s="31">
        <v>43223</v>
      </c>
      <c r="AD934" s="108">
        <v>0</v>
      </c>
      <c r="AE934" s="109">
        <f t="shared" si="83"/>
        <v>0</v>
      </c>
      <c r="AF934" s="20"/>
      <c r="AG934" s="31"/>
      <c r="AH934" s="108"/>
      <c r="AI934" s="1"/>
      <c r="AJ934" s="1"/>
      <c r="AK934" s="109">
        <f t="shared" si="80"/>
        <v>0</v>
      </c>
      <c r="AL934" s="108"/>
      <c r="AM934" s="108">
        <f t="shared" si="81"/>
        <v>0</v>
      </c>
      <c r="AN934" s="1" t="s">
        <v>2308</v>
      </c>
      <c r="AO934" s="108">
        <f t="shared" si="82"/>
        <v>0</v>
      </c>
      <c r="AP934" s="1" t="s">
        <v>3566</v>
      </c>
      <c r="AQ934" s="31">
        <v>43223</v>
      </c>
      <c r="AR934" s="1" t="s">
        <v>3256</v>
      </c>
      <c r="AS934" s="31">
        <v>43223</v>
      </c>
      <c r="AT934" s="1" t="s">
        <v>3567</v>
      </c>
      <c r="AU934" s="211"/>
    </row>
    <row r="935" spans="1:47" ht="280.5" x14ac:dyDescent="0.2">
      <c r="A935" s="1">
        <v>445</v>
      </c>
      <c r="B935" s="1" t="str">
        <f t="shared" si="79"/>
        <v>3075-445</v>
      </c>
      <c r="C935" s="99" t="s">
        <v>2294</v>
      </c>
      <c r="D935" s="100" t="s">
        <v>2295</v>
      </c>
      <c r="E935" s="100" t="s">
        <v>2327</v>
      </c>
      <c r="F935" s="99" t="s">
        <v>2328</v>
      </c>
      <c r="G935" s="101" t="s">
        <v>2329</v>
      </c>
      <c r="H935" s="102" t="s">
        <v>3554</v>
      </c>
      <c r="I935" s="100" t="s">
        <v>2300</v>
      </c>
      <c r="J935" s="100" t="s">
        <v>2301</v>
      </c>
      <c r="K935" s="100" t="s">
        <v>50</v>
      </c>
      <c r="L935" s="1" t="s">
        <v>2302</v>
      </c>
      <c r="M935" s="1" t="s">
        <v>493</v>
      </c>
      <c r="N935" s="1" t="s">
        <v>494</v>
      </c>
      <c r="O935" s="100" t="s">
        <v>2321</v>
      </c>
      <c r="P935" s="100" t="s">
        <v>3568</v>
      </c>
      <c r="Q935" s="108">
        <v>54686940</v>
      </c>
      <c r="R935" s="1">
        <v>1</v>
      </c>
      <c r="S935" s="104">
        <f t="shared" ref="S935:S978" si="85">Q935*R935</f>
        <v>54686940</v>
      </c>
      <c r="T935" s="1" t="s">
        <v>2323</v>
      </c>
      <c r="U935" s="1" t="s">
        <v>2323</v>
      </c>
      <c r="V935" s="31" t="s">
        <v>1352</v>
      </c>
      <c r="W935" s="105" t="s">
        <v>50</v>
      </c>
      <c r="X935" s="113" t="s">
        <v>3569</v>
      </c>
      <c r="Y935" s="31">
        <v>43224</v>
      </c>
      <c r="Z935" s="106">
        <v>54686940</v>
      </c>
      <c r="AA935" s="107" t="s">
        <v>3570</v>
      </c>
      <c r="AB935" s="20">
        <v>817</v>
      </c>
      <c r="AC935" s="31">
        <v>43227</v>
      </c>
      <c r="AD935" s="108">
        <v>54686940</v>
      </c>
      <c r="AE935" s="109">
        <f t="shared" si="83"/>
        <v>0</v>
      </c>
      <c r="AF935" s="20">
        <v>2009</v>
      </c>
      <c r="AG935" s="31">
        <v>43263</v>
      </c>
      <c r="AH935" s="108">
        <v>54686940</v>
      </c>
      <c r="AI935" s="1" t="s">
        <v>3571</v>
      </c>
      <c r="AJ935" s="1">
        <v>2221</v>
      </c>
      <c r="AK935" s="109">
        <f t="shared" si="80"/>
        <v>0</v>
      </c>
      <c r="AL935" s="108">
        <v>0</v>
      </c>
      <c r="AM935" s="108">
        <f t="shared" si="81"/>
        <v>54686940</v>
      </c>
      <c r="AN935" s="1" t="s">
        <v>2308</v>
      </c>
      <c r="AO935" s="108">
        <f t="shared" si="82"/>
        <v>0</v>
      </c>
      <c r="AP935" s="1"/>
      <c r="AQ935" s="31">
        <v>43224</v>
      </c>
      <c r="AR935" s="1" t="s">
        <v>3256</v>
      </c>
      <c r="AS935" s="31">
        <v>43224</v>
      </c>
      <c r="AT935" s="1" t="s">
        <v>3568</v>
      </c>
      <c r="AU935" s="211"/>
    </row>
    <row r="936" spans="1:47" ht="318.75" x14ac:dyDescent="0.2">
      <c r="A936" s="1">
        <v>446</v>
      </c>
      <c r="B936" s="1" t="str">
        <f t="shared" si="79"/>
        <v>3075-446</v>
      </c>
      <c r="C936" s="99" t="s">
        <v>2294</v>
      </c>
      <c r="D936" s="100" t="s">
        <v>2295</v>
      </c>
      <c r="E936" s="100" t="s">
        <v>2327</v>
      </c>
      <c r="F936" s="99" t="s">
        <v>2328</v>
      </c>
      <c r="G936" s="101" t="s">
        <v>2329</v>
      </c>
      <c r="H936" s="102" t="s">
        <v>2330</v>
      </c>
      <c r="I936" s="100" t="s">
        <v>2300</v>
      </c>
      <c r="J936" s="100" t="s">
        <v>2336</v>
      </c>
      <c r="K936" s="100" t="s">
        <v>50</v>
      </c>
      <c r="L936" s="1" t="s">
        <v>2302</v>
      </c>
      <c r="M936" s="1" t="s">
        <v>493</v>
      </c>
      <c r="N936" s="1" t="s">
        <v>494</v>
      </c>
      <c r="O936" s="100" t="s">
        <v>2321</v>
      </c>
      <c r="P936" s="100" t="s">
        <v>3572</v>
      </c>
      <c r="Q936" s="108">
        <v>39062100</v>
      </c>
      <c r="R936" s="1">
        <v>1</v>
      </c>
      <c r="S936" s="104">
        <f t="shared" si="85"/>
        <v>39062100</v>
      </c>
      <c r="T936" s="1" t="s">
        <v>2323</v>
      </c>
      <c r="U936" s="1" t="s">
        <v>2323</v>
      </c>
      <c r="V936" s="31" t="s">
        <v>1352</v>
      </c>
      <c r="W936" s="105" t="s">
        <v>50</v>
      </c>
      <c r="X936" s="113" t="s">
        <v>3573</v>
      </c>
      <c r="Y936" s="31">
        <v>43224</v>
      </c>
      <c r="Z936" s="106">
        <v>39062100</v>
      </c>
      <c r="AA936" s="107" t="s">
        <v>3574</v>
      </c>
      <c r="AB936" s="20">
        <v>816</v>
      </c>
      <c r="AC936" s="31">
        <v>43227</v>
      </c>
      <c r="AD936" s="108">
        <v>39062100</v>
      </c>
      <c r="AE936" s="109">
        <f t="shared" si="83"/>
        <v>0</v>
      </c>
      <c r="AF936" s="20">
        <v>2221</v>
      </c>
      <c r="AG936" s="31">
        <v>43277</v>
      </c>
      <c r="AH936" s="108">
        <v>39062100</v>
      </c>
      <c r="AI936" s="1" t="s">
        <v>3575</v>
      </c>
      <c r="AJ936" s="1">
        <v>2425</v>
      </c>
      <c r="AK936" s="109">
        <f t="shared" si="80"/>
        <v>0</v>
      </c>
      <c r="AL936" s="108">
        <v>0</v>
      </c>
      <c r="AM936" s="108">
        <f t="shared" si="81"/>
        <v>39062100</v>
      </c>
      <c r="AN936" s="1" t="s">
        <v>2308</v>
      </c>
      <c r="AO936" s="108">
        <f t="shared" si="82"/>
        <v>0</v>
      </c>
      <c r="AP936" s="1"/>
      <c r="AQ936" s="31">
        <v>43224</v>
      </c>
      <c r="AR936" s="1" t="s">
        <v>3256</v>
      </c>
      <c r="AS936" s="31">
        <v>43224</v>
      </c>
      <c r="AT936" s="1" t="s">
        <v>3572</v>
      </c>
      <c r="AU936" s="211"/>
    </row>
    <row r="937" spans="1:47" ht="293.25" x14ac:dyDescent="0.2">
      <c r="A937" s="1">
        <v>447</v>
      </c>
      <c r="B937" s="1" t="str">
        <f t="shared" si="79"/>
        <v>3075-447</v>
      </c>
      <c r="C937" s="99" t="s">
        <v>2294</v>
      </c>
      <c r="D937" s="100" t="s">
        <v>2295</v>
      </c>
      <c r="E937" s="100" t="s">
        <v>2578</v>
      </c>
      <c r="F937" s="99" t="s">
        <v>2328</v>
      </c>
      <c r="G937" s="117" t="s">
        <v>2329</v>
      </c>
      <c r="H937" s="102" t="s">
        <v>2579</v>
      </c>
      <c r="I937" s="100" t="s">
        <v>2300</v>
      </c>
      <c r="J937" s="100" t="s">
        <v>2301</v>
      </c>
      <c r="K937" s="100"/>
      <c r="L937" s="1" t="s">
        <v>2302</v>
      </c>
      <c r="M937" s="1" t="s">
        <v>493</v>
      </c>
      <c r="N937" s="1" t="s">
        <v>494</v>
      </c>
      <c r="O937" s="100" t="s">
        <v>2369</v>
      </c>
      <c r="P937" s="1" t="s">
        <v>3576</v>
      </c>
      <c r="Q937" s="106">
        <v>54686940</v>
      </c>
      <c r="R937" s="122">
        <v>1</v>
      </c>
      <c r="S937" s="104">
        <f t="shared" si="85"/>
        <v>54686940</v>
      </c>
      <c r="T937" s="1" t="s">
        <v>2323</v>
      </c>
      <c r="U937" s="1" t="s">
        <v>2361</v>
      </c>
      <c r="V937" s="31" t="s">
        <v>1352</v>
      </c>
      <c r="W937" s="105">
        <v>4.2501720000000001</v>
      </c>
      <c r="X937" s="123" t="s">
        <v>3577</v>
      </c>
      <c r="Y937" s="31">
        <v>43237</v>
      </c>
      <c r="Z937" s="106">
        <v>54686940</v>
      </c>
      <c r="AA937" s="107" t="s">
        <v>3578</v>
      </c>
      <c r="AB937" s="20">
        <v>835</v>
      </c>
      <c r="AC937" s="31">
        <v>43238</v>
      </c>
      <c r="AD937" s="108">
        <v>54686940</v>
      </c>
      <c r="AE937" s="109">
        <f t="shared" si="83"/>
        <v>0</v>
      </c>
      <c r="AF937" s="20">
        <v>1992</v>
      </c>
      <c r="AG937" s="31">
        <v>43256</v>
      </c>
      <c r="AH937" s="108">
        <v>54686940</v>
      </c>
      <c r="AI937" s="1" t="s">
        <v>3579</v>
      </c>
      <c r="AJ937" s="1">
        <v>2196</v>
      </c>
      <c r="AK937" s="109">
        <f t="shared" si="80"/>
        <v>0</v>
      </c>
      <c r="AL937" s="108">
        <v>54686940</v>
      </c>
      <c r="AM937" s="108">
        <f t="shared" si="81"/>
        <v>0</v>
      </c>
      <c r="AN937" s="1" t="s">
        <v>2308</v>
      </c>
      <c r="AO937" s="108">
        <f t="shared" si="82"/>
        <v>0</v>
      </c>
      <c r="AP937" s="1"/>
      <c r="AQ937" s="31">
        <v>43236</v>
      </c>
      <c r="AR937" s="1" t="s">
        <v>3256</v>
      </c>
      <c r="AS937" s="31">
        <v>43237</v>
      </c>
      <c r="AT937" s="1"/>
      <c r="AU937" s="211"/>
    </row>
    <row r="938" spans="1:47" ht="293.25" x14ac:dyDescent="0.2">
      <c r="A938" s="1">
        <v>448</v>
      </c>
      <c r="B938" s="1" t="str">
        <f t="shared" si="79"/>
        <v>3075-448</v>
      </c>
      <c r="C938" s="99" t="s">
        <v>2294</v>
      </c>
      <c r="D938" s="100" t="s">
        <v>2295</v>
      </c>
      <c r="E938" s="100" t="s">
        <v>2578</v>
      </c>
      <c r="F938" s="99" t="s">
        <v>2328</v>
      </c>
      <c r="G938" s="117" t="s">
        <v>2329</v>
      </c>
      <c r="H938" s="102" t="s">
        <v>2579</v>
      </c>
      <c r="I938" s="100" t="s">
        <v>2300</v>
      </c>
      <c r="J938" s="100" t="s">
        <v>2301</v>
      </c>
      <c r="K938" s="100"/>
      <c r="L938" s="1" t="s">
        <v>2302</v>
      </c>
      <c r="M938" s="1" t="s">
        <v>493</v>
      </c>
      <c r="N938" s="1" t="s">
        <v>494</v>
      </c>
      <c r="O938" s="100" t="s">
        <v>2369</v>
      </c>
      <c r="P938" s="1" t="s">
        <v>3580</v>
      </c>
      <c r="Q938" s="106">
        <v>54686940</v>
      </c>
      <c r="R938" s="122">
        <v>1</v>
      </c>
      <c r="S938" s="104">
        <f t="shared" si="85"/>
        <v>54686940</v>
      </c>
      <c r="T938" s="1" t="s">
        <v>2323</v>
      </c>
      <c r="U938" s="1" t="s">
        <v>2361</v>
      </c>
      <c r="V938" s="31" t="s">
        <v>1352</v>
      </c>
      <c r="W938" s="105">
        <v>4</v>
      </c>
      <c r="X938" s="103" t="s">
        <v>3581</v>
      </c>
      <c r="Y938" s="31">
        <v>43237</v>
      </c>
      <c r="Z938" s="106">
        <v>54686940</v>
      </c>
      <c r="AA938" s="107" t="s">
        <v>2583</v>
      </c>
      <c r="AB938" s="20">
        <v>836</v>
      </c>
      <c r="AC938" s="31">
        <v>43238</v>
      </c>
      <c r="AD938" s="108">
        <v>54686940</v>
      </c>
      <c r="AE938" s="109">
        <f t="shared" si="83"/>
        <v>0</v>
      </c>
      <c r="AF938" s="20">
        <v>2036</v>
      </c>
      <c r="AG938" s="31">
        <v>43270</v>
      </c>
      <c r="AH938" s="108">
        <v>54686940</v>
      </c>
      <c r="AI938" s="1" t="s">
        <v>3582</v>
      </c>
      <c r="AJ938" s="1">
        <v>2299</v>
      </c>
      <c r="AK938" s="109">
        <f t="shared" si="80"/>
        <v>0</v>
      </c>
      <c r="AL938" s="108">
        <v>54686940</v>
      </c>
      <c r="AM938" s="108">
        <f t="shared" si="81"/>
        <v>0</v>
      </c>
      <c r="AN938" s="1" t="s">
        <v>2308</v>
      </c>
      <c r="AO938" s="108">
        <f t="shared" si="82"/>
        <v>0</v>
      </c>
      <c r="AP938" s="1"/>
      <c r="AQ938" s="31">
        <v>43236</v>
      </c>
      <c r="AR938" s="1" t="s">
        <v>3256</v>
      </c>
      <c r="AS938" s="31">
        <v>43237</v>
      </c>
      <c r="AT938" s="1"/>
      <c r="AU938" s="211"/>
    </row>
    <row r="939" spans="1:47" ht="318.75" x14ac:dyDescent="0.2">
      <c r="A939" s="1">
        <v>449</v>
      </c>
      <c r="B939" s="1" t="str">
        <f t="shared" ref="B939:B989" si="86">CONCATENATE("3075","-",A939)</f>
        <v>3075-449</v>
      </c>
      <c r="C939" s="99" t="s">
        <v>2294</v>
      </c>
      <c r="D939" s="100" t="s">
        <v>2295</v>
      </c>
      <c r="E939" s="100" t="s">
        <v>2327</v>
      </c>
      <c r="F939" s="99" t="s">
        <v>2328</v>
      </c>
      <c r="G939" s="101" t="s">
        <v>2329</v>
      </c>
      <c r="H939" s="102" t="s">
        <v>2330</v>
      </c>
      <c r="I939" s="100" t="s">
        <v>2300</v>
      </c>
      <c r="J939" s="100" t="s">
        <v>2336</v>
      </c>
      <c r="K939" s="100" t="s">
        <v>50</v>
      </c>
      <c r="L939" s="1" t="s">
        <v>2302</v>
      </c>
      <c r="M939" s="1" t="s">
        <v>493</v>
      </c>
      <c r="N939" s="1" t="s">
        <v>494</v>
      </c>
      <c r="O939" s="100" t="s">
        <v>2321</v>
      </c>
      <c r="P939" s="100" t="s">
        <v>3583</v>
      </c>
      <c r="Q939" s="108">
        <v>39062100</v>
      </c>
      <c r="R939" s="1">
        <v>1</v>
      </c>
      <c r="S939" s="104">
        <f t="shared" si="85"/>
        <v>39062100</v>
      </c>
      <c r="T939" s="1" t="s">
        <v>2323</v>
      </c>
      <c r="U939" s="1" t="s">
        <v>2323</v>
      </c>
      <c r="V939" s="31" t="s">
        <v>1352</v>
      </c>
      <c r="W939" s="105" t="s">
        <v>50</v>
      </c>
      <c r="X939" s="1" t="s">
        <v>3584</v>
      </c>
      <c r="Y939" s="111">
        <v>43237</v>
      </c>
      <c r="Z939" s="106">
        <v>39062100</v>
      </c>
      <c r="AA939" s="107" t="s">
        <v>3585</v>
      </c>
      <c r="AB939" s="20">
        <v>838</v>
      </c>
      <c r="AC939" s="31">
        <v>43238</v>
      </c>
      <c r="AD939" s="108">
        <v>39062100</v>
      </c>
      <c r="AE939" s="109">
        <f t="shared" si="83"/>
        <v>0</v>
      </c>
      <c r="AF939" s="20">
        <v>2400</v>
      </c>
      <c r="AG939" s="31">
        <v>43280</v>
      </c>
      <c r="AH939" s="108">
        <v>39062100</v>
      </c>
      <c r="AI939" s="1" t="s">
        <v>3586</v>
      </c>
      <c r="AJ939" s="1">
        <v>2772</v>
      </c>
      <c r="AK939" s="109">
        <f t="shared" ref="AK939:AK989" si="87">AD939-AH939</f>
        <v>0</v>
      </c>
      <c r="AL939" s="108">
        <v>0</v>
      </c>
      <c r="AM939" s="108">
        <f t="shared" ref="AM939:AM989" si="88">AH939-AL939</f>
        <v>39062100</v>
      </c>
      <c r="AN939" s="1" t="s">
        <v>2308</v>
      </c>
      <c r="AO939" s="108">
        <f t="shared" ref="AO939:AO989" si="89">S939-AH939</f>
        <v>0</v>
      </c>
      <c r="AP939" s="1"/>
      <c r="AQ939" s="31">
        <v>43237</v>
      </c>
      <c r="AR939" s="1" t="s">
        <v>3256</v>
      </c>
      <c r="AS939" s="31">
        <v>43237</v>
      </c>
      <c r="AT939" s="1" t="s">
        <v>3583</v>
      </c>
      <c r="AU939" s="211"/>
    </row>
    <row r="940" spans="1:47" ht="318.75" x14ac:dyDescent="0.2">
      <c r="A940" s="1">
        <v>450</v>
      </c>
      <c r="B940" s="1" t="str">
        <f t="shared" si="86"/>
        <v>3075-450</v>
      </c>
      <c r="C940" s="99" t="s">
        <v>2294</v>
      </c>
      <c r="D940" s="100" t="s">
        <v>2295</v>
      </c>
      <c r="E940" s="100" t="s">
        <v>2327</v>
      </c>
      <c r="F940" s="99" t="s">
        <v>2328</v>
      </c>
      <c r="G940" s="101" t="s">
        <v>2329</v>
      </c>
      <c r="H940" s="102" t="s">
        <v>2330</v>
      </c>
      <c r="I940" s="100" t="s">
        <v>2300</v>
      </c>
      <c r="J940" s="100" t="s">
        <v>2336</v>
      </c>
      <c r="K940" s="100" t="s">
        <v>50</v>
      </c>
      <c r="L940" s="1" t="s">
        <v>2302</v>
      </c>
      <c r="M940" s="1" t="s">
        <v>493</v>
      </c>
      <c r="N940" s="1" t="s">
        <v>494</v>
      </c>
      <c r="O940" s="100" t="s">
        <v>2321</v>
      </c>
      <c r="P940" s="100" t="s">
        <v>3587</v>
      </c>
      <c r="Q940" s="108">
        <v>39062100</v>
      </c>
      <c r="R940" s="1">
        <v>1</v>
      </c>
      <c r="S940" s="104">
        <f t="shared" si="85"/>
        <v>39062100</v>
      </c>
      <c r="T940" s="1"/>
      <c r="U940" s="1" t="s">
        <v>2323</v>
      </c>
      <c r="V940" s="31" t="s">
        <v>510</v>
      </c>
      <c r="W940" s="105" t="s">
        <v>50</v>
      </c>
      <c r="X940" s="1" t="s">
        <v>3588</v>
      </c>
      <c r="Y940" s="111">
        <v>43237</v>
      </c>
      <c r="Z940" s="106">
        <v>39062100</v>
      </c>
      <c r="AA940" s="107" t="s">
        <v>3585</v>
      </c>
      <c r="AB940" s="20">
        <v>840</v>
      </c>
      <c r="AC940" s="31">
        <v>43238</v>
      </c>
      <c r="AD940" s="108">
        <v>39062100</v>
      </c>
      <c r="AE940" s="109">
        <f t="shared" si="83"/>
        <v>0</v>
      </c>
      <c r="AF940" s="20"/>
      <c r="AG940" s="31"/>
      <c r="AH940" s="108"/>
      <c r="AI940" s="1"/>
      <c r="AJ940" s="1"/>
      <c r="AK940" s="109">
        <f t="shared" si="87"/>
        <v>39062100</v>
      </c>
      <c r="AL940" s="108"/>
      <c r="AM940" s="108">
        <f t="shared" si="88"/>
        <v>0</v>
      </c>
      <c r="AN940" s="1" t="s">
        <v>2308</v>
      </c>
      <c r="AO940" s="108">
        <f t="shared" si="89"/>
        <v>39062100</v>
      </c>
      <c r="AP940" s="1"/>
      <c r="AQ940" s="31">
        <v>43237</v>
      </c>
      <c r="AR940" s="1" t="s">
        <v>3256</v>
      </c>
      <c r="AS940" s="31">
        <v>43237</v>
      </c>
      <c r="AT940" s="1" t="s">
        <v>3587</v>
      </c>
      <c r="AU940" s="211"/>
    </row>
    <row r="941" spans="1:47" ht="318.75" x14ac:dyDescent="0.2">
      <c r="A941" s="1">
        <v>451</v>
      </c>
      <c r="B941" s="1" t="str">
        <f t="shared" si="86"/>
        <v>3075-451</v>
      </c>
      <c r="C941" s="99" t="s">
        <v>2294</v>
      </c>
      <c r="D941" s="100" t="s">
        <v>2295</v>
      </c>
      <c r="E941" s="100" t="s">
        <v>2327</v>
      </c>
      <c r="F941" s="99" t="s">
        <v>2328</v>
      </c>
      <c r="G941" s="101" t="s">
        <v>2329</v>
      </c>
      <c r="H941" s="102" t="s">
        <v>2330</v>
      </c>
      <c r="I941" s="100" t="s">
        <v>2300</v>
      </c>
      <c r="J941" s="100" t="s">
        <v>2336</v>
      </c>
      <c r="K941" s="100" t="s">
        <v>50</v>
      </c>
      <c r="L941" s="1" t="s">
        <v>2302</v>
      </c>
      <c r="M941" s="1" t="s">
        <v>493</v>
      </c>
      <c r="N941" s="1" t="s">
        <v>494</v>
      </c>
      <c r="O941" s="100" t="s">
        <v>2321</v>
      </c>
      <c r="P941" s="100" t="s">
        <v>3589</v>
      </c>
      <c r="Q941" s="108">
        <v>39062100</v>
      </c>
      <c r="R941" s="1">
        <v>1</v>
      </c>
      <c r="S941" s="104">
        <f t="shared" si="85"/>
        <v>39062100</v>
      </c>
      <c r="T941" s="1" t="s">
        <v>2323</v>
      </c>
      <c r="U941" s="1" t="s">
        <v>2323</v>
      </c>
      <c r="V941" s="31" t="s">
        <v>1352</v>
      </c>
      <c r="W941" s="105" t="s">
        <v>50</v>
      </c>
      <c r="X941" s="1" t="s">
        <v>3590</v>
      </c>
      <c r="Y941" s="111">
        <v>43237</v>
      </c>
      <c r="Z941" s="106">
        <v>39062100</v>
      </c>
      <c r="AA941" s="107" t="s">
        <v>3591</v>
      </c>
      <c r="AB941" s="20">
        <v>841</v>
      </c>
      <c r="AC941" s="31">
        <v>43238</v>
      </c>
      <c r="AD941" s="108">
        <v>39062100</v>
      </c>
      <c r="AE941" s="109">
        <f t="shared" si="83"/>
        <v>0</v>
      </c>
      <c r="AF941" s="20">
        <v>2402</v>
      </c>
      <c r="AG941" s="31">
        <v>43280</v>
      </c>
      <c r="AH941" s="108">
        <v>39062100</v>
      </c>
      <c r="AI941" s="1" t="s">
        <v>3592</v>
      </c>
      <c r="AJ941" s="1">
        <v>2773</v>
      </c>
      <c r="AK941" s="109">
        <f t="shared" si="87"/>
        <v>0</v>
      </c>
      <c r="AL941" s="108">
        <v>0</v>
      </c>
      <c r="AM941" s="108">
        <f t="shared" si="88"/>
        <v>39062100</v>
      </c>
      <c r="AN941" s="1" t="s">
        <v>2308</v>
      </c>
      <c r="AO941" s="108">
        <f t="shared" si="89"/>
        <v>0</v>
      </c>
      <c r="AP941" s="1"/>
      <c r="AQ941" s="31">
        <v>43237</v>
      </c>
      <c r="AR941" s="1" t="s">
        <v>3256</v>
      </c>
      <c r="AS941" s="31">
        <v>43237</v>
      </c>
      <c r="AT941" s="1" t="s">
        <v>3589</v>
      </c>
      <c r="AU941" s="211"/>
    </row>
    <row r="942" spans="1:47" ht="318.75" x14ac:dyDescent="0.2">
      <c r="A942" s="1">
        <v>452</v>
      </c>
      <c r="B942" s="1" t="str">
        <f t="shared" si="86"/>
        <v>3075-452</v>
      </c>
      <c r="C942" s="99" t="s">
        <v>2294</v>
      </c>
      <c r="D942" s="100" t="s">
        <v>2295</v>
      </c>
      <c r="E942" s="100" t="s">
        <v>2327</v>
      </c>
      <c r="F942" s="99" t="s">
        <v>2328</v>
      </c>
      <c r="G942" s="101" t="s">
        <v>2329</v>
      </c>
      <c r="H942" s="102" t="s">
        <v>2330</v>
      </c>
      <c r="I942" s="100" t="s">
        <v>2300</v>
      </c>
      <c r="J942" s="100" t="s">
        <v>2336</v>
      </c>
      <c r="K942" s="100" t="s">
        <v>50</v>
      </c>
      <c r="L942" s="1" t="s">
        <v>2302</v>
      </c>
      <c r="M942" s="1" t="s">
        <v>493</v>
      </c>
      <c r="N942" s="1" t="s">
        <v>494</v>
      </c>
      <c r="O942" s="100" t="s">
        <v>2321</v>
      </c>
      <c r="P942" s="100" t="s">
        <v>3593</v>
      </c>
      <c r="Q942" s="103">
        <v>39062100</v>
      </c>
      <c r="R942" s="1">
        <v>1</v>
      </c>
      <c r="S942" s="104">
        <f t="shared" si="85"/>
        <v>39062100</v>
      </c>
      <c r="T942" s="1" t="s">
        <v>2323</v>
      </c>
      <c r="U942" s="1" t="s">
        <v>2323</v>
      </c>
      <c r="V942" s="31" t="s">
        <v>1352</v>
      </c>
      <c r="W942" s="105" t="s">
        <v>50</v>
      </c>
      <c r="X942" s="1" t="s">
        <v>3594</v>
      </c>
      <c r="Y942" s="111">
        <v>43237</v>
      </c>
      <c r="Z942" s="106">
        <v>39062100</v>
      </c>
      <c r="AA942" s="107" t="s">
        <v>3595</v>
      </c>
      <c r="AB942" s="20">
        <v>842</v>
      </c>
      <c r="AC942" s="31">
        <v>43238</v>
      </c>
      <c r="AD942" s="108">
        <v>39062100</v>
      </c>
      <c r="AE942" s="109">
        <f t="shared" si="83"/>
        <v>0</v>
      </c>
      <c r="AF942" s="20">
        <v>2047</v>
      </c>
      <c r="AG942" s="31">
        <v>43271</v>
      </c>
      <c r="AH942" s="108">
        <v>39062100</v>
      </c>
      <c r="AI942" s="1" t="s">
        <v>3596</v>
      </c>
      <c r="AJ942" s="1">
        <v>2236</v>
      </c>
      <c r="AK942" s="109">
        <f t="shared" si="87"/>
        <v>0</v>
      </c>
      <c r="AL942" s="108">
        <v>0</v>
      </c>
      <c r="AM942" s="108">
        <f t="shared" si="88"/>
        <v>39062100</v>
      </c>
      <c r="AN942" s="1" t="s">
        <v>2308</v>
      </c>
      <c r="AO942" s="108">
        <f t="shared" si="89"/>
        <v>0</v>
      </c>
      <c r="AP942" s="1"/>
      <c r="AQ942" s="31">
        <v>43237</v>
      </c>
      <c r="AR942" s="1" t="s">
        <v>3256</v>
      </c>
      <c r="AS942" s="31">
        <v>43237</v>
      </c>
      <c r="AT942" s="1" t="s">
        <v>3593</v>
      </c>
      <c r="AU942" s="211"/>
    </row>
    <row r="943" spans="1:47" ht="318.75" x14ac:dyDescent="0.2">
      <c r="A943" s="1">
        <v>453</v>
      </c>
      <c r="B943" s="1" t="str">
        <f t="shared" si="86"/>
        <v>3075-453</v>
      </c>
      <c r="C943" s="99" t="s">
        <v>2294</v>
      </c>
      <c r="D943" s="100" t="s">
        <v>2295</v>
      </c>
      <c r="E943" s="100" t="s">
        <v>2327</v>
      </c>
      <c r="F943" s="99" t="s">
        <v>2328</v>
      </c>
      <c r="G943" s="101" t="s">
        <v>2329</v>
      </c>
      <c r="H943" s="102" t="s">
        <v>2330</v>
      </c>
      <c r="I943" s="100" t="s">
        <v>2300</v>
      </c>
      <c r="J943" s="100" t="s">
        <v>2336</v>
      </c>
      <c r="K943" s="100" t="s">
        <v>50</v>
      </c>
      <c r="L943" s="1" t="s">
        <v>2302</v>
      </c>
      <c r="M943" s="1" t="s">
        <v>493</v>
      </c>
      <c r="N943" s="1" t="s">
        <v>494</v>
      </c>
      <c r="O943" s="100" t="s">
        <v>2321</v>
      </c>
      <c r="P943" s="100" t="s">
        <v>3597</v>
      </c>
      <c r="Q943" s="103">
        <v>39062100</v>
      </c>
      <c r="R943" s="1">
        <v>1</v>
      </c>
      <c r="S943" s="104">
        <f t="shared" si="85"/>
        <v>39062100</v>
      </c>
      <c r="T943" s="1" t="s">
        <v>2323</v>
      </c>
      <c r="U943" s="1" t="s">
        <v>2323</v>
      </c>
      <c r="V943" s="31" t="s">
        <v>1352</v>
      </c>
      <c r="W943" s="105" t="s">
        <v>50</v>
      </c>
      <c r="X943" s="1" t="s">
        <v>3598</v>
      </c>
      <c r="Y943" s="111">
        <v>43237</v>
      </c>
      <c r="Z943" s="106">
        <v>39062100</v>
      </c>
      <c r="AA943" s="107" t="s">
        <v>3595</v>
      </c>
      <c r="AB943" s="20">
        <v>843</v>
      </c>
      <c r="AC943" s="31">
        <v>43238</v>
      </c>
      <c r="AD943" s="108">
        <v>39062100</v>
      </c>
      <c r="AE943" s="109">
        <f t="shared" si="83"/>
        <v>0</v>
      </c>
      <c r="AF943" s="20">
        <v>2148</v>
      </c>
      <c r="AG943" s="31">
        <v>43277</v>
      </c>
      <c r="AH943" s="108">
        <v>39062100</v>
      </c>
      <c r="AI943" s="1" t="s">
        <v>3599</v>
      </c>
      <c r="AJ943" s="1">
        <v>2426</v>
      </c>
      <c r="AK943" s="109">
        <f t="shared" si="87"/>
        <v>0</v>
      </c>
      <c r="AL943" s="108">
        <v>0</v>
      </c>
      <c r="AM943" s="108">
        <f t="shared" si="88"/>
        <v>39062100</v>
      </c>
      <c r="AN943" s="1" t="s">
        <v>2308</v>
      </c>
      <c r="AO943" s="108">
        <f t="shared" si="89"/>
        <v>0</v>
      </c>
      <c r="AP943" s="1"/>
      <c r="AQ943" s="31">
        <v>43237</v>
      </c>
      <c r="AR943" s="1" t="s">
        <v>3256</v>
      </c>
      <c r="AS943" s="31">
        <v>43237</v>
      </c>
      <c r="AT943" s="1" t="s">
        <v>3597</v>
      </c>
      <c r="AU943" s="211"/>
    </row>
    <row r="944" spans="1:47" ht="191.25" x14ac:dyDescent="0.2">
      <c r="A944" s="1">
        <v>454</v>
      </c>
      <c r="B944" s="1" t="str">
        <f t="shared" si="86"/>
        <v>3075-454</v>
      </c>
      <c r="C944" s="99" t="s">
        <v>2294</v>
      </c>
      <c r="D944" s="100" t="s">
        <v>2295</v>
      </c>
      <c r="E944" s="100" t="s">
        <v>2327</v>
      </c>
      <c r="F944" s="99" t="s">
        <v>2328</v>
      </c>
      <c r="G944" s="101" t="s">
        <v>2329</v>
      </c>
      <c r="H944" s="102" t="s">
        <v>2330</v>
      </c>
      <c r="I944" s="100" t="s">
        <v>2300</v>
      </c>
      <c r="J944" s="100" t="s">
        <v>2336</v>
      </c>
      <c r="K944" s="100" t="s">
        <v>50</v>
      </c>
      <c r="L944" s="1" t="s">
        <v>2302</v>
      </c>
      <c r="M944" s="1" t="s">
        <v>493</v>
      </c>
      <c r="N944" s="1" t="s">
        <v>494</v>
      </c>
      <c r="O944" s="100" t="s">
        <v>2321</v>
      </c>
      <c r="P944" s="100" t="s">
        <v>3600</v>
      </c>
      <c r="Q944" s="103">
        <v>39062100</v>
      </c>
      <c r="R944" s="1">
        <v>1</v>
      </c>
      <c r="S944" s="104">
        <f t="shared" si="85"/>
        <v>39062100</v>
      </c>
      <c r="T944" s="1" t="s">
        <v>2323</v>
      </c>
      <c r="U944" s="1" t="s">
        <v>2323</v>
      </c>
      <c r="V944" s="31" t="s">
        <v>632</v>
      </c>
      <c r="W944" s="105" t="s">
        <v>50</v>
      </c>
      <c r="X944" s="1" t="s">
        <v>3601</v>
      </c>
      <c r="Y944" s="111">
        <v>43237</v>
      </c>
      <c r="Z944" s="106">
        <v>39062100</v>
      </c>
      <c r="AA944" s="107" t="s">
        <v>3595</v>
      </c>
      <c r="AB944" s="20">
        <v>844</v>
      </c>
      <c r="AC944" s="31">
        <v>43238</v>
      </c>
      <c r="AD944" s="108">
        <v>39062100</v>
      </c>
      <c r="AE944" s="109">
        <f t="shared" si="83"/>
        <v>0</v>
      </c>
      <c r="AF944" s="20">
        <v>2454</v>
      </c>
      <c r="AG944" s="31">
        <v>43287</v>
      </c>
      <c r="AH944" s="108">
        <v>39062100</v>
      </c>
      <c r="AI944" s="1" t="s">
        <v>3602</v>
      </c>
      <c r="AJ944" s="1">
        <v>2831</v>
      </c>
      <c r="AK944" s="109">
        <f t="shared" si="87"/>
        <v>0</v>
      </c>
      <c r="AL944" s="108">
        <v>0</v>
      </c>
      <c r="AM944" s="108">
        <f t="shared" si="88"/>
        <v>39062100</v>
      </c>
      <c r="AN944" s="1" t="s">
        <v>2308</v>
      </c>
      <c r="AO944" s="108">
        <f t="shared" si="89"/>
        <v>0</v>
      </c>
      <c r="AP944" s="1"/>
      <c r="AQ944" s="31">
        <v>43237</v>
      </c>
      <c r="AR944" s="1" t="s">
        <v>3256</v>
      </c>
      <c r="AS944" s="31">
        <v>43237</v>
      </c>
      <c r="AT944" s="1" t="s">
        <v>3600</v>
      </c>
      <c r="AU944" s="211"/>
    </row>
    <row r="945" spans="1:47" ht="178.5" x14ac:dyDescent="0.2">
      <c r="A945" s="1">
        <v>455</v>
      </c>
      <c r="B945" s="1" t="str">
        <f t="shared" si="86"/>
        <v>3075-455</v>
      </c>
      <c r="C945" s="99" t="s">
        <v>2294</v>
      </c>
      <c r="D945" s="100" t="s">
        <v>2295</v>
      </c>
      <c r="E945" s="100" t="s">
        <v>2327</v>
      </c>
      <c r="F945" s="99" t="s">
        <v>2328</v>
      </c>
      <c r="G945" s="101" t="s">
        <v>2329</v>
      </c>
      <c r="H945" s="102" t="s">
        <v>2330</v>
      </c>
      <c r="I945" s="100" t="s">
        <v>2300</v>
      </c>
      <c r="J945" s="100" t="s">
        <v>2336</v>
      </c>
      <c r="K945" s="100" t="s">
        <v>50</v>
      </c>
      <c r="L945" s="1" t="s">
        <v>2302</v>
      </c>
      <c r="M945" s="1" t="s">
        <v>493</v>
      </c>
      <c r="N945" s="1" t="s">
        <v>494</v>
      </c>
      <c r="O945" s="100" t="s">
        <v>2321</v>
      </c>
      <c r="P945" s="100" t="s">
        <v>3603</v>
      </c>
      <c r="Q945" s="103">
        <v>39062100</v>
      </c>
      <c r="R945" s="1">
        <v>1</v>
      </c>
      <c r="S945" s="104">
        <f t="shared" si="85"/>
        <v>39062100</v>
      </c>
      <c r="T945" s="1" t="s">
        <v>2323</v>
      </c>
      <c r="U945" s="1" t="s">
        <v>2323</v>
      </c>
      <c r="V945" s="31" t="s">
        <v>632</v>
      </c>
      <c r="W945" s="105" t="s">
        <v>50</v>
      </c>
      <c r="X945" s="1" t="s">
        <v>3604</v>
      </c>
      <c r="Y945" s="111">
        <v>43237</v>
      </c>
      <c r="Z945" s="106">
        <v>39062100</v>
      </c>
      <c r="AA945" s="107" t="s">
        <v>3595</v>
      </c>
      <c r="AB945" s="20">
        <v>845</v>
      </c>
      <c r="AC945" s="31">
        <v>43238</v>
      </c>
      <c r="AD945" s="108">
        <v>39062100</v>
      </c>
      <c r="AE945" s="109">
        <f t="shared" si="83"/>
        <v>0</v>
      </c>
      <c r="AF945" s="20">
        <v>2455</v>
      </c>
      <c r="AG945" s="31">
        <v>43287</v>
      </c>
      <c r="AH945" s="108">
        <v>39062100</v>
      </c>
      <c r="AI945" s="1" t="s">
        <v>3605</v>
      </c>
      <c r="AJ945" s="1">
        <v>2832</v>
      </c>
      <c r="AK945" s="109">
        <f t="shared" si="87"/>
        <v>0</v>
      </c>
      <c r="AL945" s="108">
        <v>0</v>
      </c>
      <c r="AM945" s="108">
        <f t="shared" si="88"/>
        <v>39062100</v>
      </c>
      <c r="AN945" s="1" t="s">
        <v>2308</v>
      </c>
      <c r="AO945" s="108">
        <f t="shared" si="89"/>
        <v>0</v>
      </c>
      <c r="AP945" s="1"/>
      <c r="AQ945" s="31">
        <v>43237</v>
      </c>
      <c r="AR945" s="1" t="s">
        <v>3256</v>
      </c>
      <c r="AS945" s="31">
        <v>43237</v>
      </c>
      <c r="AT945" s="1" t="s">
        <v>3603</v>
      </c>
      <c r="AU945" s="211"/>
    </row>
    <row r="946" spans="1:47" ht="127.5" x14ac:dyDescent="0.2">
      <c r="A946" s="1">
        <v>456</v>
      </c>
      <c r="B946" s="1" t="str">
        <f t="shared" si="86"/>
        <v>3075-456</v>
      </c>
      <c r="C946" s="99" t="s">
        <v>2294</v>
      </c>
      <c r="D946" s="100" t="s">
        <v>2295</v>
      </c>
      <c r="E946" s="100" t="s">
        <v>2327</v>
      </c>
      <c r="F946" s="99" t="s">
        <v>2328</v>
      </c>
      <c r="G946" s="101" t="s">
        <v>2329</v>
      </c>
      <c r="H946" s="102" t="s">
        <v>2330</v>
      </c>
      <c r="I946" s="100" t="s">
        <v>2300</v>
      </c>
      <c r="J946" s="100" t="s">
        <v>2301</v>
      </c>
      <c r="K946" s="100" t="s">
        <v>50</v>
      </c>
      <c r="L946" s="1" t="s">
        <v>2302</v>
      </c>
      <c r="M946" s="1" t="s">
        <v>493</v>
      </c>
      <c r="N946" s="1" t="s">
        <v>494</v>
      </c>
      <c r="O946" s="100" t="s">
        <v>2321</v>
      </c>
      <c r="P946" s="112" t="s">
        <v>3368</v>
      </c>
      <c r="Q946" s="103">
        <v>1000000</v>
      </c>
      <c r="R946" s="1">
        <v>1</v>
      </c>
      <c r="S946" s="104">
        <f>Q946*R946-1000000</f>
        <v>0</v>
      </c>
      <c r="T946" s="1"/>
      <c r="U946" s="1" t="s">
        <v>2323</v>
      </c>
      <c r="V946" s="31"/>
      <c r="W946" s="105" t="s">
        <v>50</v>
      </c>
      <c r="X946" s="123" t="s">
        <v>3606</v>
      </c>
      <c r="Y946" s="31">
        <v>43248</v>
      </c>
      <c r="Z946" s="106">
        <f>1000000-1000000</f>
        <v>0</v>
      </c>
      <c r="AA946" s="107" t="s">
        <v>3607</v>
      </c>
      <c r="AB946" s="20">
        <v>851</v>
      </c>
      <c r="AC946" s="31">
        <v>43248</v>
      </c>
      <c r="AD946" s="108">
        <f>1000000-1000000</f>
        <v>0</v>
      </c>
      <c r="AE946" s="109">
        <f t="shared" si="83"/>
        <v>0</v>
      </c>
      <c r="AF946" s="20"/>
      <c r="AG946" s="31"/>
      <c r="AH946" s="108"/>
      <c r="AI946" s="1"/>
      <c r="AJ946" s="1"/>
      <c r="AK946" s="109">
        <f t="shared" si="87"/>
        <v>0</v>
      </c>
      <c r="AL946" s="108"/>
      <c r="AM946" s="108">
        <f t="shared" si="88"/>
        <v>0</v>
      </c>
      <c r="AN946" s="1" t="s">
        <v>2308</v>
      </c>
      <c r="AO946" s="108">
        <f t="shared" si="89"/>
        <v>0</v>
      </c>
      <c r="AP946" s="1" t="s">
        <v>3460</v>
      </c>
      <c r="AQ946" s="31">
        <v>43248</v>
      </c>
      <c r="AR946" s="1" t="s">
        <v>2786</v>
      </c>
      <c r="AS946" s="31">
        <v>43248</v>
      </c>
      <c r="AT946" s="1" t="s">
        <v>3368</v>
      </c>
      <c r="AU946" s="211"/>
    </row>
    <row r="947" spans="1:47" ht="178.5" x14ac:dyDescent="0.2">
      <c r="A947" s="1">
        <v>457</v>
      </c>
      <c r="B947" s="1" t="str">
        <f t="shared" si="86"/>
        <v>3075-457</v>
      </c>
      <c r="C947" s="99" t="s">
        <v>2294</v>
      </c>
      <c r="D947" s="100" t="s">
        <v>2295</v>
      </c>
      <c r="E947" s="100" t="s">
        <v>2327</v>
      </c>
      <c r="F947" s="99" t="s">
        <v>2328</v>
      </c>
      <c r="G947" s="101" t="s">
        <v>2329</v>
      </c>
      <c r="H947" s="102" t="s">
        <v>2330</v>
      </c>
      <c r="I947" s="100" t="s">
        <v>2345</v>
      </c>
      <c r="J947" s="100" t="s">
        <v>2346</v>
      </c>
      <c r="K947" s="100" t="s">
        <v>50</v>
      </c>
      <c r="L947" s="1" t="s">
        <v>2302</v>
      </c>
      <c r="M947" s="1" t="s">
        <v>493</v>
      </c>
      <c r="N947" s="1" t="s">
        <v>494</v>
      </c>
      <c r="O947" s="100" t="s">
        <v>2321</v>
      </c>
      <c r="P947" s="100" t="s">
        <v>3608</v>
      </c>
      <c r="Q947" s="103">
        <v>39062100</v>
      </c>
      <c r="R947" s="1">
        <v>1</v>
      </c>
      <c r="S947" s="104">
        <f t="shared" si="85"/>
        <v>39062100</v>
      </c>
      <c r="T947" s="1" t="s">
        <v>2323</v>
      </c>
      <c r="U947" s="1" t="s">
        <v>2323</v>
      </c>
      <c r="V947" s="31" t="s">
        <v>632</v>
      </c>
      <c r="W947" s="105" t="s">
        <v>50</v>
      </c>
      <c r="X947" s="113" t="s">
        <v>3609</v>
      </c>
      <c r="Y947" s="31">
        <v>43264</v>
      </c>
      <c r="Z947" s="106">
        <v>39062100</v>
      </c>
      <c r="AA947" s="107" t="s">
        <v>3308</v>
      </c>
      <c r="AB947" s="20">
        <v>892</v>
      </c>
      <c r="AC947" s="31">
        <v>43266</v>
      </c>
      <c r="AD947" s="108">
        <v>39062100</v>
      </c>
      <c r="AE947" s="109">
        <f t="shared" si="83"/>
        <v>0</v>
      </c>
      <c r="AF947" s="20">
        <v>2414</v>
      </c>
      <c r="AG947" s="31">
        <v>43284</v>
      </c>
      <c r="AH947" s="108">
        <v>39062100</v>
      </c>
      <c r="AI947" s="1" t="s">
        <v>3610</v>
      </c>
      <c r="AJ947" s="1">
        <v>2818</v>
      </c>
      <c r="AK947" s="109">
        <f t="shared" si="87"/>
        <v>0</v>
      </c>
      <c r="AL947" s="108">
        <v>0</v>
      </c>
      <c r="AM947" s="108">
        <f t="shared" si="88"/>
        <v>39062100</v>
      </c>
      <c r="AN947" s="1" t="s">
        <v>2308</v>
      </c>
      <c r="AO947" s="108">
        <f t="shared" si="89"/>
        <v>0</v>
      </c>
      <c r="AP947" s="1"/>
      <c r="AQ947" s="31">
        <v>43259</v>
      </c>
      <c r="AR947" s="1" t="s">
        <v>3256</v>
      </c>
      <c r="AS947" s="31">
        <v>43264</v>
      </c>
      <c r="AT947" s="100" t="s">
        <v>3608</v>
      </c>
      <c r="AU947" s="211"/>
    </row>
    <row r="948" spans="1:47" ht="178.5" x14ac:dyDescent="0.2">
      <c r="A948" s="1">
        <v>458</v>
      </c>
      <c r="B948" s="1" t="str">
        <f t="shared" si="86"/>
        <v>3075-458</v>
      </c>
      <c r="C948" s="99" t="s">
        <v>2294</v>
      </c>
      <c r="D948" s="100" t="s">
        <v>2295</v>
      </c>
      <c r="E948" s="100" t="s">
        <v>2327</v>
      </c>
      <c r="F948" s="99" t="s">
        <v>2328</v>
      </c>
      <c r="G948" s="101" t="s">
        <v>2329</v>
      </c>
      <c r="H948" s="102" t="s">
        <v>2330</v>
      </c>
      <c r="I948" s="100" t="s">
        <v>2345</v>
      </c>
      <c r="J948" s="100" t="s">
        <v>2346</v>
      </c>
      <c r="K948" s="100" t="s">
        <v>50</v>
      </c>
      <c r="L948" s="1" t="s">
        <v>2302</v>
      </c>
      <c r="M948" s="1" t="s">
        <v>493</v>
      </c>
      <c r="N948" s="1" t="s">
        <v>494</v>
      </c>
      <c r="O948" s="100" t="s">
        <v>2321</v>
      </c>
      <c r="P948" s="100" t="s">
        <v>3611</v>
      </c>
      <c r="Q948" s="103">
        <v>39062100</v>
      </c>
      <c r="R948" s="1">
        <v>1</v>
      </c>
      <c r="S948" s="104">
        <f t="shared" si="85"/>
        <v>39062100</v>
      </c>
      <c r="T948" s="1" t="s">
        <v>2323</v>
      </c>
      <c r="U948" s="1" t="s">
        <v>2323</v>
      </c>
      <c r="V948" s="31" t="s">
        <v>632</v>
      </c>
      <c r="W948" s="105" t="s">
        <v>50</v>
      </c>
      <c r="X948" s="113" t="s">
        <v>3612</v>
      </c>
      <c r="Y948" s="31">
        <v>43264</v>
      </c>
      <c r="Z948" s="106">
        <v>39062100</v>
      </c>
      <c r="AA948" s="107" t="s">
        <v>3308</v>
      </c>
      <c r="AB948" s="20">
        <v>903</v>
      </c>
      <c r="AC948" s="31">
        <v>43270</v>
      </c>
      <c r="AD948" s="108">
        <v>39062100</v>
      </c>
      <c r="AE948" s="109">
        <f t="shared" si="83"/>
        <v>0</v>
      </c>
      <c r="AF948" s="20">
        <v>2476</v>
      </c>
      <c r="AG948" s="31">
        <v>43292</v>
      </c>
      <c r="AH948" s="108">
        <v>39062100</v>
      </c>
      <c r="AI948" s="1" t="s">
        <v>3613</v>
      </c>
      <c r="AJ948" s="1">
        <v>2840</v>
      </c>
      <c r="AK948" s="109">
        <f t="shared" si="87"/>
        <v>0</v>
      </c>
      <c r="AL948" s="108">
        <v>0</v>
      </c>
      <c r="AM948" s="108">
        <f t="shared" si="88"/>
        <v>39062100</v>
      </c>
      <c r="AN948" s="1" t="s">
        <v>2308</v>
      </c>
      <c r="AO948" s="108">
        <f t="shared" si="89"/>
        <v>0</v>
      </c>
      <c r="AP948" s="1"/>
      <c r="AQ948" s="31">
        <v>43259</v>
      </c>
      <c r="AR948" s="1" t="s">
        <v>3256</v>
      </c>
      <c r="AS948" s="31">
        <v>43264</v>
      </c>
      <c r="AT948" s="1" t="s">
        <v>3611</v>
      </c>
      <c r="AU948" s="211"/>
    </row>
    <row r="949" spans="1:47" ht="153" x14ac:dyDescent="0.2">
      <c r="A949" s="1">
        <v>459</v>
      </c>
      <c r="B949" s="1" t="str">
        <f t="shared" si="86"/>
        <v>3075-459</v>
      </c>
      <c r="C949" s="99" t="s">
        <v>2294</v>
      </c>
      <c r="D949" s="100" t="s">
        <v>2295</v>
      </c>
      <c r="E949" s="99" t="s">
        <v>2317</v>
      </c>
      <c r="F949" s="99" t="s">
        <v>2318</v>
      </c>
      <c r="G949" s="101" t="s">
        <v>2319</v>
      </c>
      <c r="H949" s="102" t="s">
        <v>2320</v>
      </c>
      <c r="I949" s="100" t="s">
        <v>2300</v>
      </c>
      <c r="J949" s="100" t="s">
        <v>2301</v>
      </c>
      <c r="K949" s="100" t="s">
        <v>50</v>
      </c>
      <c r="L949" s="1" t="s">
        <v>2302</v>
      </c>
      <c r="M949" s="1" t="s">
        <v>493</v>
      </c>
      <c r="N949" s="1" t="s">
        <v>494</v>
      </c>
      <c r="O949" s="100" t="s">
        <v>2321</v>
      </c>
      <c r="P949" s="112" t="s">
        <v>3614</v>
      </c>
      <c r="Q949" s="103">
        <v>20501658</v>
      </c>
      <c r="R949" s="1">
        <v>1</v>
      </c>
      <c r="S949" s="104">
        <f t="shared" si="85"/>
        <v>20501658</v>
      </c>
      <c r="T949" s="1" t="s">
        <v>2323</v>
      </c>
      <c r="U949" s="1" t="s">
        <v>2323</v>
      </c>
      <c r="V949" s="31" t="s">
        <v>632</v>
      </c>
      <c r="W949" s="105" t="s">
        <v>50</v>
      </c>
      <c r="X949" s="113" t="s">
        <v>3615</v>
      </c>
      <c r="Y949" s="111">
        <v>43264</v>
      </c>
      <c r="Z949" s="106">
        <v>20501658</v>
      </c>
      <c r="AA949" s="107" t="s">
        <v>3616</v>
      </c>
      <c r="AB949" s="20">
        <v>893</v>
      </c>
      <c r="AC949" s="31">
        <v>43266</v>
      </c>
      <c r="AD949" s="108">
        <v>20501658</v>
      </c>
      <c r="AE949" s="109">
        <f t="shared" si="83"/>
        <v>0</v>
      </c>
      <c r="AF949" s="20">
        <v>2468</v>
      </c>
      <c r="AG949" s="31">
        <v>43292</v>
      </c>
      <c r="AH949" s="108">
        <v>20501658</v>
      </c>
      <c r="AI949" s="1" t="s">
        <v>3617</v>
      </c>
      <c r="AJ949" s="1">
        <v>2866</v>
      </c>
      <c r="AK949" s="109">
        <f t="shared" si="87"/>
        <v>0</v>
      </c>
      <c r="AL949" s="108">
        <v>0</v>
      </c>
      <c r="AM949" s="108">
        <f t="shared" si="88"/>
        <v>20501658</v>
      </c>
      <c r="AN949" s="1" t="s">
        <v>2308</v>
      </c>
      <c r="AO949" s="108">
        <f t="shared" si="89"/>
        <v>0</v>
      </c>
      <c r="AP949" s="1"/>
      <c r="AQ949" s="31">
        <v>43264</v>
      </c>
      <c r="AR949" s="1" t="s">
        <v>3256</v>
      </c>
      <c r="AS949" s="31">
        <v>43264</v>
      </c>
      <c r="AT949" s="1" t="s">
        <v>3614</v>
      </c>
      <c r="AU949" s="211"/>
    </row>
    <row r="950" spans="1:47" ht="165.75" x14ac:dyDescent="0.2">
      <c r="A950" s="1">
        <v>460</v>
      </c>
      <c r="B950" s="1" t="str">
        <f t="shared" si="86"/>
        <v>3075-460</v>
      </c>
      <c r="C950" s="99" t="s">
        <v>2294</v>
      </c>
      <c r="D950" s="100" t="s">
        <v>2295</v>
      </c>
      <c r="E950" s="99" t="s">
        <v>2317</v>
      </c>
      <c r="F950" s="99" t="s">
        <v>2318</v>
      </c>
      <c r="G950" s="101" t="s">
        <v>2319</v>
      </c>
      <c r="H950" s="102" t="s">
        <v>2320</v>
      </c>
      <c r="I950" s="100" t="s">
        <v>2300</v>
      </c>
      <c r="J950" s="100" t="s">
        <v>2301</v>
      </c>
      <c r="K950" s="100" t="s">
        <v>50</v>
      </c>
      <c r="L950" s="1" t="s">
        <v>2302</v>
      </c>
      <c r="M950" s="1" t="s">
        <v>493</v>
      </c>
      <c r="N950" s="1" t="s">
        <v>494</v>
      </c>
      <c r="O950" s="100" t="s">
        <v>2321</v>
      </c>
      <c r="P950" s="112" t="s">
        <v>3618</v>
      </c>
      <c r="Q950" s="103">
        <v>38051600</v>
      </c>
      <c r="R950" s="1">
        <v>1</v>
      </c>
      <c r="S950" s="104">
        <f t="shared" si="85"/>
        <v>38051600</v>
      </c>
      <c r="T950" s="1"/>
      <c r="U950" s="1" t="s">
        <v>2323</v>
      </c>
      <c r="V950" s="31" t="s">
        <v>510</v>
      </c>
      <c r="W950" s="105" t="s">
        <v>50</v>
      </c>
      <c r="X950" s="113" t="s">
        <v>3619</v>
      </c>
      <c r="Y950" s="111">
        <v>43264</v>
      </c>
      <c r="Z950" s="106">
        <v>38051600</v>
      </c>
      <c r="AA950" s="107" t="s">
        <v>3616</v>
      </c>
      <c r="AB950" s="20">
        <v>894</v>
      </c>
      <c r="AC950" s="31">
        <v>43266</v>
      </c>
      <c r="AD950" s="108">
        <v>38051600</v>
      </c>
      <c r="AE950" s="109">
        <f t="shared" si="83"/>
        <v>0</v>
      </c>
      <c r="AF950" s="20"/>
      <c r="AG950" s="31"/>
      <c r="AH950" s="108"/>
      <c r="AI950" s="1"/>
      <c r="AJ950" s="1"/>
      <c r="AK950" s="109">
        <f t="shared" si="87"/>
        <v>38051600</v>
      </c>
      <c r="AL950" s="108"/>
      <c r="AM950" s="108">
        <f t="shared" si="88"/>
        <v>0</v>
      </c>
      <c r="AN950" s="1" t="s">
        <v>2308</v>
      </c>
      <c r="AO950" s="108">
        <f t="shared" si="89"/>
        <v>38051600</v>
      </c>
      <c r="AP950" s="1"/>
      <c r="AQ950" s="31">
        <v>43264</v>
      </c>
      <c r="AR950" s="1" t="s">
        <v>3256</v>
      </c>
      <c r="AS950" s="31">
        <v>43264</v>
      </c>
      <c r="AT950" s="1" t="s">
        <v>3618</v>
      </c>
      <c r="AU950" s="211"/>
    </row>
    <row r="951" spans="1:47" ht="165.75" x14ac:dyDescent="0.2">
      <c r="A951" s="1">
        <v>461</v>
      </c>
      <c r="B951" s="1" t="str">
        <f t="shared" si="86"/>
        <v>3075-461</v>
      </c>
      <c r="C951" s="99" t="s">
        <v>2294</v>
      </c>
      <c r="D951" s="100" t="s">
        <v>2295</v>
      </c>
      <c r="E951" s="99" t="s">
        <v>2317</v>
      </c>
      <c r="F951" s="99" t="s">
        <v>2318</v>
      </c>
      <c r="G951" s="101" t="s">
        <v>2319</v>
      </c>
      <c r="H951" s="102" t="s">
        <v>2320</v>
      </c>
      <c r="I951" s="100" t="s">
        <v>2300</v>
      </c>
      <c r="J951" s="100" t="s">
        <v>2301</v>
      </c>
      <c r="K951" s="100" t="s">
        <v>50</v>
      </c>
      <c r="L951" s="1" t="s">
        <v>2302</v>
      </c>
      <c r="M951" s="1" t="s">
        <v>493</v>
      </c>
      <c r="N951" s="1" t="s">
        <v>494</v>
      </c>
      <c r="O951" s="100" t="s">
        <v>2321</v>
      </c>
      <c r="P951" s="112" t="s">
        <v>3620</v>
      </c>
      <c r="Q951" s="103">
        <v>20351100</v>
      </c>
      <c r="R951" s="1">
        <v>1</v>
      </c>
      <c r="S951" s="104">
        <f t="shared" si="85"/>
        <v>20351100</v>
      </c>
      <c r="T951" s="1"/>
      <c r="U951" s="1" t="s">
        <v>2323</v>
      </c>
      <c r="V951" s="31" t="s">
        <v>510</v>
      </c>
      <c r="W951" s="105" t="s">
        <v>50</v>
      </c>
      <c r="X951" s="113" t="s">
        <v>3621</v>
      </c>
      <c r="Y951" s="111">
        <v>43264</v>
      </c>
      <c r="Z951" s="106">
        <v>20351100</v>
      </c>
      <c r="AA951" s="107" t="s">
        <v>3616</v>
      </c>
      <c r="AB951" s="20">
        <v>895</v>
      </c>
      <c r="AC951" s="31">
        <v>43266</v>
      </c>
      <c r="AD951" s="108">
        <v>20351100</v>
      </c>
      <c r="AE951" s="109">
        <f t="shared" si="83"/>
        <v>0</v>
      </c>
      <c r="AF951" s="20"/>
      <c r="AG951" s="31"/>
      <c r="AH951" s="108"/>
      <c r="AI951" s="1"/>
      <c r="AJ951" s="1"/>
      <c r="AK951" s="109">
        <f t="shared" si="87"/>
        <v>20351100</v>
      </c>
      <c r="AL951" s="108"/>
      <c r="AM951" s="108">
        <f t="shared" si="88"/>
        <v>0</v>
      </c>
      <c r="AN951" s="1" t="s">
        <v>2308</v>
      </c>
      <c r="AO951" s="108">
        <f t="shared" si="89"/>
        <v>20351100</v>
      </c>
      <c r="AP951" s="1"/>
      <c r="AQ951" s="31">
        <v>43264</v>
      </c>
      <c r="AR951" s="1" t="s">
        <v>3256</v>
      </c>
      <c r="AS951" s="31">
        <v>43264</v>
      </c>
      <c r="AT951" s="1" t="s">
        <v>3620</v>
      </c>
      <c r="AU951" s="211"/>
    </row>
    <row r="952" spans="1:47" ht="153" x14ac:dyDescent="0.2">
      <c r="A952" s="1">
        <v>462</v>
      </c>
      <c r="B952" s="1" t="str">
        <f t="shared" si="86"/>
        <v>3075-462</v>
      </c>
      <c r="C952" s="99" t="s">
        <v>2294</v>
      </c>
      <c r="D952" s="100" t="s">
        <v>2295</v>
      </c>
      <c r="E952" s="99" t="s">
        <v>2317</v>
      </c>
      <c r="F952" s="99" t="s">
        <v>2318</v>
      </c>
      <c r="G952" s="101" t="s">
        <v>2319</v>
      </c>
      <c r="H952" s="102" t="s">
        <v>2320</v>
      </c>
      <c r="I952" s="100" t="s">
        <v>2300</v>
      </c>
      <c r="J952" s="100" t="s">
        <v>2301</v>
      </c>
      <c r="K952" s="100" t="s">
        <v>50</v>
      </c>
      <c r="L952" s="1" t="s">
        <v>2302</v>
      </c>
      <c r="M952" s="1" t="s">
        <v>493</v>
      </c>
      <c r="N952" s="1" t="s">
        <v>494</v>
      </c>
      <c r="O952" s="100" t="s">
        <v>2321</v>
      </c>
      <c r="P952" s="112" t="s">
        <v>3622</v>
      </c>
      <c r="Q952" s="103">
        <v>42139350</v>
      </c>
      <c r="R952" s="1">
        <v>1</v>
      </c>
      <c r="S952" s="104">
        <f t="shared" si="85"/>
        <v>42139350</v>
      </c>
      <c r="T952" s="1"/>
      <c r="U952" s="1" t="s">
        <v>2323</v>
      </c>
      <c r="V952" s="31" t="s">
        <v>510</v>
      </c>
      <c r="W952" s="105" t="s">
        <v>50</v>
      </c>
      <c r="X952" s="113" t="s">
        <v>3623</v>
      </c>
      <c r="Y952" s="111">
        <v>43265</v>
      </c>
      <c r="Z952" s="106">
        <v>42139350</v>
      </c>
      <c r="AA952" s="107" t="s">
        <v>3616</v>
      </c>
      <c r="AB952" s="20">
        <v>896</v>
      </c>
      <c r="AC952" s="31">
        <v>43269</v>
      </c>
      <c r="AD952" s="108">
        <v>42139350</v>
      </c>
      <c r="AE952" s="109">
        <f t="shared" si="83"/>
        <v>0</v>
      </c>
      <c r="AF952" s="20"/>
      <c r="AG952" s="31"/>
      <c r="AH952" s="108"/>
      <c r="AI952" s="1"/>
      <c r="AJ952" s="1"/>
      <c r="AK952" s="109">
        <f t="shared" si="87"/>
        <v>42139350</v>
      </c>
      <c r="AL952" s="108"/>
      <c r="AM952" s="108">
        <f t="shared" si="88"/>
        <v>0</v>
      </c>
      <c r="AN952" s="1" t="s">
        <v>2308</v>
      </c>
      <c r="AO952" s="108">
        <f t="shared" si="89"/>
        <v>42139350</v>
      </c>
      <c r="AP952" s="1"/>
      <c r="AQ952" s="31">
        <v>43264</v>
      </c>
      <c r="AR952" s="1" t="s">
        <v>3256</v>
      </c>
      <c r="AS952" s="31">
        <v>43265</v>
      </c>
      <c r="AT952" s="1" t="s">
        <v>3622</v>
      </c>
      <c r="AU952" s="211"/>
    </row>
    <row r="953" spans="1:47" ht="178.5" x14ac:dyDescent="0.2">
      <c r="A953" s="1">
        <v>463</v>
      </c>
      <c r="B953" s="1" t="str">
        <f t="shared" si="86"/>
        <v>3075-463</v>
      </c>
      <c r="C953" s="99" t="s">
        <v>2294</v>
      </c>
      <c r="D953" s="100" t="s">
        <v>2295</v>
      </c>
      <c r="E953" s="100" t="s">
        <v>2327</v>
      </c>
      <c r="F953" s="99" t="s">
        <v>2328</v>
      </c>
      <c r="G953" s="101" t="s">
        <v>2329</v>
      </c>
      <c r="H953" s="102" t="s">
        <v>2330</v>
      </c>
      <c r="I953" s="100" t="s">
        <v>2345</v>
      </c>
      <c r="J953" s="100" t="s">
        <v>2346</v>
      </c>
      <c r="K953" s="100" t="s">
        <v>50</v>
      </c>
      <c r="L953" s="1" t="s">
        <v>2302</v>
      </c>
      <c r="M953" s="1" t="s">
        <v>493</v>
      </c>
      <c r="N953" s="1" t="s">
        <v>494</v>
      </c>
      <c r="O953" s="100" t="s">
        <v>2321</v>
      </c>
      <c r="P953" s="100" t="s">
        <v>3624</v>
      </c>
      <c r="Q953" s="103">
        <v>39062100</v>
      </c>
      <c r="R953" s="1">
        <v>1</v>
      </c>
      <c r="S953" s="104">
        <f t="shared" si="85"/>
        <v>39062100</v>
      </c>
      <c r="T953" s="1" t="s">
        <v>2323</v>
      </c>
      <c r="U953" s="1" t="s">
        <v>2323</v>
      </c>
      <c r="V953" s="31" t="s">
        <v>1352</v>
      </c>
      <c r="W953" s="105" t="s">
        <v>50</v>
      </c>
      <c r="X953" s="113" t="s">
        <v>3625</v>
      </c>
      <c r="Y953" s="111">
        <v>43265</v>
      </c>
      <c r="Z953" s="106">
        <v>39062100</v>
      </c>
      <c r="AA953" s="107" t="s">
        <v>3308</v>
      </c>
      <c r="AB953" s="20">
        <v>897</v>
      </c>
      <c r="AC953" s="31">
        <v>43269</v>
      </c>
      <c r="AD953" s="108">
        <v>39062100</v>
      </c>
      <c r="AE953" s="109">
        <f t="shared" si="83"/>
        <v>0</v>
      </c>
      <c r="AF953" s="20">
        <v>2411</v>
      </c>
      <c r="AG953" s="31">
        <v>43280</v>
      </c>
      <c r="AH953" s="108">
        <v>39062100</v>
      </c>
      <c r="AI953" s="1" t="s">
        <v>3626</v>
      </c>
      <c r="AJ953" s="1">
        <v>2829</v>
      </c>
      <c r="AK953" s="109">
        <f t="shared" si="87"/>
        <v>0</v>
      </c>
      <c r="AL953" s="108">
        <v>0</v>
      </c>
      <c r="AM953" s="108">
        <f t="shared" si="88"/>
        <v>39062100</v>
      </c>
      <c r="AN953" s="1" t="s">
        <v>2308</v>
      </c>
      <c r="AO953" s="108">
        <f t="shared" si="89"/>
        <v>0</v>
      </c>
      <c r="AP953" s="1"/>
      <c r="AQ953" s="31">
        <v>43264</v>
      </c>
      <c r="AR953" s="1" t="s">
        <v>3256</v>
      </c>
      <c r="AS953" s="31">
        <v>43265</v>
      </c>
      <c r="AT953" s="100" t="s">
        <v>3624</v>
      </c>
      <c r="AU953" s="211"/>
    </row>
    <row r="954" spans="1:47" ht="178.5" x14ac:dyDescent="0.2">
      <c r="A954" s="1">
        <v>464</v>
      </c>
      <c r="B954" s="1" t="str">
        <f t="shared" si="86"/>
        <v>3075-464</v>
      </c>
      <c r="C954" s="99" t="s">
        <v>2294</v>
      </c>
      <c r="D954" s="100" t="s">
        <v>2295</v>
      </c>
      <c r="E954" s="100" t="s">
        <v>2327</v>
      </c>
      <c r="F954" s="99" t="s">
        <v>2328</v>
      </c>
      <c r="G954" s="101" t="s">
        <v>2329</v>
      </c>
      <c r="H954" s="102" t="s">
        <v>2330</v>
      </c>
      <c r="I954" s="100" t="s">
        <v>2345</v>
      </c>
      <c r="J954" s="100" t="s">
        <v>2346</v>
      </c>
      <c r="K954" s="100" t="s">
        <v>50</v>
      </c>
      <c r="L954" s="1" t="s">
        <v>2302</v>
      </c>
      <c r="M954" s="1" t="s">
        <v>493</v>
      </c>
      <c r="N954" s="1" t="s">
        <v>494</v>
      </c>
      <c r="O954" s="100" t="s">
        <v>2321</v>
      </c>
      <c r="P954" s="100" t="s">
        <v>3627</v>
      </c>
      <c r="Q954" s="103">
        <v>39062100</v>
      </c>
      <c r="R954" s="1">
        <v>1</v>
      </c>
      <c r="S954" s="104">
        <f t="shared" si="85"/>
        <v>39062100</v>
      </c>
      <c r="T954" s="1" t="s">
        <v>2323</v>
      </c>
      <c r="U954" s="1" t="s">
        <v>2323</v>
      </c>
      <c r="V954" s="31" t="s">
        <v>632</v>
      </c>
      <c r="W954" s="105" t="s">
        <v>50</v>
      </c>
      <c r="X954" s="113" t="s">
        <v>3628</v>
      </c>
      <c r="Y954" s="111">
        <v>43265</v>
      </c>
      <c r="Z954" s="106">
        <v>39062100</v>
      </c>
      <c r="AA954" s="107" t="s">
        <v>3308</v>
      </c>
      <c r="AB954" s="20">
        <v>898</v>
      </c>
      <c r="AC954" s="31">
        <v>43269</v>
      </c>
      <c r="AD954" s="108">
        <v>39062100</v>
      </c>
      <c r="AE954" s="109">
        <f t="shared" si="83"/>
        <v>0</v>
      </c>
      <c r="AF954" s="20">
        <v>2467</v>
      </c>
      <c r="AG954" s="31">
        <v>43292</v>
      </c>
      <c r="AH954" s="108">
        <v>39062100</v>
      </c>
      <c r="AI954" s="1" t="s">
        <v>3629</v>
      </c>
      <c r="AJ954" s="1">
        <v>2865</v>
      </c>
      <c r="AK954" s="109">
        <f t="shared" si="87"/>
        <v>0</v>
      </c>
      <c r="AL954" s="108">
        <v>0</v>
      </c>
      <c r="AM954" s="108">
        <f t="shared" si="88"/>
        <v>39062100</v>
      </c>
      <c r="AN954" s="1" t="s">
        <v>2308</v>
      </c>
      <c r="AO954" s="108">
        <f t="shared" si="89"/>
        <v>0</v>
      </c>
      <c r="AP954" s="1"/>
      <c r="AQ954" s="31">
        <v>43264</v>
      </c>
      <c r="AR954" s="1" t="s">
        <v>3256</v>
      </c>
      <c r="AS954" s="31">
        <v>43265</v>
      </c>
      <c r="AT954" s="1" t="s">
        <v>3627</v>
      </c>
      <c r="AU954" s="211"/>
    </row>
    <row r="955" spans="1:47" ht="178.5" x14ac:dyDescent="0.2">
      <c r="A955" s="1">
        <v>465</v>
      </c>
      <c r="B955" s="1" t="str">
        <f t="shared" si="86"/>
        <v>3075-465</v>
      </c>
      <c r="C955" s="99" t="s">
        <v>2294</v>
      </c>
      <c r="D955" s="100" t="s">
        <v>2295</v>
      </c>
      <c r="E955" s="100" t="s">
        <v>2327</v>
      </c>
      <c r="F955" s="99" t="s">
        <v>2328</v>
      </c>
      <c r="G955" s="101" t="s">
        <v>2329</v>
      </c>
      <c r="H955" s="102" t="s">
        <v>2330</v>
      </c>
      <c r="I955" s="100" t="s">
        <v>2345</v>
      </c>
      <c r="J955" s="100" t="s">
        <v>2346</v>
      </c>
      <c r="K955" s="100" t="s">
        <v>50</v>
      </c>
      <c r="L955" s="1" t="s">
        <v>2302</v>
      </c>
      <c r="M955" s="1" t="s">
        <v>493</v>
      </c>
      <c r="N955" s="1" t="s">
        <v>494</v>
      </c>
      <c r="O955" s="100" t="s">
        <v>2321</v>
      </c>
      <c r="P955" s="100" t="s">
        <v>3630</v>
      </c>
      <c r="Q955" s="103">
        <v>39062100</v>
      </c>
      <c r="R955" s="1">
        <v>1</v>
      </c>
      <c r="S955" s="104">
        <f t="shared" si="85"/>
        <v>39062100</v>
      </c>
      <c r="T955" s="1" t="s">
        <v>2323</v>
      </c>
      <c r="U955" s="1" t="s">
        <v>2323</v>
      </c>
      <c r="V955" s="31" t="s">
        <v>632</v>
      </c>
      <c r="W955" s="105" t="s">
        <v>50</v>
      </c>
      <c r="X955" s="113" t="s">
        <v>3631</v>
      </c>
      <c r="Y955" s="31">
        <v>43265</v>
      </c>
      <c r="Z955" s="106">
        <v>39062100</v>
      </c>
      <c r="AA955" s="107" t="s">
        <v>2349</v>
      </c>
      <c r="AB955" s="20">
        <v>900</v>
      </c>
      <c r="AC955" s="31">
        <v>43269</v>
      </c>
      <c r="AD955" s="108">
        <v>39062100</v>
      </c>
      <c r="AE955" s="109">
        <f t="shared" si="83"/>
        <v>0</v>
      </c>
      <c r="AF955" s="20">
        <v>2437</v>
      </c>
      <c r="AG955" s="31">
        <v>43286</v>
      </c>
      <c r="AH955" s="108">
        <v>39062100</v>
      </c>
      <c r="AI955" s="1" t="s">
        <v>3632</v>
      </c>
      <c r="AJ955" s="1">
        <v>2830</v>
      </c>
      <c r="AK955" s="109">
        <f t="shared" si="87"/>
        <v>0</v>
      </c>
      <c r="AL955" s="108">
        <v>0</v>
      </c>
      <c r="AM955" s="108">
        <f t="shared" si="88"/>
        <v>39062100</v>
      </c>
      <c r="AN955" s="1" t="s">
        <v>2308</v>
      </c>
      <c r="AO955" s="108">
        <f t="shared" si="89"/>
        <v>0</v>
      </c>
      <c r="AP955" s="1"/>
      <c r="AQ955" s="31">
        <v>43264</v>
      </c>
      <c r="AR955" s="1" t="s">
        <v>3256</v>
      </c>
      <c r="AS955" s="31">
        <v>43265</v>
      </c>
      <c r="AT955" s="1" t="s">
        <v>3630</v>
      </c>
      <c r="AU955" s="211"/>
    </row>
    <row r="956" spans="1:47" ht="331.5" x14ac:dyDescent="0.2">
      <c r="A956" s="1">
        <v>466</v>
      </c>
      <c r="B956" s="1" t="str">
        <f t="shared" si="86"/>
        <v>3075-466</v>
      </c>
      <c r="C956" s="99" t="s">
        <v>2294</v>
      </c>
      <c r="D956" s="100" t="s">
        <v>2295</v>
      </c>
      <c r="E956" s="100" t="s">
        <v>2327</v>
      </c>
      <c r="F956" s="99" t="s">
        <v>2328</v>
      </c>
      <c r="G956" s="101" t="s">
        <v>2329</v>
      </c>
      <c r="H956" s="102" t="s">
        <v>2330</v>
      </c>
      <c r="I956" s="100" t="s">
        <v>2300</v>
      </c>
      <c r="J956" s="100" t="s">
        <v>2301</v>
      </c>
      <c r="K956" s="100" t="s">
        <v>50</v>
      </c>
      <c r="L956" s="1" t="s">
        <v>2302</v>
      </c>
      <c r="M956" s="1" t="s">
        <v>493</v>
      </c>
      <c r="N956" s="1" t="s">
        <v>494</v>
      </c>
      <c r="O956" s="100" t="s">
        <v>2321</v>
      </c>
      <c r="P956" s="100" t="s">
        <v>3633</v>
      </c>
      <c r="Q956" s="103">
        <v>39062100</v>
      </c>
      <c r="R956" s="1">
        <v>1</v>
      </c>
      <c r="S956" s="104">
        <f t="shared" si="85"/>
        <v>39062100</v>
      </c>
      <c r="T956" s="1" t="s">
        <v>2323</v>
      </c>
      <c r="U956" s="1" t="s">
        <v>2323</v>
      </c>
      <c r="V956" s="31" t="s">
        <v>1352</v>
      </c>
      <c r="W956" s="105" t="s">
        <v>50</v>
      </c>
      <c r="X956" s="1" t="s">
        <v>3634</v>
      </c>
      <c r="Y956" s="31">
        <v>43269</v>
      </c>
      <c r="Z956" s="108">
        <v>39062100</v>
      </c>
      <c r="AA956" s="107" t="s">
        <v>3635</v>
      </c>
      <c r="AB956" s="20">
        <v>904</v>
      </c>
      <c r="AC956" s="31">
        <v>43270</v>
      </c>
      <c r="AD956" s="108">
        <v>39062100</v>
      </c>
      <c r="AE956" s="109">
        <f t="shared" si="83"/>
        <v>0</v>
      </c>
      <c r="AF956" s="20">
        <v>2412</v>
      </c>
      <c r="AG956" s="31">
        <v>43280</v>
      </c>
      <c r="AH956" s="108">
        <v>39062100</v>
      </c>
      <c r="AI956" s="1" t="s">
        <v>3636</v>
      </c>
      <c r="AJ956" s="1">
        <v>2801</v>
      </c>
      <c r="AK956" s="109">
        <f t="shared" si="87"/>
        <v>0</v>
      </c>
      <c r="AL956" s="108">
        <v>0</v>
      </c>
      <c r="AM956" s="108">
        <f t="shared" si="88"/>
        <v>39062100</v>
      </c>
      <c r="AN956" s="1" t="s">
        <v>2308</v>
      </c>
      <c r="AO956" s="108">
        <f t="shared" si="89"/>
        <v>0</v>
      </c>
      <c r="AP956" s="1"/>
      <c r="AQ956" s="31">
        <v>43269</v>
      </c>
      <c r="AR956" s="1" t="s">
        <v>3256</v>
      </c>
      <c r="AS956" s="31">
        <v>43269</v>
      </c>
      <c r="AT956" s="1" t="s">
        <v>3633</v>
      </c>
      <c r="AU956" s="211"/>
    </row>
    <row r="957" spans="1:47" ht="318.75" x14ac:dyDescent="0.2">
      <c r="A957" s="1">
        <v>467</v>
      </c>
      <c r="B957" s="1" t="str">
        <f t="shared" si="86"/>
        <v>3075-467</v>
      </c>
      <c r="C957" s="99" t="s">
        <v>2294</v>
      </c>
      <c r="D957" s="100" t="s">
        <v>2295</v>
      </c>
      <c r="E957" s="100" t="s">
        <v>2327</v>
      </c>
      <c r="F957" s="99" t="s">
        <v>2328</v>
      </c>
      <c r="G957" s="101" t="s">
        <v>2329</v>
      </c>
      <c r="H957" s="102" t="s">
        <v>2330</v>
      </c>
      <c r="I957" s="100" t="s">
        <v>2300</v>
      </c>
      <c r="J957" s="100" t="s">
        <v>2301</v>
      </c>
      <c r="K957" s="100" t="s">
        <v>50</v>
      </c>
      <c r="L957" s="1" t="s">
        <v>2302</v>
      </c>
      <c r="M957" s="1" t="s">
        <v>493</v>
      </c>
      <c r="N957" s="1" t="s">
        <v>494</v>
      </c>
      <c r="O957" s="100" t="s">
        <v>2321</v>
      </c>
      <c r="P957" s="100" t="s">
        <v>3637</v>
      </c>
      <c r="Q957" s="103">
        <v>39062100</v>
      </c>
      <c r="R957" s="1">
        <v>1</v>
      </c>
      <c r="S957" s="104">
        <f t="shared" si="85"/>
        <v>39062100</v>
      </c>
      <c r="T957" s="1" t="s">
        <v>2323</v>
      </c>
      <c r="U957" s="1" t="s">
        <v>2323</v>
      </c>
      <c r="V957" s="31" t="s">
        <v>1352</v>
      </c>
      <c r="W957" s="105" t="s">
        <v>50</v>
      </c>
      <c r="X957" s="1" t="s">
        <v>3638</v>
      </c>
      <c r="Y957" s="31">
        <v>43269</v>
      </c>
      <c r="Z957" s="108">
        <v>39062100</v>
      </c>
      <c r="AA957" s="107" t="s">
        <v>2933</v>
      </c>
      <c r="AB957" s="20">
        <v>906</v>
      </c>
      <c r="AC957" s="31">
        <v>43270</v>
      </c>
      <c r="AD957" s="108">
        <v>39062100</v>
      </c>
      <c r="AE957" s="109">
        <f t="shared" si="83"/>
        <v>0</v>
      </c>
      <c r="AF957" s="20">
        <v>2410</v>
      </c>
      <c r="AG957" s="31">
        <v>43280</v>
      </c>
      <c r="AH957" s="108">
        <v>39062100</v>
      </c>
      <c r="AI957" s="1" t="s">
        <v>3639</v>
      </c>
      <c r="AJ957" s="1">
        <v>2824</v>
      </c>
      <c r="AK957" s="109">
        <f t="shared" si="87"/>
        <v>0</v>
      </c>
      <c r="AL957" s="108">
        <v>0</v>
      </c>
      <c r="AM957" s="108">
        <f t="shared" si="88"/>
        <v>39062100</v>
      </c>
      <c r="AN957" s="1" t="s">
        <v>2308</v>
      </c>
      <c r="AO957" s="108">
        <f t="shared" si="89"/>
        <v>0</v>
      </c>
      <c r="AP957" s="1"/>
      <c r="AQ957" s="31">
        <v>43269</v>
      </c>
      <c r="AR957" s="1" t="s">
        <v>3256</v>
      </c>
      <c r="AS957" s="31">
        <v>43269</v>
      </c>
      <c r="AT957" s="1" t="s">
        <v>3637</v>
      </c>
      <c r="AU957" s="211"/>
    </row>
    <row r="958" spans="1:47" ht="191.25" x14ac:dyDescent="0.2">
      <c r="A958" s="1">
        <v>468</v>
      </c>
      <c r="B958" s="1" t="str">
        <f t="shared" si="86"/>
        <v>3075-468</v>
      </c>
      <c r="C958" s="99" t="s">
        <v>2294</v>
      </c>
      <c r="D958" s="100" t="s">
        <v>2295</v>
      </c>
      <c r="E958" s="100" t="s">
        <v>2327</v>
      </c>
      <c r="F958" s="99" t="s">
        <v>2328</v>
      </c>
      <c r="G958" s="101" t="s">
        <v>2329</v>
      </c>
      <c r="H958" s="102" t="s">
        <v>2330</v>
      </c>
      <c r="I958" s="100" t="s">
        <v>2300</v>
      </c>
      <c r="J958" s="100" t="s">
        <v>2301</v>
      </c>
      <c r="K958" s="100" t="s">
        <v>50</v>
      </c>
      <c r="L958" s="1" t="s">
        <v>2302</v>
      </c>
      <c r="M958" s="1" t="s">
        <v>493</v>
      </c>
      <c r="N958" s="1" t="s">
        <v>494</v>
      </c>
      <c r="O958" s="100" t="s">
        <v>2321</v>
      </c>
      <c r="P958" s="100" t="s">
        <v>3640</v>
      </c>
      <c r="Q958" s="106">
        <v>17971536</v>
      </c>
      <c r="R958" s="1">
        <v>1</v>
      </c>
      <c r="S958" s="104">
        <f t="shared" si="85"/>
        <v>17971536</v>
      </c>
      <c r="T958" s="109"/>
      <c r="U958" s="1" t="s">
        <v>2323</v>
      </c>
      <c r="V958" s="31" t="s">
        <v>2208</v>
      </c>
      <c r="W958" s="105" t="s">
        <v>50</v>
      </c>
      <c r="X958" s="1" t="s">
        <v>3641</v>
      </c>
      <c r="Y958" s="31">
        <v>43273</v>
      </c>
      <c r="Z958" s="106">
        <v>17971536</v>
      </c>
      <c r="AA958" s="107" t="s">
        <v>3570</v>
      </c>
      <c r="AB958" s="20">
        <v>915</v>
      </c>
      <c r="AC958" s="31">
        <v>43277</v>
      </c>
      <c r="AD958" s="108">
        <v>17971536</v>
      </c>
      <c r="AE958" s="109">
        <f t="shared" si="83"/>
        <v>0</v>
      </c>
      <c r="AF958" s="20"/>
      <c r="AG958" s="31"/>
      <c r="AH958" s="108"/>
      <c r="AI958" s="1"/>
      <c r="AJ958" s="1"/>
      <c r="AK958" s="109">
        <f t="shared" si="87"/>
        <v>17971536</v>
      </c>
      <c r="AL958" s="108"/>
      <c r="AM958" s="108">
        <f t="shared" si="88"/>
        <v>0</v>
      </c>
      <c r="AN958" s="1" t="s">
        <v>2308</v>
      </c>
      <c r="AO958" s="108">
        <f t="shared" si="89"/>
        <v>17971536</v>
      </c>
      <c r="AP958" s="1"/>
      <c r="AQ958" s="31">
        <v>43272</v>
      </c>
      <c r="AR958" s="1" t="s">
        <v>3256</v>
      </c>
      <c r="AS958" s="31">
        <v>43273</v>
      </c>
      <c r="AT958" s="1" t="s">
        <v>3640</v>
      </c>
      <c r="AU958" s="211"/>
    </row>
    <row r="959" spans="1:47" ht="165.75" x14ac:dyDescent="0.2">
      <c r="A959" s="1">
        <v>469</v>
      </c>
      <c r="B959" s="1" t="str">
        <f t="shared" si="86"/>
        <v>3075-469</v>
      </c>
      <c r="C959" s="99" t="s">
        <v>2294</v>
      </c>
      <c r="D959" s="100" t="s">
        <v>2295</v>
      </c>
      <c r="E959" s="99" t="s">
        <v>2317</v>
      </c>
      <c r="F959" s="99" t="s">
        <v>2318</v>
      </c>
      <c r="G959" s="101" t="s">
        <v>2319</v>
      </c>
      <c r="H959" s="102" t="s">
        <v>2320</v>
      </c>
      <c r="I959" s="100" t="s">
        <v>2300</v>
      </c>
      <c r="J959" s="100" t="s">
        <v>2301</v>
      </c>
      <c r="K959" s="100" t="s">
        <v>50</v>
      </c>
      <c r="L959" s="1" t="s">
        <v>2302</v>
      </c>
      <c r="M959" s="1" t="s">
        <v>493</v>
      </c>
      <c r="N959" s="1" t="s">
        <v>494</v>
      </c>
      <c r="O959" s="100" t="s">
        <v>2321</v>
      </c>
      <c r="P959" s="112" t="s">
        <v>3642</v>
      </c>
      <c r="Q959" s="103">
        <v>16512000</v>
      </c>
      <c r="R959" s="1">
        <v>1</v>
      </c>
      <c r="S959" s="104">
        <f t="shared" si="85"/>
        <v>16512000</v>
      </c>
      <c r="T959" s="1"/>
      <c r="U959" s="1" t="s">
        <v>2323</v>
      </c>
      <c r="V959" s="31" t="s">
        <v>510</v>
      </c>
      <c r="W959" s="105" t="s">
        <v>50</v>
      </c>
      <c r="X959" s="113" t="s">
        <v>3643</v>
      </c>
      <c r="Y959" s="111">
        <v>43273</v>
      </c>
      <c r="Z959" s="106">
        <v>16512000</v>
      </c>
      <c r="AA959" s="107" t="s">
        <v>3616</v>
      </c>
      <c r="AB959" s="20">
        <v>914</v>
      </c>
      <c r="AC959" s="31">
        <v>43276</v>
      </c>
      <c r="AD959" s="108">
        <v>16512000</v>
      </c>
      <c r="AE959" s="109">
        <f t="shared" si="83"/>
        <v>0</v>
      </c>
      <c r="AF959" s="20"/>
      <c r="AG959" s="31"/>
      <c r="AH959" s="108"/>
      <c r="AI959" s="1"/>
      <c r="AJ959" s="1"/>
      <c r="AK959" s="109">
        <f t="shared" si="87"/>
        <v>16512000</v>
      </c>
      <c r="AL959" s="108"/>
      <c r="AM959" s="108">
        <f t="shared" si="88"/>
        <v>0</v>
      </c>
      <c r="AN959" s="1" t="s">
        <v>2308</v>
      </c>
      <c r="AO959" s="108">
        <f t="shared" si="89"/>
        <v>16512000</v>
      </c>
      <c r="AP959" s="1"/>
      <c r="AQ959" s="31">
        <v>43272</v>
      </c>
      <c r="AR959" s="1" t="s">
        <v>3256</v>
      </c>
      <c r="AS959" s="31">
        <v>43273</v>
      </c>
      <c r="AT959" s="1" t="s">
        <v>3642</v>
      </c>
      <c r="AU959" s="211"/>
    </row>
    <row r="960" spans="1:47" ht="318.75" x14ac:dyDescent="0.2">
      <c r="A960" s="1">
        <v>470</v>
      </c>
      <c r="B960" s="1" t="str">
        <f t="shared" si="86"/>
        <v>3075-470</v>
      </c>
      <c r="C960" s="99" t="s">
        <v>2294</v>
      </c>
      <c r="D960" s="100" t="s">
        <v>2295</v>
      </c>
      <c r="E960" s="100" t="s">
        <v>2327</v>
      </c>
      <c r="F960" s="99" t="s">
        <v>2328</v>
      </c>
      <c r="G960" s="101" t="s">
        <v>2329</v>
      </c>
      <c r="H960" s="102" t="s">
        <v>2330</v>
      </c>
      <c r="I960" s="100" t="s">
        <v>2300</v>
      </c>
      <c r="J960" s="100" t="s">
        <v>2301</v>
      </c>
      <c r="K960" s="100" t="s">
        <v>50</v>
      </c>
      <c r="L960" s="1" t="s">
        <v>2302</v>
      </c>
      <c r="M960" s="1" t="s">
        <v>493</v>
      </c>
      <c r="N960" s="1" t="s">
        <v>494</v>
      </c>
      <c r="O960" s="100" t="s">
        <v>2321</v>
      </c>
      <c r="P960" s="100" t="s">
        <v>3644</v>
      </c>
      <c r="Q960" s="103">
        <v>39062100</v>
      </c>
      <c r="R960" s="1">
        <v>1</v>
      </c>
      <c r="S960" s="104">
        <f t="shared" si="85"/>
        <v>39062100</v>
      </c>
      <c r="T960" s="1" t="s">
        <v>2323</v>
      </c>
      <c r="U960" s="1" t="s">
        <v>2323</v>
      </c>
      <c r="V960" s="31" t="s">
        <v>1352</v>
      </c>
      <c r="W960" s="105" t="s">
        <v>50</v>
      </c>
      <c r="X960" s="1" t="s">
        <v>3645</v>
      </c>
      <c r="Y960" s="31">
        <v>43276</v>
      </c>
      <c r="Z960" s="106">
        <v>39062100</v>
      </c>
      <c r="AA960" s="107" t="s">
        <v>3646</v>
      </c>
      <c r="AB960" s="20">
        <v>917</v>
      </c>
      <c r="AC960" s="31">
        <v>43277</v>
      </c>
      <c r="AD960" s="108">
        <v>39062100</v>
      </c>
      <c r="AE960" s="109">
        <f t="shared" si="83"/>
        <v>0</v>
      </c>
      <c r="AF960" s="20">
        <v>2406</v>
      </c>
      <c r="AG960" s="31">
        <v>43280</v>
      </c>
      <c r="AH960" s="108">
        <v>39062100</v>
      </c>
      <c r="AI960" s="1" t="s">
        <v>3647</v>
      </c>
      <c r="AJ960" s="1">
        <v>2826</v>
      </c>
      <c r="AK960" s="109">
        <f t="shared" si="87"/>
        <v>0</v>
      </c>
      <c r="AL960" s="108">
        <v>0</v>
      </c>
      <c r="AM960" s="108">
        <f t="shared" si="88"/>
        <v>39062100</v>
      </c>
      <c r="AN960" s="1" t="s">
        <v>2308</v>
      </c>
      <c r="AO960" s="108">
        <f t="shared" si="89"/>
        <v>0</v>
      </c>
      <c r="AP960" s="1"/>
      <c r="AQ960" s="31">
        <v>43276</v>
      </c>
      <c r="AR960" s="1" t="s">
        <v>3256</v>
      </c>
      <c r="AS960" s="31">
        <v>43276</v>
      </c>
      <c r="AT960" s="100" t="s">
        <v>3644</v>
      </c>
      <c r="AU960" s="211"/>
    </row>
    <row r="961" spans="1:47" ht="331.5" x14ac:dyDescent="0.2">
      <c r="A961" s="1">
        <v>471</v>
      </c>
      <c r="B961" s="1" t="str">
        <f t="shared" si="86"/>
        <v>3075-471</v>
      </c>
      <c r="C961" s="99" t="s">
        <v>2294</v>
      </c>
      <c r="D961" s="100" t="s">
        <v>2295</v>
      </c>
      <c r="E961" s="100" t="s">
        <v>2327</v>
      </c>
      <c r="F961" s="99" t="s">
        <v>2328</v>
      </c>
      <c r="G961" s="101" t="s">
        <v>2329</v>
      </c>
      <c r="H961" s="102" t="s">
        <v>2330</v>
      </c>
      <c r="I961" s="100" t="s">
        <v>2300</v>
      </c>
      <c r="J961" s="100" t="s">
        <v>2301</v>
      </c>
      <c r="K961" s="100" t="s">
        <v>50</v>
      </c>
      <c r="L961" s="1" t="s">
        <v>2302</v>
      </c>
      <c r="M961" s="1" t="s">
        <v>493</v>
      </c>
      <c r="N961" s="1" t="s">
        <v>494</v>
      </c>
      <c r="O961" s="100" t="s">
        <v>2321</v>
      </c>
      <c r="P961" s="100" t="s">
        <v>3648</v>
      </c>
      <c r="Q961" s="103">
        <v>39062100</v>
      </c>
      <c r="R961" s="1">
        <v>1</v>
      </c>
      <c r="S961" s="104">
        <f t="shared" si="85"/>
        <v>39062100</v>
      </c>
      <c r="T961" s="1" t="s">
        <v>2323</v>
      </c>
      <c r="U961" s="1" t="s">
        <v>2323</v>
      </c>
      <c r="V961" s="31" t="s">
        <v>632</v>
      </c>
      <c r="W961" s="105" t="s">
        <v>50</v>
      </c>
      <c r="X961" s="1" t="s">
        <v>3649</v>
      </c>
      <c r="Y961" s="31">
        <v>43276</v>
      </c>
      <c r="Z961" s="106">
        <v>39062100</v>
      </c>
      <c r="AA961" s="107" t="s">
        <v>3650</v>
      </c>
      <c r="AB961" s="20">
        <v>919</v>
      </c>
      <c r="AC961" s="31">
        <v>43277</v>
      </c>
      <c r="AD961" s="108">
        <v>39062100</v>
      </c>
      <c r="AE961" s="109">
        <f t="shared" si="83"/>
        <v>0</v>
      </c>
      <c r="AF961" s="20">
        <v>2475</v>
      </c>
      <c r="AG961" s="31">
        <v>43292</v>
      </c>
      <c r="AH961" s="108">
        <v>39062100</v>
      </c>
      <c r="AI961" s="1" t="s">
        <v>3651</v>
      </c>
      <c r="AJ961" s="1">
        <v>2839</v>
      </c>
      <c r="AK961" s="109">
        <f t="shared" si="87"/>
        <v>0</v>
      </c>
      <c r="AL961" s="108">
        <v>0</v>
      </c>
      <c r="AM961" s="108">
        <f t="shared" si="88"/>
        <v>39062100</v>
      </c>
      <c r="AN961" s="1" t="s">
        <v>2308</v>
      </c>
      <c r="AO961" s="108">
        <f t="shared" si="89"/>
        <v>0</v>
      </c>
      <c r="AP961" s="1"/>
      <c r="AQ961" s="31">
        <v>43276</v>
      </c>
      <c r="AR961" s="1" t="s">
        <v>3256</v>
      </c>
      <c r="AS961" s="31">
        <v>43276</v>
      </c>
      <c r="AT961" s="100" t="s">
        <v>3648</v>
      </c>
      <c r="AU961" s="211"/>
    </row>
    <row r="962" spans="1:47" ht="331.5" x14ac:dyDescent="0.2">
      <c r="A962" s="1">
        <v>472</v>
      </c>
      <c r="B962" s="1" t="str">
        <f t="shared" si="86"/>
        <v>3075-472</v>
      </c>
      <c r="C962" s="99" t="s">
        <v>2294</v>
      </c>
      <c r="D962" s="100" t="s">
        <v>2295</v>
      </c>
      <c r="E962" s="100" t="s">
        <v>2327</v>
      </c>
      <c r="F962" s="99" t="s">
        <v>2328</v>
      </c>
      <c r="G962" s="101" t="s">
        <v>2329</v>
      </c>
      <c r="H962" s="102" t="s">
        <v>2330</v>
      </c>
      <c r="I962" s="100" t="s">
        <v>2300</v>
      </c>
      <c r="J962" s="100" t="s">
        <v>2301</v>
      </c>
      <c r="K962" s="100" t="s">
        <v>50</v>
      </c>
      <c r="L962" s="1" t="s">
        <v>2302</v>
      </c>
      <c r="M962" s="1" t="s">
        <v>493</v>
      </c>
      <c r="N962" s="1" t="s">
        <v>494</v>
      </c>
      <c r="O962" s="100" t="s">
        <v>2321</v>
      </c>
      <c r="P962" s="100" t="s">
        <v>3652</v>
      </c>
      <c r="Q962" s="103">
        <v>39062100</v>
      </c>
      <c r="R962" s="1">
        <v>1</v>
      </c>
      <c r="S962" s="104">
        <f t="shared" si="85"/>
        <v>39062100</v>
      </c>
      <c r="T962" s="1"/>
      <c r="U962" s="1" t="s">
        <v>2323</v>
      </c>
      <c r="V962" s="31" t="s">
        <v>2316</v>
      </c>
      <c r="W962" s="105" t="s">
        <v>50</v>
      </c>
      <c r="X962" s="1" t="s">
        <v>3653</v>
      </c>
      <c r="Y962" s="31">
        <v>43276</v>
      </c>
      <c r="Z962" s="106">
        <v>39062100</v>
      </c>
      <c r="AA962" s="107" t="s">
        <v>3650</v>
      </c>
      <c r="AB962" s="20">
        <v>920</v>
      </c>
      <c r="AC962" s="31">
        <v>43277</v>
      </c>
      <c r="AD962" s="108">
        <v>39062100</v>
      </c>
      <c r="AE962" s="109">
        <f t="shared" si="83"/>
        <v>0</v>
      </c>
      <c r="AF962" s="20"/>
      <c r="AG962" s="31"/>
      <c r="AH962" s="108"/>
      <c r="AI962" s="1"/>
      <c r="AJ962" s="1"/>
      <c r="AK962" s="109">
        <f t="shared" si="87"/>
        <v>39062100</v>
      </c>
      <c r="AL962" s="108"/>
      <c r="AM962" s="108">
        <f t="shared" si="88"/>
        <v>0</v>
      </c>
      <c r="AN962" s="1" t="s">
        <v>2308</v>
      </c>
      <c r="AO962" s="108">
        <f t="shared" si="89"/>
        <v>39062100</v>
      </c>
      <c r="AP962" s="1"/>
      <c r="AQ962" s="31">
        <v>43276</v>
      </c>
      <c r="AR962" s="1" t="s">
        <v>3256</v>
      </c>
      <c r="AS962" s="31">
        <v>43276</v>
      </c>
      <c r="AT962" s="100" t="s">
        <v>3652</v>
      </c>
      <c r="AU962" s="211"/>
    </row>
    <row r="963" spans="1:47" ht="331.5" x14ac:dyDescent="0.2">
      <c r="A963" s="1">
        <v>473</v>
      </c>
      <c r="B963" s="1" t="str">
        <f t="shared" si="86"/>
        <v>3075-473</v>
      </c>
      <c r="C963" s="99" t="s">
        <v>2294</v>
      </c>
      <c r="D963" s="100" t="s">
        <v>2295</v>
      </c>
      <c r="E963" s="100" t="s">
        <v>2327</v>
      </c>
      <c r="F963" s="99" t="s">
        <v>2328</v>
      </c>
      <c r="G963" s="101" t="s">
        <v>2329</v>
      </c>
      <c r="H963" s="102" t="s">
        <v>2330</v>
      </c>
      <c r="I963" s="100" t="s">
        <v>2300</v>
      </c>
      <c r="J963" s="100" t="s">
        <v>2301</v>
      </c>
      <c r="K963" s="100" t="s">
        <v>50</v>
      </c>
      <c r="L963" s="1" t="s">
        <v>2302</v>
      </c>
      <c r="M963" s="1" t="s">
        <v>493</v>
      </c>
      <c r="N963" s="1" t="s">
        <v>494</v>
      </c>
      <c r="O963" s="100" t="s">
        <v>2321</v>
      </c>
      <c r="P963" s="100" t="s">
        <v>3654</v>
      </c>
      <c r="Q963" s="103">
        <v>39062100</v>
      </c>
      <c r="R963" s="1">
        <v>1</v>
      </c>
      <c r="S963" s="104">
        <f t="shared" si="85"/>
        <v>39062100</v>
      </c>
      <c r="T963" s="1"/>
      <c r="U963" s="1" t="s">
        <v>2323</v>
      </c>
      <c r="V963" s="31" t="s">
        <v>2316</v>
      </c>
      <c r="W963" s="105" t="s">
        <v>50</v>
      </c>
      <c r="X963" s="1" t="s">
        <v>3655</v>
      </c>
      <c r="Y963" s="31">
        <v>43276</v>
      </c>
      <c r="Z963" s="106">
        <v>39062100</v>
      </c>
      <c r="AA963" s="107" t="s">
        <v>3650</v>
      </c>
      <c r="AB963" s="20">
        <v>921</v>
      </c>
      <c r="AC963" s="31">
        <v>43277</v>
      </c>
      <c r="AD963" s="108">
        <v>39062100</v>
      </c>
      <c r="AE963" s="109">
        <f t="shared" si="83"/>
        <v>0</v>
      </c>
      <c r="AF963" s="20"/>
      <c r="AG963" s="31"/>
      <c r="AH963" s="108"/>
      <c r="AI963" s="1"/>
      <c r="AJ963" s="1"/>
      <c r="AK963" s="109">
        <f t="shared" si="87"/>
        <v>39062100</v>
      </c>
      <c r="AL963" s="108"/>
      <c r="AM963" s="108">
        <f t="shared" si="88"/>
        <v>0</v>
      </c>
      <c r="AN963" s="1" t="s">
        <v>2308</v>
      </c>
      <c r="AO963" s="108">
        <f t="shared" si="89"/>
        <v>39062100</v>
      </c>
      <c r="AP963" s="1"/>
      <c r="AQ963" s="31">
        <v>43276</v>
      </c>
      <c r="AR963" s="1" t="s">
        <v>3256</v>
      </c>
      <c r="AS963" s="31">
        <v>43276</v>
      </c>
      <c r="AT963" s="100" t="s">
        <v>3654</v>
      </c>
      <c r="AU963" s="211"/>
    </row>
    <row r="964" spans="1:47" ht="331.5" x14ac:dyDescent="0.2">
      <c r="A964" s="1">
        <v>474</v>
      </c>
      <c r="B964" s="1" t="str">
        <f t="shared" si="86"/>
        <v>3075-474</v>
      </c>
      <c r="C964" s="99" t="s">
        <v>2294</v>
      </c>
      <c r="D964" s="100" t="s">
        <v>2295</v>
      </c>
      <c r="E964" s="100" t="s">
        <v>2327</v>
      </c>
      <c r="F964" s="99" t="s">
        <v>2328</v>
      </c>
      <c r="G964" s="101" t="s">
        <v>2329</v>
      </c>
      <c r="H964" s="102" t="s">
        <v>2330</v>
      </c>
      <c r="I964" s="100" t="s">
        <v>2300</v>
      </c>
      <c r="J964" s="100" t="s">
        <v>2301</v>
      </c>
      <c r="K964" s="100" t="s">
        <v>50</v>
      </c>
      <c r="L964" s="1" t="s">
        <v>2302</v>
      </c>
      <c r="M964" s="1" t="s">
        <v>493</v>
      </c>
      <c r="N964" s="1" t="s">
        <v>494</v>
      </c>
      <c r="O964" s="100" t="s">
        <v>2321</v>
      </c>
      <c r="P964" s="100" t="s">
        <v>3656</v>
      </c>
      <c r="Q964" s="103">
        <v>39062100</v>
      </c>
      <c r="R964" s="1">
        <v>1</v>
      </c>
      <c r="S964" s="104">
        <f t="shared" si="85"/>
        <v>39062100</v>
      </c>
      <c r="T964" s="1"/>
      <c r="U964" s="1" t="s">
        <v>2323</v>
      </c>
      <c r="V964" s="31" t="s">
        <v>616</v>
      </c>
      <c r="W964" s="105" t="s">
        <v>50</v>
      </c>
      <c r="X964" s="1" t="s">
        <v>3657</v>
      </c>
      <c r="Y964" s="31">
        <v>43276</v>
      </c>
      <c r="Z964" s="106">
        <v>39062100</v>
      </c>
      <c r="AA964" s="107" t="s">
        <v>3658</v>
      </c>
      <c r="AB964" s="20">
        <v>922</v>
      </c>
      <c r="AC964" s="31">
        <v>43277</v>
      </c>
      <c r="AD964" s="108">
        <v>39062100</v>
      </c>
      <c r="AE964" s="109">
        <f t="shared" si="83"/>
        <v>0</v>
      </c>
      <c r="AF964" s="20"/>
      <c r="AG964" s="31"/>
      <c r="AH964" s="108"/>
      <c r="AI964" s="1"/>
      <c r="AJ964" s="1"/>
      <c r="AK964" s="109">
        <f t="shared" si="87"/>
        <v>39062100</v>
      </c>
      <c r="AL964" s="108"/>
      <c r="AM964" s="108">
        <f t="shared" si="88"/>
        <v>0</v>
      </c>
      <c r="AN964" s="1" t="s">
        <v>2308</v>
      </c>
      <c r="AO964" s="108">
        <f t="shared" si="89"/>
        <v>39062100</v>
      </c>
      <c r="AP964" s="1"/>
      <c r="AQ964" s="31">
        <v>43276</v>
      </c>
      <c r="AR964" s="1" t="s">
        <v>3256</v>
      </c>
      <c r="AS964" s="31">
        <v>43276</v>
      </c>
      <c r="AT964" s="1" t="s">
        <v>3656</v>
      </c>
      <c r="AU964" s="211"/>
    </row>
    <row r="965" spans="1:47" ht="331.5" x14ac:dyDescent="0.2">
      <c r="A965" s="1">
        <v>475</v>
      </c>
      <c r="B965" s="1" t="str">
        <f t="shared" si="86"/>
        <v>3075-475</v>
      </c>
      <c r="C965" s="99" t="s">
        <v>2294</v>
      </c>
      <c r="D965" s="100" t="s">
        <v>2295</v>
      </c>
      <c r="E965" s="100" t="s">
        <v>2327</v>
      </c>
      <c r="F965" s="99" t="s">
        <v>2328</v>
      </c>
      <c r="G965" s="101" t="s">
        <v>2329</v>
      </c>
      <c r="H965" s="102" t="s">
        <v>2330</v>
      </c>
      <c r="I965" s="100" t="s">
        <v>2300</v>
      </c>
      <c r="J965" s="100" t="s">
        <v>2301</v>
      </c>
      <c r="K965" s="100" t="s">
        <v>50</v>
      </c>
      <c r="L965" s="1" t="s">
        <v>2302</v>
      </c>
      <c r="M965" s="1" t="s">
        <v>493</v>
      </c>
      <c r="N965" s="1" t="s">
        <v>494</v>
      </c>
      <c r="O965" s="100" t="s">
        <v>2321</v>
      </c>
      <c r="P965" s="100" t="s">
        <v>3659</v>
      </c>
      <c r="Q965" s="103">
        <v>39062100</v>
      </c>
      <c r="R965" s="1">
        <v>1</v>
      </c>
      <c r="S965" s="104">
        <f t="shared" si="85"/>
        <v>39062100</v>
      </c>
      <c r="T965" s="1"/>
      <c r="U965" s="1" t="s">
        <v>2323</v>
      </c>
      <c r="V965" s="31" t="s">
        <v>616</v>
      </c>
      <c r="W965" s="105" t="s">
        <v>50</v>
      </c>
      <c r="X965" s="1" t="s">
        <v>3660</v>
      </c>
      <c r="Y965" s="31">
        <v>43276</v>
      </c>
      <c r="Z965" s="106">
        <v>39062100</v>
      </c>
      <c r="AA965" s="107" t="s">
        <v>3661</v>
      </c>
      <c r="AB965" s="20">
        <v>923</v>
      </c>
      <c r="AC965" s="31">
        <v>43277</v>
      </c>
      <c r="AD965" s="108">
        <v>39062100</v>
      </c>
      <c r="AE965" s="109">
        <f t="shared" si="83"/>
        <v>0</v>
      </c>
      <c r="AF965" s="20"/>
      <c r="AG965" s="31"/>
      <c r="AH965" s="108"/>
      <c r="AI965" s="1"/>
      <c r="AJ965" s="1"/>
      <c r="AK965" s="109">
        <f t="shared" si="87"/>
        <v>39062100</v>
      </c>
      <c r="AL965" s="108"/>
      <c r="AM965" s="108">
        <f t="shared" si="88"/>
        <v>0</v>
      </c>
      <c r="AN965" s="1" t="s">
        <v>2308</v>
      </c>
      <c r="AO965" s="108">
        <f t="shared" si="89"/>
        <v>39062100</v>
      </c>
      <c r="AP965" s="1"/>
      <c r="AQ965" s="31">
        <v>43276</v>
      </c>
      <c r="AR965" s="1" t="s">
        <v>3256</v>
      </c>
      <c r="AS965" s="31">
        <v>43276</v>
      </c>
      <c r="AT965" s="1" t="s">
        <v>3659</v>
      </c>
      <c r="AU965" s="211"/>
    </row>
    <row r="966" spans="1:47" ht="318.75" x14ac:dyDescent="0.2">
      <c r="A966" s="1">
        <v>476</v>
      </c>
      <c r="B966" s="1" t="str">
        <f t="shared" si="86"/>
        <v>3075-476</v>
      </c>
      <c r="C966" s="99" t="s">
        <v>2294</v>
      </c>
      <c r="D966" s="100" t="s">
        <v>2295</v>
      </c>
      <c r="E966" s="100" t="s">
        <v>2327</v>
      </c>
      <c r="F966" s="99" t="s">
        <v>2328</v>
      </c>
      <c r="G966" s="101" t="s">
        <v>2329</v>
      </c>
      <c r="H966" s="102" t="s">
        <v>2330</v>
      </c>
      <c r="I966" s="100" t="s">
        <v>2300</v>
      </c>
      <c r="J966" s="100" t="s">
        <v>2301</v>
      </c>
      <c r="K966" s="100" t="s">
        <v>50</v>
      </c>
      <c r="L966" s="1" t="s">
        <v>2302</v>
      </c>
      <c r="M966" s="1" t="s">
        <v>493</v>
      </c>
      <c r="N966" s="1" t="s">
        <v>494</v>
      </c>
      <c r="O966" s="100" t="s">
        <v>2321</v>
      </c>
      <c r="P966" s="100" t="s">
        <v>3662</v>
      </c>
      <c r="Q966" s="103">
        <v>39062100</v>
      </c>
      <c r="R966" s="1">
        <v>1</v>
      </c>
      <c r="S966" s="104">
        <f t="shared" si="85"/>
        <v>39062100</v>
      </c>
      <c r="T966" s="1"/>
      <c r="U966" s="1" t="s">
        <v>2323</v>
      </c>
      <c r="V966" s="31" t="s">
        <v>616</v>
      </c>
      <c r="W966" s="105" t="s">
        <v>50</v>
      </c>
      <c r="X966" s="1" t="s">
        <v>3663</v>
      </c>
      <c r="Y966" s="31">
        <v>43277</v>
      </c>
      <c r="Z966" s="106">
        <v>39062100</v>
      </c>
      <c r="AA966" s="107" t="s">
        <v>3661</v>
      </c>
      <c r="AB966" s="20">
        <v>932</v>
      </c>
      <c r="AC966" s="31">
        <v>43279</v>
      </c>
      <c r="AD966" s="108">
        <v>39062100</v>
      </c>
      <c r="AE966" s="109">
        <f t="shared" si="83"/>
        <v>0</v>
      </c>
      <c r="AF966" s="20"/>
      <c r="AG966" s="31"/>
      <c r="AH966" s="108"/>
      <c r="AI966" s="1"/>
      <c r="AJ966" s="1"/>
      <c r="AK966" s="109">
        <f t="shared" si="87"/>
        <v>39062100</v>
      </c>
      <c r="AL966" s="108"/>
      <c r="AM966" s="108">
        <f t="shared" si="88"/>
        <v>0</v>
      </c>
      <c r="AN966" s="1" t="s">
        <v>2308</v>
      </c>
      <c r="AO966" s="108">
        <f t="shared" si="89"/>
        <v>39062100</v>
      </c>
      <c r="AP966" s="1"/>
      <c r="AQ966" s="31">
        <v>43277</v>
      </c>
      <c r="AR966" s="1" t="s">
        <v>3256</v>
      </c>
      <c r="AS966" s="31">
        <v>43277</v>
      </c>
      <c r="AT966" s="100" t="s">
        <v>3662</v>
      </c>
      <c r="AU966" s="211"/>
    </row>
    <row r="967" spans="1:47" ht="165.75" x14ac:dyDescent="0.2">
      <c r="A967" s="1">
        <v>477</v>
      </c>
      <c r="B967" s="1" t="str">
        <f t="shared" si="86"/>
        <v>3075-477</v>
      </c>
      <c r="C967" s="99" t="s">
        <v>2294</v>
      </c>
      <c r="D967" s="100" t="s">
        <v>2295</v>
      </c>
      <c r="E967" s="99" t="s">
        <v>2317</v>
      </c>
      <c r="F967" s="99" t="s">
        <v>2318</v>
      </c>
      <c r="G967" s="101" t="s">
        <v>2319</v>
      </c>
      <c r="H967" s="102" t="s">
        <v>2320</v>
      </c>
      <c r="I967" s="100" t="s">
        <v>2300</v>
      </c>
      <c r="J967" s="100" t="s">
        <v>2301</v>
      </c>
      <c r="K967" s="100" t="s">
        <v>50</v>
      </c>
      <c r="L967" s="1" t="s">
        <v>2302</v>
      </c>
      <c r="M967" s="1" t="s">
        <v>493</v>
      </c>
      <c r="N967" s="1" t="s">
        <v>494</v>
      </c>
      <c r="O967" s="100" t="s">
        <v>2321</v>
      </c>
      <c r="P967" s="112" t="s">
        <v>3664</v>
      </c>
      <c r="Q967" s="103">
        <v>18216000</v>
      </c>
      <c r="R967" s="1">
        <v>1</v>
      </c>
      <c r="S967" s="104">
        <f t="shared" si="85"/>
        <v>18216000</v>
      </c>
      <c r="T967" s="1"/>
      <c r="U967" s="1" t="s">
        <v>2323</v>
      </c>
      <c r="V967" s="31" t="s">
        <v>510</v>
      </c>
      <c r="W967" s="105" t="s">
        <v>50</v>
      </c>
      <c r="X967" s="113" t="s">
        <v>3665</v>
      </c>
      <c r="Y967" s="111">
        <v>43277</v>
      </c>
      <c r="Z967" s="106">
        <v>18216000</v>
      </c>
      <c r="AA967" s="107" t="s">
        <v>3666</v>
      </c>
      <c r="AB967" s="20">
        <v>931</v>
      </c>
      <c r="AC967" s="31">
        <v>43279</v>
      </c>
      <c r="AD967" s="108">
        <v>18216000</v>
      </c>
      <c r="AE967" s="109">
        <f t="shared" si="83"/>
        <v>0</v>
      </c>
      <c r="AF967" s="20"/>
      <c r="AG967" s="31"/>
      <c r="AH967" s="108"/>
      <c r="AI967" s="1"/>
      <c r="AJ967" s="1"/>
      <c r="AK967" s="109">
        <f t="shared" si="87"/>
        <v>18216000</v>
      </c>
      <c r="AL967" s="108"/>
      <c r="AM967" s="108">
        <f t="shared" si="88"/>
        <v>0</v>
      </c>
      <c r="AN967" s="1" t="s">
        <v>2308</v>
      </c>
      <c r="AO967" s="108">
        <f t="shared" si="89"/>
        <v>18216000</v>
      </c>
      <c r="AP967" s="1"/>
      <c r="AQ967" s="31">
        <v>43277</v>
      </c>
      <c r="AR967" s="1" t="s">
        <v>3256</v>
      </c>
      <c r="AS967" s="31">
        <v>43277</v>
      </c>
      <c r="AT967" s="1" t="s">
        <v>3664</v>
      </c>
      <c r="AU967" s="211"/>
    </row>
    <row r="968" spans="1:47" ht="306" x14ac:dyDescent="0.2">
      <c r="A968" s="1">
        <v>478</v>
      </c>
      <c r="B968" s="1" t="str">
        <f t="shared" si="86"/>
        <v>3075-478</v>
      </c>
      <c r="C968" s="99" t="s">
        <v>2294</v>
      </c>
      <c r="D968" s="100" t="s">
        <v>2295</v>
      </c>
      <c r="E968" s="100" t="s">
        <v>2296</v>
      </c>
      <c r="F968" s="99" t="s">
        <v>2366</v>
      </c>
      <c r="G968" s="117" t="s">
        <v>2367</v>
      </c>
      <c r="H968" s="102" t="s">
        <v>2368</v>
      </c>
      <c r="I968" s="100" t="s">
        <v>2300</v>
      </c>
      <c r="J968" s="100" t="s">
        <v>2301</v>
      </c>
      <c r="K968" s="100">
        <v>801116</v>
      </c>
      <c r="L968" s="1" t="s">
        <v>2302</v>
      </c>
      <c r="M968" s="1" t="s">
        <v>493</v>
      </c>
      <c r="N968" s="1" t="s">
        <v>494</v>
      </c>
      <c r="O968" s="100" t="s">
        <v>2369</v>
      </c>
      <c r="P968" s="100" t="s">
        <v>3667</v>
      </c>
      <c r="Q968" s="106">
        <v>5036700</v>
      </c>
      <c r="R968" s="1">
        <v>1</v>
      </c>
      <c r="S968" s="104">
        <f>Q968*R968*W968</f>
        <v>25183500</v>
      </c>
      <c r="T968" s="1"/>
      <c r="U968" s="1" t="s">
        <v>2361</v>
      </c>
      <c r="V968" s="31" t="s">
        <v>2208</v>
      </c>
      <c r="W968" s="105">
        <v>5</v>
      </c>
      <c r="X968" s="1" t="s">
        <v>3668</v>
      </c>
      <c r="Y968" s="31">
        <v>43286</v>
      </c>
      <c r="Z968" s="106">
        <v>25183500</v>
      </c>
      <c r="AA968" s="107" t="s">
        <v>3669</v>
      </c>
      <c r="AB968" s="20">
        <v>941</v>
      </c>
      <c r="AC968" s="31">
        <v>43286</v>
      </c>
      <c r="AD968" s="108">
        <v>25183500</v>
      </c>
      <c r="AE968" s="109">
        <f t="shared" si="83"/>
        <v>0</v>
      </c>
      <c r="AF968" s="20"/>
      <c r="AG968" s="31"/>
      <c r="AH968" s="108"/>
      <c r="AI968" s="1"/>
      <c r="AJ968" s="1"/>
      <c r="AK968" s="109">
        <f t="shared" si="87"/>
        <v>25183500</v>
      </c>
      <c r="AL968" s="108"/>
      <c r="AM968" s="108">
        <f t="shared" si="88"/>
        <v>0</v>
      </c>
      <c r="AN968" s="1" t="s">
        <v>2308</v>
      </c>
      <c r="AO968" s="108">
        <f t="shared" si="89"/>
        <v>25183500</v>
      </c>
      <c r="AP968" s="1"/>
      <c r="AQ968" s="31">
        <v>43285</v>
      </c>
      <c r="AR968" s="1" t="s">
        <v>3256</v>
      </c>
      <c r="AS968" s="31">
        <v>43286</v>
      </c>
      <c r="AT968" s="1" t="s">
        <v>2607</v>
      </c>
      <c r="AU968" s="211"/>
    </row>
    <row r="969" spans="1:47" ht="357" x14ac:dyDescent="0.2">
      <c r="A969" s="1">
        <v>479</v>
      </c>
      <c r="B969" s="1" t="str">
        <f t="shared" si="86"/>
        <v>3075-479</v>
      </c>
      <c r="C969" s="99" t="s">
        <v>2294</v>
      </c>
      <c r="D969" s="100" t="s">
        <v>2295</v>
      </c>
      <c r="E969" s="99" t="s">
        <v>2317</v>
      </c>
      <c r="F969" s="99" t="s">
        <v>2318</v>
      </c>
      <c r="G969" s="101" t="s">
        <v>2319</v>
      </c>
      <c r="H969" s="102" t="s">
        <v>2320</v>
      </c>
      <c r="I969" s="100" t="s">
        <v>2300</v>
      </c>
      <c r="J969" s="100" t="s">
        <v>2301</v>
      </c>
      <c r="K969" s="100" t="s">
        <v>50</v>
      </c>
      <c r="L969" s="1" t="s">
        <v>2302</v>
      </c>
      <c r="M969" s="1" t="s">
        <v>493</v>
      </c>
      <c r="N969" s="1" t="s">
        <v>494</v>
      </c>
      <c r="O969" s="100" t="s">
        <v>2321</v>
      </c>
      <c r="P969" s="112" t="s">
        <v>3670</v>
      </c>
      <c r="Q969" s="103">
        <v>10962000</v>
      </c>
      <c r="R969" s="1">
        <v>1</v>
      </c>
      <c r="S969" s="104">
        <f t="shared" si="85"/>
        <v>10962000</v>
      </c>
      <c r="T969" s="1"/>
      <c r="U969" s="1" t="s">
        <v>2323</v>
      </c>
      <c r="V969" s="31" t="s">
        <v>616</v>
      </c>
      <c r="W969" s="105" t="s">
        <v>50</v>
      </c>
      <c r="X969" s="113" t="s">
        <v>3671</v>
      </c>
      <c r="Y969" s="111">
        <v>43290</v>
      </c>
      <c r="Z969" s="106">
        <v>10962000</v>
      </c>
      <c r="AA969" s="107" t="s">
        <v>3672</v>
      </c>
      <c r="AB969" s="20">
        <v>946</v>
      </c>
      <c r="AC969" s="31">
        <v>43291</v>
      </c>
      <c r="AD969" s="108">
        <v>10962000</v>
      </c>
      <c r="AE969" s="109">
        <f t="shared" si="83"/>
        <v>0</v>
      </c>
      <c r="AF969" s="20"/>
      <c r="AG969" s="31"/>
      <c r="AH969" s="108"/>
      <c r="AI969" s="1"/>
      <c r="AJ969" s="1"/>
      <c r="AK969" s="109">
        <f t="shared" si="87"/>
        <v>10962000</v>
      </c>
      <c r="AL969" s="108"/>
      <c r="AM969" s="108">
        <f t="shared" si="88"/>
        <v>0</v>
      </c>
      <c r="AN969" s="1" t="s">
        <v>2308</v>
      </c>
      <c r="AO969" s="108">
        <f t="shared" si="89"/>
        <v>10962000</v>
      </c>
      <c r="AP969" s="1"/>
      <c r="AQ969" s="31">
        <v>43290</v>
      </c>
      <c r="AR969" s="1" t="s">
        <v>3256</v>
      </c>
      <c r="AS969" s="31">
        <v>43290</v>
      </c>
      <c r="AT969" s="1" t="s">
        <v>3670</v>
      </c>
      <c r="AU969" s="211"/>
    </row>
    <row r="970" spans="1:47" ht="306" x14ac:dyDescent="0.2">
      <c r="A970" s="1">
        <v>480</v>
      </c>
      <c r="B970" s="1" t="str">
        <f t="shared" si="86"/>
        <v>3075-480</v>
      </c>
      <c r="C970" s="99" t="s">
        <v>2294</v>
      </c>
      <c r="D970" s="100" t="s">
        <v>2295</v>
      </c>
      <c r="E970" s="100" t="s">
        <v>2327</v>
      </c>
      <c r="F970" s="99" t="s">
        <v>2328</v>
      </c>
      <c r="G970" s="101" t="s">
        <v>2329</v>
      </c>
      <c r="H970" s="102" t="s">
        <v>2330</v>
      </c>
      <c r="I970" s="100" t="s">
        <v>2345</v>
      </c>
      <c r="J970" s="100" t="s">
        <v>2346</v>
      </c>
      <c r="K970" s="100" t="s">
        <v>50</v>
      </c>
      <c r="L970" s="1" t="s">
        <v>2302</v>
      </c>
      <c r="M970" s="1" t="s">
        <v>493</v>
      </c>
      <c r="N970" s="1" t="s">
        <v>494</v>
      </c>
      <c r="O970" s="100" t="s">
        <v>2321</v>
      </c>
      <c r="P970" s="100" t="s">
        <v>3673</v>
      </c>
      <c r="Q970" s="103">
        <v>39062100</v>
      </c>
      <c r="R970" s="1">
        <v>1</v>
      </c>
      <c r="S970" s="104">
        <f t="shared" si="85"/>
        <v>39062100</v>
      </c>
      <c r="T970" s="1"/>
      <c r="U970" s="1" t="s">
        <v>2323</v>
      </c>
      <c r="V970" s="31" t="s">
        <v>510</v>
      </c>
      <c r="W970" s="105" t="s">
        <v>50</v>
      </c>
      <c r="X970" s="113" t="s">
        <v>3674</v>
      </c>
      <c r="Y970" s="31">
        <v>43290</v>
      </c>
      <c r="Z970" s="106">
        <v>39062100</v>
      </c>
      <c r="AA970" s="107" t="s">
        <v>3675</v>
      </c>
      <c r="AB970" s="20">
        <v>951</v>
      </c>
      <c r="AC970" s="31">
        <v>43291</v>
      </c>
      <c r="AD970" s="108">
        <v>39062100</v>
      </c>
      <c r="AE970" s="109">
        <f t="shared" si="83"/>
        <v>0</v>
      </c>
      <c r="AF970" s="20"/>
      <c r="AG970" s="31"/>
      <c r="AH970" s="108"/>
      <c r="AI970" s="1"/>
      <c r="AJ970" s="1"/>
      <c r="AK970" s="109">
        <f t="shared" si="87"/>
        <v>39062100</v>
      </c>
      <c r="AL970" s="108"/>
      <c r="AM970" s="108">
        <f t="shared" si="88"/>
        <v>0</v>
      </c>
      <c r="AN970" s="1" t="s">
        <v>2308</v>
      </c>
      <c r="AO970" s="108">
        <f t="shared" si="89"/>
        <v>39062100</v>
      </c>
      <c r="AP970" s="1"/>
      <c r="AQ970" s="31">
        <v>43290</v>
      </c>
      <c r="AR970" s="1" t="s">
        <v>3256</v>
      </c>
      <c r="AS970" s="31">
        <v>43290</v>
      </c>
      <c r="AT970" s="100" t="s">
        <v>3673</v>
      </c>
      <c r="AU970" s="211"/>
    </row>
    <row r="971" spans="1:47" ht="318.75" x14ac:dyDescent="0.2">
      <c r="A971" s="1">
        <v>481</v>
      </c>
      <c r="B971" s="1" t="str">
        <f t="shared" si="86"/>
        <v>3075-481</v>
      </c>
      <c r="C971" s="99" t="s">
        <v>2294</v>
      </c>
      <c r="D971" s="100" t="s">
        <v>2295</v>
      </c>
      <c r="E971" s="100" t="s">
        <v>2327</v>
      </c>
      <c r="F971" s="99" t="s">
        <v>2328</v>
      </c>
      <c r="G971" s="101" t="s">
        <v>2329</v>
      </c>
      <c r="H971" s="102" t="s">
        <v>2330</v>
      </c>
      <c r="I971" s="100" t="s">
        <v>2345</v>
      </c>
      <c r="J971" s="100" t="s">
        <v>2346</v>
      </c>
      <c r="K971" s="100" t="s">
        <v>50</v>
      </c>
      <c r="L971" s="1" t="s">
        <v>2302</v>
      </c>
      <c r="M971" s="1" t="s">
        <v>493</v>
      </c>
      <c r="N971" s="1" t="s">
        <v>494</v>
      </c>
      <c r="O971" s="100" t="s">
        <v>2321</v>
      </c>
      <c r="P971" s="100" t="s">
        <v>3676</v>
      </c>
      <c r="Q971" s="103">
        <v>39062100</v>
      </c>
      <c r="R971" s="1">
        <v>1</v>
      </c>
      <c r="S971" s="104">
        <f t="shared" si="85"/>
        <v>39062100</v>
      </c>
      <c r="T971" s="1"/>
      <c r="U971" s="1" t="s">
        <v>2323</v>
      </c>
      <c r="V971" s="31" t="s">
        <v>510</v>
      </c>
      <c r="W971" s="105" t="s">
        <v>50</v>
      </c>
      <c r="X971" s="113" t="s">
        <v>3677</v>
      </c>
      <c r="Y971" s="31">
        <v>43290</v>
      </c>
      <c r="Z971" s="106">
        <v>39062100</v>
      </c>
      <c r="AA971" s="107" t="s">
        <v>3678</v>
      </c>
      <c r="AB971" s="20">
        <v>950</v>
      </c>
      <c r="AC971" s="31">
        <v>43291</v>
      </c>
      <c r="AD971" s="108">
        <v>39062100</v>
      </c>
      <c r="AE971" s="109">
        <f t="shared" si="83"/>
        <v>0</v>
      </c>
      <c r="AF971" s="20"/>
      <c r="AG971" s="31"/>
      <c r="AH971" s="108"/>
      <c r="AI971" s="1"/>
      <c r="AJ971" s="1"/>
      <c r="AK971" s="109">
        <f t="shared" si="87"/>
        <v>39062100</v>
      </c>
      <c r="AL971" s="108"/>
      <c r="AM971" s="108">
        <f t="shared" si="88"/>
        <v>0</v>
      </c>
      <c r="AN971" s="1" t="s">
        <v>2308</v>
      </c>
      <c r="AO971" s="108">
        <f t="shared" si="89"/>
        <v>39062100</v>
      </c>
      <c r="AP971" s="1"/>
      <c r="AQ971" s="31">
        <v>43290</v>
      </c>
      <c r="AR971" s="1" t="s">
        <v>3256</v>
      </c>
      <c r="AS971" s="31">
        <v>43290</v>
      </c>
      <c r="AT971" s="1" t="s">
        <v>3676</v>
      </c>
      <c r="AU971" s="211"/>
    </row>
    <row r="972" spans="1:47" ht="165.75" x14ac:dyDescent="0.2">
      <c r="A972" s="1">
        <v>482</v>
      </c>
      <c r="B972" s="1" t="str">
        <f t="shared" si="86"/>
        <v>3075-482</v>
      </c>
      <c r="C972" s="99" t="s">
        <v>2294</v>
      </c>
      <c r="D972" s="100" t="s">
        <v>2295</v>
      </c>
      <c r="E972" s="99" t="s">
        <v>2317</v>
      </c>
      <c r="F972" s="99" t="s">
        <v>2318</v>
      </c>
      <c r="G972" s="101" t="s">
        <v>2319</v>
      </c>
      <c r="H972" s="102" t="s">
        <v>2320</v>
      </c>
      <c r="I972" s="100" t="s">
        <v>2300</v>
      </c>
      <c r="J972" s="100" t="s">
        <v>2301</v>
      </c>
      <c r="K972" s="100" t="s">
        <v>50</v>
      </c>
      <c r="L972" s="1" t="s">
        <v>2302</v>
      </c>
      <c r="M972" s="1" t="s">
        <v>493</v>
      </c>
      <c r="N972" s="1" t="s">
        <v>494</v>
      </c>
      <c r="O972" s="100" t="s">
        <v>2321</v>
      </c>
      <c r="P972" s="112" t="s">
        <v>3679</v>
      </c>
      <c r="Q972" s="103">
        <v>45084240</v>
      </c>
      <c r="R972" s="1">
        <v>1</v>
      </c>
      <c r="S972" s="104">
        <f t="shared" si="85"/>
        <v>45084240</v>
      </c>
      <c r="T972" s="1"/>
      <c r="U972" s="1" t="s">
        <v>2323</v>
      </c>
      <c r="V972" s="31" t="s">
        <v>616</v>
      </c>
      <c r="W972" s="105" t="s">
        <v>50</v>
      </c>
      <c r="X972" s="113" t="s">
        <v>3680</v>
      </c>
      <c r="Y972" s="111">
        <v>43292</v>
      </c>
      <c r="Z972" s="106">
        <v>45084240</v>
      </c>
      <c r="AA972" s="107" t="s">
        <v>3672</v>
      </c>
      <c r="AB972" s="20">
        <v>966</v>
      </c>
      <c r="AC972" s="31">
        <v>43293</v>
      </c>
      <c r="AD972" s="108">
        <v>45084240</v>
      </c>
      <c r="AE972" s="109">
        <f t="shared" si="83"/>
        <v>0</v>
      </c>
      <c r="AF972" s="20"/>
      <c r="AG972" s="31"/>
      <c r="AH972" s="108"/>
      <c r="AI972" s="1"/>
      <c r="AJ972" s="1"/>
      <c r="AK972" s="109">
        <f t="shared" si="87"/>
        <v>45084240</v>
      </c>
      <c r="AL972" s="108"/>
      <c r="AM972" s="108">
        <f t="shared" si="88"/>
        <v>0</v>
      </c>
      <c r="AN972" s="1" t="s">
        <v>2308</v>
      </c>
      <c r="AO972" s="108">
        <f t="shared" si="89"/>
        <v>45084240</v>
      </c>
      <c r="AP972" s="1"/>
      <c r="AQ972" s="31">
        <v>43291</v>
      </c>
      <c r="AR972" s="1" t="s">
        <v>3256</v>
      </c>
      <c r="AS972" s="31">
        <v>43292</v>
      </c>
      <c r="AT972" s="1" t="s">
        <v>3679</v>
      </c>
      <c r="AU972" s="211"/>
    </row>
    <row r="973" spans="1:47" ht="165.75" x14ac:dyDescent="0.2">
      <c r="A973" s="1">
        <v>483</v>
      </c>
      <c r="B973" s="1" t="str">
        <f t="shared" si="86"/>
        <v>3075-483</v>
      </c>
      <c r="C973" s="99" t="s">
        <v>2294</v>
      </c>
      <c r="D973" s="100" t="s">
        <v>2295</v>
      </c>
      <c r="E973" s="99" t="s">
        <v>2317</v>
      </c>
      <c r="F973" s="99" t="s">
        <v>2318</v>
      </c>
      <c r="G973" s="101" t="s">
        <v>2319</v>
      </c>
      <c r="H973" s="102" t="s">
        <v>2320</v>
      </c>
      <c r="I973" s="100" t="s">
        <v>2300</v>
      </c>
      <c r="J973" s="100" t="s">
        <v>2301</v>
      </c>
      <c r="K973" s="100" t="s">
        <v>50</v>
      </c>
      <c r="L973" s="1" t="s">
        <v>2302</v>
      </c>
      <c r="M973" s="1" t="s">
        <v>493</v>
      </c>
      <c r="N973" s="1" t="s">
        <v>494</v>
      </c>
      <c r="O973" s="100" t="s">
        <v>2321</v>
      </c>
      <c r="P973" s="112" t="s">
        <v>3681</v>
      </c>
      <c r="Q973" s="103">
        <v>65332300</v>
      </c>
      <c r="R973" s="1">
        <v>1</v>
      </c>
      <c r="S973" s="104">
        <f t="shared" si="85"/>
        <v>65332300</v>
      </c>
      <c r="T973" s="1"/>
      <c r="U973" s="1" t="s">
        <v>2323</v>
      </c>
      <c r="V973" s="31" t="s">
        <v>616</v>
      </c>
      <c r="W973" s="105" t="s">
        <v>50</v>
      </c>
      <c r="X973" s="113" t="s">
        <v>3682</v>
      </c>
      <c r="Y973" s="111">
        <v>43292</v>
      </c>
      <c r="Z973" s="106">
        <v>65332300</v>
      </c>
      <c r="AA973" s="107" t="s">
        <v>3672</v>
      </c>
      <c r="AB973" s="20">
        <v>967</v>
      </c>
      <c r="AC973" s="31">
        <v>43293</v>
      </c>
      <c r="AD973" s="108">
        <v>65332300</v>
      </c>
      <c r="AE973" s="109">
        <f t="shared" ref="AE973:AE978" si="90">S973-Z973</f>
        <v>0</v>
      </c>
      <c r="AF973" s="20"/>
      <c r="AG973" s="31"/>
      <c r="AH973" s="108"/>
      <c r="AI973" s="1"/>
      <c r="AJ973" s="1"/>
      <c r="AK973" s="109">
        <f t="shared" si="87"/>
        <v>65332300</v>
      </c>
      <c r="AL973" s="108"/>
      <c r="AM973" s="108">
        <f t="shared" si="88"/>
        <v>0</v>
      </c>
      <c r="AN973" s="1" t="s">
        <v>2308</v>
      </c>
      <c r="AO973" s="108">
        <f t="shared" si="89"/>
        <v>65332300</v>
      </c>
      <c r="AP973" s="1"/>
      <c r="AQ973" s="31">
        <v>43291</v>
      </c>
      <c r="AR973" s="1" t="s">
        <v>3256</v>
      </c>
      <c r="AS973" s="31">
        <v>43292</v>
      </c>
      <c r="AT973" s="1" t="s">
        <v>3681</v>
      </c>
      <c r="AU973" s="211"/>
    </row>
    <row r="974" spans="1:47" ht="178.5" x14ac:dyDescent="0.2">
      <c r="A974" s="1">
        <v>484</v>
      </c>
      <c r="B974" s="1" t="str">
        <f t="shared" si="86"/>
        <v>3075-484</v>
      </c>
      <c r="C974" s="99" t="s">
        <v>2294</v>
      </c>
      <c r="D974" s="100" t="s">
        <v>2295</v>
      </c>
      <c r="E974" s="100" t="s">
        <v>2327</v>
      </c>
      <c r="F974" s="99" t="s">
        <v>2328</v>
      </c>
      <c r="G974" s="101" t="s">
        <v>2329</v>
      </c>
      <c r="H974" s="102" t="s">
        <v>2330</v>
      </c>
      <c r="I974" s="100" t="s">
        <v>2345</v>
      </c>
      <c r="J974" s="100" t="s">
        <v>2346</v>
      </c>
      <c r="K974" s="100" t="s">
        <v>50</v>
      </c>
      <c r="L974" s="1" t="s">
        <v>2302</v>
      </c>
      <c r="M974" s="1" t="s">
        <v>493</v>
      </c>
      <c r="N974" s="1" t="s">
        <v>494</v>
      </c>
      <c r="O974" s="100" t="s">
        <v>2321</v>
      </c>
      <c r="P974" s="100" t="s">
        <v>3683</v>
      </c>
      <c r="Q974" s="103">
        <v>39062100</v>
      </c>
      <c r="R974" s="1">
        <v>1</v>
      </c>
      <c r="S974" s="104">
        <f t="shared" si="85"/>
        <v>39062100</v>
      </c>
      <c r="T974" s="1"/>
      <c r="U974" s="1" t="s">
        <v>2323</v>
      </c>
      <c r="V974" s="31" t="s">
        <v>2208</v>
      </c>
      <c r="W974" s="105" t="s">
        <v>50</v>
      </c>
      <c r="X974" s="113" t="s">
        <v>3684</v>
      </c>
      <c r="Y974" s="31">
        <v>43292</v>
      </c>
      <c r="Z974" s="106">
        <v>39062100</v>
      </c>
      <c r="AA974" s="107" t="s">
        <v>3685</v>
      </c>
      <c r="AB974" s="20">
        <v>969</v>
      </c>
      <c r="AC974" s="31">
        <v>43293</v>
      </c>
      <c r="AD974" s="108">
        <v>39062100</v>
      </c>
      <c r="AE974" s="109">
        <f t="shared" si="90"/>
        <v>0</v>
      </c>
      <c r="AF974" s="20"/>
      <c r="AG974" s="31"/>
      <c r="AH974" s="108"/>
      <c r="AI974" s="1"/>
      <c r="AJ974" s="1"/>
      <c r="AK974" s="109">
        <f t="shared" si="87"/>
        <v>39062100</v>
      </c>
      <c r="AL974" s="108"/>
      <c r="AM974" s="108">
        <f t="shared" si="88"/>
        <v>0</v>
      </c>
      <c r="AN974" s="1" t="s">
        <v>2308</v>
      </c>
      <c r="AO974" s="108">
        <f t="shared" si="89"/>
        <v>39062100</v>
      </c>
      <c r="AP974" s="1"/>
      <c r="AQ974" s="31">
        <v>43291</v>
      </c>
      <c r="AR974" s="1" t="s">
        <v>3256</v>
      </c>
      <c r="AS974" s="31">
        <v>43292</v>
      </c>
      <c r="AT974" s="1" t="s">
        <v>3683</v>
      </c>
      <c r="AU974" s="211"/>
    </row>
    <row r="975" spans="1:47" ht="178.5" x14ac:dyDescent="0.2">
      <c r="A975" s="1">
        <v>485</v>
      </c>
      <c r="B975" s="1" t="str">
        <f t="shared" si="86"/>
        <v>3075-485</v>
      </c>
      <c r="C975" s="99" t="s">
        <v>2294</v>
      </c>
      <c r="D975" s="100" t="s">
        <v>2295</v>
      </c>
      <c r="E975" s="100" t="s">
        <v>2327</v>
      </c>
      <c r="F975" s="99" t="s">
        <v>2328</v>
      </c>
      <c r="G975" s="101" t="s">
        <v>2329</v>
      </c>
      <c r="H975" s="102" t="s">
        <v>2330</v>
      </c>
      <c r="I975" s="100" t="s">
        <v>2345</v>
      </c>
      <c r="J975" s="100" t="s">
        <v>2346</v>
      </c>
      <c r="K975" s="100" t="s">
        <v>50</v>
      </c>
      <c r="L975" s="1" t="s">
        <v>2302</v>
      </c>
      <c r="M975" s="1" t="s">
        <v>493</v>
      </c>
      <c r="N975" s="1" t="s">
        <v>494</v>
      </c>
      <c r="O975" s="100" t="s">
        <v>2321</v>
      </c>
      <c r="P975" s="100" t="s">
        <v>3686</v>
      </c>
      <c r="Q975" s="103">
        <v>9077100</v>
      </c>
      <c r="R975" s="1">
        <v>1</v>
      </c>
      <c r="S975" s="104">
        <f t="shared" si="85"/>
        <v>9077100</v>
      </c>
      <c r="T975" s="1"/>
      <c r="U975" s="1" t="s">
        <v>2323</v>
      </c>
      <c r="V975" s="31" t="s">
        <v>2208</v>
      </c>
      <c r="W975" s="105" t="s">
        <v>50</v>
      </c>
      <c r="X975" s="113" t="s">
        <v>3687</v>
      </c>
      <c r="Y975" s="31">
        <v>43292</v>
      </c>
      <c r="Z975" s="106">
        <v>9077100</v>
      </c>
      <c r="AA975" s="107" t="s">
        <v>3685</v>
      </c>
      <c r="AB975" s="20">
        <v>970</v>
      </c>
      <c r="AC975" s="31">
        <v>43293</v>
      </c>
      <c r="AD975" s="108">
        <v>9077100</v>
      </c>
      <c r="AE975" s="109">
        <f t="shared" si="90"/>
        <v>0</v>
      </c>
      <c r="AF975" s="20"/>
      <c r="AG975" s="31"/>
      <c r="AH975" s="108"/>
      <c r="AI975" s="1"/>
      <c r="AJ975" s="1"/>
      <c r="AK975" s="109">
        <f t="shared" si="87"/>
        <v>9077100</v>
      </c>
      <c r="AL975" s="108"/>
      <c r="AM975" s="108">
        <f t="shared" si="88"/>
        <v>0</v>
      </c>
      <c r="AN975" s="1" t="s">
        <v>2308</v>
      </c>
      <c r="AO975" s="108">
        <f t="shared" si="89"/>
        <v>9077100</v>
      </c>
      <c r="AP975" s="1"/>
      <c r="AQ975" s="31">
        <v>43291</v>
      </c>
      <c r="AR975" s="1" t="s">
        <v>3256</v>
      </c>
      <c r="AS975" s="31">
        <v>43292</v>
      </c>
      <c r="AT975" s="1" t="s">
        <v>3686</v>
      </c>
      <c r="AU975" s="211"/>
    </row>
    <row r="976" spans="1:47" ht="191.25" x14ac:dyDescent="0.2">
      <c r="A976" s="1">
        <v>486</v>
      </c>
      <c r="B976" s="1" t="str">
        <f t="shared" si="86"/>
        <v>3075-486</v>
      </c>
      <c r="C976" s="99" t="s">
        <v>2294</v>
      </c>
      <c r="D976" s="100" t="s">
        <v>2295</v>
      </c>
      <c r="E976" s="100" t="s">
        <v>2327</v>
      </c>
      <c r="F976" s="99" t="s">
        <v>2328</v>
      </c>
      <c r="G976" s="101" t="s">
        <v>2329</v>
      </c>
      <c r="H976" s="102" t="s">
        <v>2330</v>
      </c>
      <c r="I976" s="100" t="s">
        <v>2345</v>
      </c>
      <c r="J976" s="100" t="s">
        <v>2346</v>
      </c>
      <c r="K976" s="100" t="s">
        <v>50</v>
      </c>
      <c r="L976" s="1" t="s">
        <v>2302</v>
      </c>
      <c r="M976" s="1" t="s">
        <v>493</v>
      </c>
      <c r="N976" s="1" t="s">
        <v>494</v>
      </c>
      <c r="O976" s="100" t="s">
        <v>2321</v>
      </c>
      <c r="P976" s="100" t="s">
        <v>3688</v>
      </c>
      <c r="Q976" s="103">
        <v>13239000</v>
      </c>
      <c r="R976" s="1">
        <v>1</v>
      </c>
      <c r="S976" s="104">
        <f t="shared" si="85"/>
        <v>13239000</v>
      </c>
      <c r="T976" s="1"/>
      <c r="U976" s="1" t="s">
        <v>2323</v>
      </c>
      <c r="V976" s="31" t="s">
        <v>2208</v>
      </c>
      <c r="W976" s="105" t="s">
        <v>50</v>
      </c>
      <c r="X976" s="113" t="s">
        <v>3689</v>
      </c>
      <c r="Y976" s="31">
        <v>43292</v>
      </c>
      <c r="Z976" s="106">
        <v>13239000</v>
      </c>
      <c r="AA976" s="107" t="s">
        <v>3685</v>
      </c>
      <c r="AB976" s="20">
        <v>973</v>
      </c>
      <c r="AC976" s="31">
        <v>43294</v>
      </c>
      <c r="AD976" s="108">
        <v>13239000</v>
      </c>
      <c r="AE976" s="109">
        <f t="shared" si="90"/>
        <v>0</v>
      </c>
      <c r="AF976" s="20"/>
      <c r="AG976" s="31"/>
      <c r="AH976" s="108"/>
      <c r="AI976" s="1"/>
      <c r="AJ976" s="1"/>
      <c r="AK976" s="109">
        <f t="shared" si="87"/>
        <v>13239000</v>
      </c>
      <c r="AL976" s="108"/>
      <c r="AM976" s="108">
        <f t="shared" si="88"/>
        <v>0</v>
      </c>
      <c r="AN976" s="1" t="s">
        <v>2308</v>
      </c>
      <c r="AO976" s="108">
        <f t="shared" si="89"/>
        <v>13239000</v>
      </c>
      <c r="AP976" s="1"/>
      <c r="AQ976" s="31">
        <v>43291</v>
      </c>
      <c r="AR976" s="1" t="s">
        <v>3256</v>
      </c>
      <c r="AS976" s="31">
        <v>43292</v>
      </c>
      <c r="AT976" s="100" t="s">
        <v>3688</v>
      </c>
      <c r="AU976" s="211"/>
    </row>
    <row r="977" spans="1:47" ht="408" x14ac:dyDescent="0.2">
      <c r="A977" s="1">
        <v>487</v>
      </c>
      <c r="B977" s="1" t="str">
        <f t="shared" si="86"/>
        <v>3075-487</v>
      </c>
      <c r="C977" s="99" t="s">
        <v>2294</v>
      </c>
      <c r="D977" s="100" t="s">
        <v>2295</v>
      </c>
      <c r="E977" s="100" t="s">
        <v>2296</v>
      </c>
      <c r="F977" s="99" t="s">
        <v>2366</v>
      </c>
      <c r="G977" s="117" t="s">
        <v>2367</v>
      </c>
      <c r="H977" s="102" t="s">
        <v>2368</v>
      </c>
      <c r="I977" s="100" t="s">
        <v>2300</v>
      </c>
      <c r="J977" s="100" t="s">
        <v>2301</v>
      </c>
      <c r="K977" s="100">
        <v>801116</v>
      </c>
      <c r="L977" s="1" t="s">
        <v>2302</v>
      </c>
      <c r="M977" s="1" t="s">
        <v>493</v>
      </c>
      <c r="N977" s="1" t="s">
        <v>494</v>
      </c>
      <c r="O977" s="100" t="s">
        <v>2369</v>
      </c>
      <c r="P977" s="100" t="s">
        <v>3690</v>
      </c>
      <c r="Q977" s="106">
        <v>17767500</v>
      </c>
      <c r="R977" s="1">
        <v>1</v>
      </c>
      <c r="S977" s="104">
        <f t="shared" si="85"/>
        <v>17767500</v>
      </c>
      <c r="T977" s="1"/>
      <c r="U977" s="1" t="s">
        <v>2361</v>
      </c>
      <c r="V977" s="31" t="s">
        <v>2208</v>
      </c>
      <c r="W977" s="105">
        <v>5</v>
      </c>
      <c r="X977" s="113" t="s">
        <v>3691</v>
      </c>
      <c r="Y977" s="31">
        <v>43298</v>
      </c>
      <c r="Z977" s="106">
        <v>17767500</v>
      </c>
      <c r="AA977" s="107" t="s">
        <v>3692</v>
      </c>
      <c r="AB977" s="20">
        <v>1002</v>
      </c>
      <c r="AC977" s="31">
        <v>43305</v>
      </c>
      <c r="AD977" s="108">
        <v>17767500</v>
      </c>
      <c r="AE977" s="109">
        <f t="shared" si="90"/>
        <v>0</v>
      </c>
      <c r="AF977" s="20"/>
      <c r="AG977" s="31"/>
      <c r="AH977" s="108"/>
      <c r="AI977" s="1"/>
      <c r="AJ977" s="1"/>
      <c r="AK977" s="109">
        <f t="shared" si="87"/>
        <v>17767500</v>
      </c>
      <c r="AL977" s="108"/>
      <c r="AM977" s="108">
        <f t="shared" si="88"/>
        <v>0</v>
      </c>
      <c r="AN977" s="1" t="s">
        <v>2308</v>
      </c>
      <c r="AO977" s="108">
        <f t="shared" si="89"/>
        <v>17767500</v>
      </c>
      <c r="AP977" s="1"/>
      <c r="AQ977" s="31">
        <v>43298</v>
      </c>
      <c r="AR977" s="1" t="s">
        <v>3256</v>
      </c>
      <c r="AS977" s="31">
        <v>43298</v>
      </c>
      <c r="AT977" s="1" t="s">
        <v>3690</v>
      </c>
      <c r="AU977" s="211"/>
    </row>
    <row r="978" spans="1:47" ht="306" x14ac:dyDescent="0.2">
      <c r="A978" s="1">
        <v>488</v>
      </c>
      <c r="B978" s="1" t="str">
        <f t="shared" si="86"/>
        <v>3075-488</v>
      </c>
      <c r="C978" s="99" t="s">
        <v>2294</v>
      </c>
      <c r="D978" s="100" t="s">
        <v>2295</v>
      </c>
      <c r="E978" s="100" t="s">
        <v>2327</v>
      </c>
      <c r="F978" s="99" t="s">
        <v>2328</v>
      </c>
      <c r="G978" s="101" t="s">
        <v>2329</v>
      </c>
      <c r="H978" s="102" t="s">
        <v>2330</v>
      </c>
      <c r="I978" s="100" t="s">
        <v>2300</v>
      </c>
      <c r="J978" s="100" t="s">
        <v>2301</v>
      </c>
      <c r="K978" s="100" t="s">
        <v>50</v>
      </c>
      <c r="L978" s="1" t="s">
        <v>2302</v>
      </c>
      <c r="M978" s="1" t="s">
        <v>493</v>
      </c>
      <c r="N978" s="1" t="s">
        <v>494</v>
      </c>
      <c r="O978" s="100" t="s">
        <v>2321</v>
      </c>
      <c r="P978" s="100" t="s">
        <v>3693</v>
      </c>
      <c r="Q978" s="103">
        <v>39062100</v>
      </c>
      <c r="R978" s="1">
        <v>1</v>
      </c>
      <c r="S978" s="104">
        <f t="shared" si="85"/>
        <v>39062100</v>
      </c>
      <c r="T978" s="1"/>
      <c r="U978" s="1" t="s">
        <v>2323</v>
      </c>
      <c r="V978" s="31" t="s">
        <v>616</v>
      </c>
      <c r="W978" s="105" t="s">
        <v>50</v>
      </c>
      <c r="X978" s="113" t="s">
        <v>3694</v>
      </c>
      <c r="Y978" s="31">
        <v>43304</v>
      </c>
      <c r="Z978" s="106">
        <v>39062100</v>
      </c>
      <c r="AA978" s="107" t="s">
        <v>3695</v>
      </c>
      <c r="AB978" s="20">
        <v>1001</v>
      </c>
      <c r="AC978" s="31">
        <v>43305</v>
      </c>
      <c r="AD978" s="108">
        <v>39062100</v>
      </c>
      <c r="AE978" s="109">
        <f t="shared" si="90"/>
        <v>0</v>
      </c>
      <c r="AF978" s="20"/>
      <c r="AG978" s="31"/>
      <c r="AH978" s="108"/>
      <c r="AI978" s="1"/>
      <c r="AJ978" s="1"/>
      <c r="AK978" s="109">
        <f t="shared" si="87"/>
        <v>39062100</v>
      </c>
      <c r="AL978" s="108"/>
      <c r="AM978" s="108">
        <f t="shared" si="88"/>
        <v>0</v>
      </c>
      <c r="AN978" s="1" t="s">
        <v>2308</v>
      </c>
      <c r="AO978" s="108">
        <f t="shared" si="89"/>
        <v>39062100</v>
      </c>
      <c r="AP978" s="1"/>
      <c r="AQ978" s="31">
        <v>43304</v>
      </c>
      <c r="AR978" s="1" t="s">
        <v>3256</v>
      </c>
      <c r="AS978" s="31">
        <v>43304</v>
      </c>
      <c r="AT978" s="1" t="s">
        <v>3693</v>
      </c>
      <c r="AU978" s="211"/>
    </row>
    <row r="979" spans="1:47" ht="255" x14ac:dyDescent="0.2">
      <c r="A979" s="1">
        <v>489</v>
      </c>
      <c r="B979" s="1" t="str">
        <f t="shared" si="86"/>
        <v>3075-489</v>
      </c>
      <c r="C979" s="99" t="s">
        <v>2294</v>
      </c>
      <c r="D979" s="100" t="s">
        <v>2295</v>
      </c>
      <c r="E979" s="100" t="s">
        <v>2296</v>
      </c>
      <c r="F979" s="99" t="s">
        <v>2366</v>
      </c>
      <c r="G979" s="117" t="s">
        <v>2367</v>
      </c>
      <c r="H979" s="102" t="s">
        <v>2368</v>
      </c>
      <c r="I979" s="100" t="s">
        <v>2300</v>
      </c>
      <c r="J979" s="100" t="s">
        <v>2301</v>
      </c>
      <c r="K979" s="100">
        <v>93141506</v>
      </c>
      <c r="L979" s="1" t="s">
        <v>2302</v>
      </c>
      <c r="M979" s="1" t="s">
        <v>493</v>
      </c>
      <c r="N979" s="1" t="s">
        <v>494</v>
      </c>
      <c r="O979" s="100" t="s">
        <v>2369</v>
      </c>
      <c r="P979" s="100" t="s">
        <v>3696</v>
      </c>
      <c r="Q979" s="106">
        <v>4120000</v>
      </c>
      <c r="R979" s="1">
        <v>1</v>
      </c>
      <c r="S979" s="104">
        <f>Q979*R979*W979</f>
        <v>20600000</v>
      </c>
      <c r="T979" s="1"/>
      <c r="U979" s="1" t="s">
        <v>2361</v>
      </c>
      <c r="V979" s="31" t="s">
        <v>510</v>
      </c>
      <c r="W979" s="105">
        <v>5</v>
      </c>
      <c r="X979" s="113" t="s">
        <v>3697</v>
      </c>
      <c r="Y979" s="31">
        <v>43311</v>
      </c>
      <c r="Z979" s="106">
        <v>20600000</v>
      </c>
      <c r="AA979" s="107" t="s">
        <v>3669</v>
      </c>
      <c r="AB979" s="20"/>
      <c r="AC979" s="31"/>
      <c r="AD979" s="108"/>
      <c r="AE979" s="109"/>
      <c r="AF979" s="20"/>
      <c r="AG979" s="31"/>
      <c r="AH979" s="108"/>
      <c r="AI979" s="1"/>
      <c r="AJ979" s="1"/>
      <c r="AK979" s="109">
        <f t="shared" si="87"/>
        <v>0</v>
      </c>
      <c r="AL979" s="108"/>
      <c r="AM979" s="108">
        <f t="shared" si="88"/>
        <v>0</v>
      </c>
      <c r="AN979" s="1" t="s">
        <v>2308</v>
      </c>
      <c r="AO979" s="108">
        <f t="shared" si="89"/>
        <v>20600000</v>
      </c>
      <c r="AP979" s="1"/>
      <c r="AQ979" s="31">
        <v>43311</v>
      </c>
      <c r="AR979" s="1" t="s">
        <v>3256</v>
      </c>
      <c r="AS979" s="31">
        <v>43311</v>
      </c>
      <c r="AT979" s="1" t="s">
        <v>2607</v>
      </c>
      <c r="AU979" s="211"/>
    </row>
    <row r="980" spans="1:47" ht="267.75" x14ac:dyDescent="0.2">
      <c r="A980" s="1">
        <v>490</v>
      </c>
      <c r="B980" s="1" t="str">
        <f t="shared" si="86"/>
        <v>3075-490</v>
      </c>
      <c r="C980" s="99" t="s">
        <v>2294</v>
      </c>
      <c r="D980" s="100" t="s">
        <v>2295</v>
      </c>
      <c r="E980" s="100" t="s">
        <v>2296</v>
      </c>
      <c r="F980" s="99" t="s">
        <v>2310</v>
      </c>
      <c r="G980" s="110" t="s">
        <v>2357</v>
      </c>
      <c r="H980" s="115" t="s">
        <v>2358</v>
      </c>
      <c r="I980" s="100" t="s">
        <v>2300</v>
      </c>
      <c r="J980" s="100" t="s">
        <v>2301</v>
      </c>
      <c r="K980" s="116" t="s">
        <v>50</v>
      </c>
      <c r="L980" s="1" t="s">
        <v>2302</v>
      </c>
      <c r="M980" s="1" t="s">
        <v>493</v>
      </c>
      <c r="N980" s="1" t="s">
        <v>494</v>
      </c>
      <c r="O980" s="100" t="s">
        <v>2353</v>
      </c>
      <c r="P980" s="100" t="s">
        <v>3698</v>
      </c>
      <c r="Q980" s="106">
        <v>200000000</v>
      </c>
      <c r="R980" s="1">
        <v>1</v>
      </c>
      <c r="S980" s="104">
        <f>Q980*R980*W980</f>
        <v>200000000</v>
      </c>
      <c r="T980" s="1"/>
      <c r="U980" s="1" t="s">
        <v>2361</v>
      </c>
      <c r="V980" s="31" t="s">
        <v>510</v>
      </c>
      <c r="W980" s="105">
        <v>1</v>
      </c>
      <c r="X980" s="1"/>
      <c r="Y980" s="111"/>
      <c r="Z980" s="106"/>
      <c r="AA980" s="107"/>
      <c r="AB980" s="20"/>
      <c r="AC980" s="31"/>
      <c r="AD980" s="108"/>
      <c r="AE980" s="109">
        <f t="shared" ref="AE980:AE989" si="91">S980-Z980</f>
        <v>200000000</v>
      </c>
      <c r="AF980" s="20"/>
      <c r="AG980" s="31"/>
      <c r="AH980" s="108"/>
      <c r="AI980" s="1"/>
      <c r="AJ980" s="1"/>
      <c r="AK980" s="109">
        <f t="shared" si="87"/>
        <v>0</v>
      </c>
      <c r="AL980" s="108"/>
      <c r="AM980" s="108">
        <f t="shared" si="88"/>
        <v>0</v>
      </c>
      <c r="AN980" s="1" t="s">
        <v>2308</v>
      </c>
      <c r="AO980" s="108">
        <f t="shared" si="89"/>
        <v>200000000</v>
      </c>
      <c r="AP980" s="1"/>
      <c r="AQ980" s="31">
        <v>43465</v>
      </c>
      <c r="AR980" s="1" t="s">
        <v>3256</v>
      </c>
      <c r="AS980" s="31">
        <v>43465</v>
      </c>
      <c r="AT980" s="1" t="s">
        <v>3698</v>
      </c>
      <c r="AU980" s="211"/>
    </row>
    <row r="981" spans="1:47" ht="280.5" x14ac:dyDescent="0.2">
      <c r="A981" s="1">
        <v>491</v>
      </c>
      <c r="B981" s="1" t="str">
        <f t="shared" si="86"/>
        <v>3075-491</v>
      </c>
      <c r="C981" s="99" t="s">
        <v>2294</v>
      </c>
      <c r="D981" s="100" t="s">
        <v>2295</v>
      </c>
      <c r="E981" s="100" t="s">
        <v>2578</v>
      </c>
      <c r="F981" s="99" t="s">
        <v>2366</v>
      </c>
      <c r="G981" s="117" t="s">
        <v>2367</v>
      </c>
      <c r="H981" s="124" t="s">
        <v>2368</v>
      </c>
      <c r="I981" s="100" t="s">
        <v>2300</v>
      </c>
      <c r="J981" s="100" t="s">
        <v>2301</v>
      </c>
      <c r="K981" s="100">
        <v>81101500</v>
      </c>
      <c r="L981" s="1" t="s">
        <v>2302</v>
      </c>
      <c r="M981" s="1" t="s">
        <v>493</v>
      </c>
      <c r="N981" s="1" t="s">
        <v>494</v>
      </c>
      <c r="O981" s="100" t="s">
        <v>2369</v>
      </c>
      <c r="P981" s="65" t="s">
        <v>2395</v>
      </c>
      <c r="Q981" s="106">
        <v>5253000</v>
      </c>
      <c r="R981" s="122">
        <v>1</v>
      </c>
      <c r="S981" s="104">
        <f>Q981*R981*W981</f>
        <v>21012000</v>
      </c>
      <c r="T981" s="1"/>
      <c r="U981" s="1" t="s">
        <v>2361</v>
      </c>
      <c r="V981" s="31" t="s">
        <v>510</v>
      </c>
      <c r="W981" s="105">
        <v>4</v>
      </c>
      <c r="X981" s="65" t="s">
        <v>3699</v>
      </c>
      <c r="Y981" s="31">
        <v>43321</v>
      </c>
      <c r="Z981" s="106">
        <v>21012000</v>
      </c>
      <c r="AA981" s="107" t="s">
        <v>2837</v>
      </c>
      <c r="AB981" s="20"/>
      <c r="AC981" s="31"/>
      <c r="AD981" s="108"/>
      <c r="AE981" s="108">
        <f t="shared" si="91"/>
        <v>0</v>
      </c>
      <c r="AF981" s="20"/>
      <c r="AG981" s="31"/>
      <c r="AH981" s="108"/>
      <c r="AI981" s="1"/>
      <c r="AJ981" s="1"/>
      <c r="AK981" s="109">
        <f t="shared" si="87"/>
        <v>0</v>
      </c>
      <c r="AL981" s="108"/>
      <c r="AM981" s="108">
        <f t="shared" si="88"/>
        <v>0</v>
      </c>
      <c r="AN981" s="1" t="s">
        <v>2308</v>
      </c>
      <c r="AO981" s="108">
        <f t="shared" si="89"/>
        <v>21012000</v>
      </c>
      <c r="AP981" s="1"/>
      <c r="AQ981" s="31">
        <v>43320</v>
      </c>
      <c r="AR981" s="1" t="s">
        <v>3256</v>
      </c>
      <c r="AS981" s="31">
        <v>43321</v>
      </c>
      <c r="AT981" s="1" t="s">
        <v>2607</v>
      </c>
      <c r="AU981" s="211"/>
    </row>
    <row r="982" spans="1:47" ht="293.25" x14ac:dyDescent="0.2">
      <c r="A982" s="1">
        <v>492</v>
      </c>
      <c r="B982" s="1" t="str">
        <f t="shared" si="86"/>
        <v>3075-492</v>
      </c>
      <c r="C982" s="99" t="s">
        <v>2294</v>
      </c>
      <c r="D982" s="100" t="s">
        <v>2295</v>
      </c>
      <c r="E982" s="100" t="s">
        <v>2578</v>
      </c>
      <c r="F982" s="99" t="s">
        <v>2366</v>
      </c>
      <c r="G982" s="117" t="s">
        <v>2367</v>
      </c>
      <c r="H982" s="124" t="s">
        <v>2368</v>
      </c>
      <c r="I982" s="100" t="s">
        <v>2300</v>
      </c>
      <c r="J982" s="100" t="s">
        <v>2301</v>
      </c>
      <c r="K982" s="100">
        <v>801116</v>
      </c>
      <c r="L982" s="1" t="s">
        <v>2302</v>
      </c>
      <c r="M982" s="1" t="s">
        <v>493</v>
      </c>
      <c r="N982" s="1" t="s">
        <v>494</v>
      </c>
      <c r="O982" s="100" t="s">
        <v>2369</v>
      </c>
      <c r="P982" s="65" t="s">
        <v>2373</v>
      </c>
      <c r="Q982" s="106">
        <v>1545000</v>
      </c>
      <c r="R982" s="1">
        <v>1</v>
      </c>
      <c r="S982" s="104">
        <f>Q982*R982*W982</f>
        <v>6180000</v>
      </c>
      <c r="T982" s="1"/>
      <c r="U982" s="1" t="s">
        <v>2361</v>
      </c>
      <c r="V982" s="31" t="s">
        <v>510</v>
      </c>
      <c r="W982" s="105">
        <v>4</v>
      </c>
      <c r="X982" s="65" t="s">
        <v>3700</v>
      </c>
      <c r="Y982" s="31">
        <v>43321</v>
      </c>
      <c r="Z982" s="106">
        <v>6180000</v>
      </c>
      <c r="AA982" s="107" t="s">
        <v>2821</v>
      </c>
      <c r="AB982" s="20"/>
      <c r="AC982" s="31"/>
      <c r="AD982" s="108"/>
      <c r="AE982" s="108">
        <f t="shared" si="91"/>
        <v>0</v>
      </c>
      <c r="AF982" s="20"/>
      <c r="AG982" s="31"/>
      <c r="AH982" s="108"/>
      <c r="AI982" s="1"/>
      <c r="AJ982" s="1"/>
      <c r="AK982" s="109">
        <f t="shared" si="87"/>
        <v>0</v>
      </c>
      <c r="AL982" s="108"/>
      <c r="AM982" s="108">
        <f t="shared" si="88"/>
        <v>0</v>
      </c>
      <c r="AN982" s="1" t="s">
        <v>2308</v>
      </c>
      <c r="AO982" s="108">
        <f t="shared" si="89"/>
        <v>6180000</v>
      </c>
      <c r="AP982" s="1"/>
      <c r="AQ982" s="31">
        <v>43320</v>
      </c>
      <c r="AR982" s="1" t="s">
        <v>3256</v>
      </c>
      <c r="AS982" s="31">
        <v>43321</v>
      </c>
      <c r="AT982" s="1" t="s">
        <v>2607</v>
      </c>
      <c r="AU982" s="211"/>
    </row>
    <row r="983" spans="1:47" ht="242.25" x14ac:dyDescent="0.2">
      <c r="A983" s="1">
        <v>493</v>
      </c>
      <c r="B983" s="1" t="str">
        <f t="shared" si="86"/>
        <v>3075-493</v>
      </c>
      <c r="C983" s="99" t="s">
        <v>2294</v>
      </c>
      <c r="D983" s="100" t="s">
        <v>2295</v>
      </c>
      <c r="E983" s="100" t="s">
        <v>2578</v>
      </c>
      <c r="F983" s="99" t="s">
        <v>2366</v>
      </c>
      <c r="G983" s="117" t="s">
        <v>2367</v>
      </c>
      <c r="H983" s="124" t="s">
        <v>2368</v>
      </c>
      <c r="I983" s="100" t="s">
        <v>2300</v>
      </c>
      <c r="J983" s="100" t="s">
        <v>2301</v>
      </c>
      <c r="K983" s="100">
        <v>80111600</v>
      </c>
      <c r="L983" s="1" t="s">
        <v>2302</v>
      </c>
      <c r="M983" s="1" t="s">
        <v>493</v>
      </c>
      <c r="N983" s="1" t="s">
        <v>494</v>
      </c>
      <c r="O983" s="100" t="s">
        <v>2369</v>
      </c>
      <c r="P983" s="65" t="s">
        <v>2644</v>
      </c>
      <c r="Q983" s="106">
        <v>3553500</v>
      </c>
      <c r="R983" s="122">
        <v>1</v>
      </c>
      <c r="S983" s="104">
        <f t="shared" ref="S983:S987" si="92">Q983*R983*W983</f>
        <v>14214000</v>
      </c>
      <c r="T983" s="1"/>
      <c r="U983" s="1" t="s">
        <v>2361</v>
      </c>
      <c r="V983" s="31" t="s">
        <v>510</v>
      </c>
      <c r="W983" s="105">
        <v>4</v>
      </c>
      <c r="X983" s="65" t="s">
        <v>3701</v>
      </c>
      <c r="Y983" s="31">
        <v>43321</v>
      </c>
      <c r="Z983" s="106">
        <v>14214000</v>
      </c>
      <c r="AA983" s="107" t="s">
        <v>3702</v>
      </c>
      <c r="AB983" s="20"/>
      <c r="AC983" s="31"/>
      <c r="AD983" s="108"/>
      <c r="AE983" s="108">
        <f t="shared" si="91"/>
        <v>0</v>
      </c>
      <c r="AF983" s="20"/>
      <c r="AG983" s="31"/>
      <c r="AH983" s="108"/>
      <c r="AI983" s="1"/>
      <c r="AJ983" s="1"/>
      <c r="AK983" s="109">
        <f t="shared" si="87"/>
        <v>0</v>
      </c>
      <c r="AL983" s="108"/>
      <c r="AM983" s="108">
        <f t="shared" si="88"/>
        <v>0</v>
      </c>
      <c r="AN983" s="1" t="s">
        <v>2308</v>
      </c>
      <c r="AO983" s="108">
        <f t="shared" si="89"/>
        <v>14214000</v>
      </c>
      <c r="AP983" s="1"/>
      <c r="AQ983" s="31">
        <v>43320</v>
      </c>
      <c r="AR983" s="1" t="s">
        <v>3256</v>
      </c>
      <c r="AS983" s="31">
        <v>43321</v>
      </c>
      <c r="AT983" s="1" t="s">
        <v>2607</v>
      </c>
      <c r="AU983" s="211"/>
    </row>
    <row r="984" spans="1:47" ht="242.25" x14ac:dyDescent="0.2">
      <c r="A984" s="1">
        <v>494</v>
      </c>
      <c r="B984" s="1" t="str">
        <f t="shared" si="86"/>
        <v>3075-494</v>
      </c>
      <c r="C984" s="99" t="s">
        <v>2294</v>
      </c>
      <c r="D984" s="100" t="s">
        <v>2295</v>
      </c>
      <c r="E984" s="100" t="s">
        <v>2578</v>
      </c>
      <c r="F984" s="99" t="s">
        <v>2366</v>
      </c>
      <c r="G984" s="117" t="s">
        <v>2367</v>
      </c>
      <c r="H984" s="124" t="s">
        <v>2368</v>
      </c>
      <c r="I984" s="100" t="s">
        <v>2300</v>
      </c>
      <c r="J984" s="100" t="s">
        <v>2301</v>
      </c>
      <c r="K984" s="100">
        <v>80111600</v>
      </c>
      <c r="L984" s="1" t="s">
        <v>2302</v>
      </c>
      <c r="M984" s="1" t="s">
        <v>493</v>
      </c>
      <c r="N984" s="1" t="s">
        <v>494</v>
      </c>
      <c r="O984" s="100" t="s">
        <v>2369</v>
      </c>
      <c r="P984" s="65" t="s">
        <v>2644</v>
      </c>
      <c r="Q984" s="106">
        <v>3553500</v>
      </c>
      <c r="R984" s="122">
        <v>1</v>
      </c>
      <c r="S984" s="104">
        <f t="shared" si="92"/>
        <v>14214000</v>
      </c>
      <c r="T984" s="1"/>
      <c r="U984" s="1" t="s">
        <v>2361</v>
      </c>
      <c r="V984" s="31" t="s">
        <v>510</v>
      </c>
      <c r="W984" s="105">
        <v>4</v>
      </c>
      <c r="X984" s="65" t="s">
        <v>3703</v>
      </c>
      <c r="Y984" s="31">
        <v>43321</v>
      </c>
      <c r="Z984" s="106">
        <v>14214000</v>
      </c>
      <c r="AA984" s="107" t="s">
        <v>3702</v>
      </c>
      <c r="AB984" s="20"/>
      <c r="AC984" s="31"/>
      <c r="AD984" s="108"/>
      <c r="AE984" s="108">
        <f t="shared" si="91"/>
        <v>0</v>
      </c>
      <c r="AF984" s="20"/>
      <c r="AG984" s="31"/>
      <c r="AH984" s="108"/>
      <c r="AI984" s="1"/>
      <c r="AJ984" s="1"/>
      <c r="AK984" s="109">
        <f t="shared" si="87"/>
        <v>0</v>
      </c>
      <c r="AL984" s="108"/>
      <c r="AM984" s="108">
        <f t="shared" si="88"/>
        <v>0</v>
      </c>
      <c r="AN984" s="1" t="s">
        <v>2308</v>
      </c>
      <c r="AO984" s="108">
        <f t="shared" si="89"/>
        <v>14214000</v>
      </c>
      <c r="AP984" s="1"/>
      <c r="AQ984" s="31">
        <v>43320</v>
      </c>
      <c r="AR984" s="1" t="s">
        <v>3256</v>
      </c>
      <c r="AS984" s="31">
        <v>43321</v>
      </c>
      <c r="AT984" s="1" t="s">
        <v>2607</v>
      </c>
      <c r="AU984" s="211"/>
    </row>
    <row r="985" spans="1:47" ht="395.25" x14ac:dyDescent="0.2">
      <c r="A985" s="1">
        <v>495</v>
      </c>
      <c r="B985" s="1" t="str">
        <f t="shared" si="86"/>
        <v>3075-495</v>
      </c>
      <c r="C985" s="99" t="s">
        <v>2294</v>
      </c>
      <c r="D985" s="100" t="s">
        <v>2295</v>
      </c>
      <c r="E985" s="100" t="s">
        <v>2578</v>
      </c>
      <c r="F985" s="99" t="s">
        <v>2366</v>
      </c>
      <c r="G985" s="117" t="s">
        <v>2367</v>
      </c>
      <c r="H985" s="124" t="s">
        <v>2368</v>
      </c>
      <c r="I985" s="100" t="s">
        <v>2300</v>
      </c>
      <c r="J985" s="100" t="s">
        <v>2301</v>
      </c>
      <c r="K985" s="100">
        <v>93151501</v>
      </c>
      <c r="L985" s="1" t="s">
        <v>2302</v>
      </c>
      <c r="M985" s="1" t="s">
        <v>493</v>
      </c>
      <c r="N985" s="1" t="s">
        <v>494</v>
      </c>
      <c r="O985" s="100" t="s">
        <v>2369</v>
      </c>
      <c r="P985" s="65" t="s">
        <v>3704</v>
      </c>
      <c r="Q985" s="106">
        <v>5253000</v>
      </c>
      <c r="R985" s="122">
        <v>1</v>
      </c>
      <c r="S985" s="104">
        <f t="shared" si="92"/>
        <v>21012000</v>
      </c>
      <c r="T985" s="1"/>
      <c r="U985" s="1" t="s">
        <v>2361</v>
      </c>
      <c r="V985" s="31" t="s">
        <v>510</v>
      </c>
      <c r="W985" s="105">
        <v>4</v>
      </c>
      <c r="X985" s="65" t="s">
        <v>3705</v>
      </c>
      <c r="Y985" s="31">
        <v>43321</v>
      </c>
      <c r="Z985" s="106">
        <v>21012000</v>
      </c>
      <c r="AA985" s="107" t="s">
        <v>2861</v>
      </c>
      <c r="AB985" s="20"/>
      <c r="AC985" s="31"/>
      <c r="AD985" s="108"/>
      <c r="AE985" s="108">
        <f t="shared" si="91"/>
        <v>0</v>
      </c>
      <c r="AF985" s="20"/>
      <c r="AG985" s="31"/>
      <c r="AH985" s="108"/>
      <c r="AI985" s="1"/>
      <c r="AJ985" s="1"/>
      <c r="AK985" s="109">
        <f t="shared" si="87"/>
        <v>0</v>
      </c>
      <c r="AL985" s="108"/>
      <c r="AM985" s="108">
        <f t="shared" si="88"/>
        <v>0</v>
      </c>
      <c r="AN985" s="1" t="s">
        <v>2308</v>
      </c>
      <c r="AO985" s="108">
        <f t="shared" si="89"/>
        <v>21012000</v>
      </c>
      <c r="AP985" s="1"/>
      <c r="AQ985" s="31">
        <v>43320</v>
      </c>
      <c r="AR985" s="1" t="s">
        <v>3256</v>
      </c>
      <c r="AS985" s="31">
        <v>43321</v>
      </c>
      <c r="AT985" s="1" t="s">
        <v>2607</v>
      </c>
      <c r="AU985" s="211"/>
    </row>
    <row r="986" spans="1:47" ht="255" x14ac:dyDescent="0.2">
      <c r="A986" s="1">
        <v>496</v>
      </c>
      <c r="B986" s="1" t="str">
        <f t="shared" si="86"/>
        <v>3075-496</v>
      </c>
      <c r="C986" s="99" t="s">
        <v>2294</v>
      </c>
      <c r="D986" s="100" t="s">
        <v>2295</v>
      </c>
      <c r="E986" s="100" t="s">
        <v>2578</v>
      </c>
      <c r="F986" s="99" t="s">
        <v>2366</v>
      </c>
      <c r="G986" s="117" t="s">
        <v>2367</v>
      </c>
      <c r="H986" s="124" t="s">
        <v>2368</v>
      </c>
      <c r="I986" s="100" t="s">
        <v>2300</v>
      </c>
      <c r="J986" s="100" t="s">
        <v>2301</v>
      </c>
      <c r="K986" s="100">
        <v>93141506</v>
      </c>
      <c r="L986" s="1" t="s">
        <v>2302</v>
      </c>
      <c r="M986" s="1" t="s">
        <v>493</v>
      </c>
      <c r="N986" s="1" t="s">
        <v>494</v>
      </c>
      <c r="O986" s="100" t="s">
        <v>2369</v>
      </c>
      <c r="P986" s="65" t="s">
        <v>2441</v>
      </c>
      <c r="Q986" s="106">
        <v>5253000</v>
      </c>
      <c r="R986" s="122">
        <v>1</v>
      </c>
      <c r="S986" s="104">
        <f t="shared" si="92"/>
        <v>21012000</v>
      </c>
      <c r="T986" s="1"/>
      <c r="U986" s="1" t="s">
        <v>2361</v>
      </c>
      <c r="V986" s="31" t="s">
        <v>510</v>
      </c>
      <c r="W986" s="105">
        <v>4</v>
      </c>
      <c r="X986" s="65" t="s">
        <v>3706</v>
      </c>
      <c r="Y986" s="31">
        <v>43321</v>
      </c>
      <c r="Z986" s="106">
        <v>21012000</v>
      </c>
      <c r="AA986" s="107" t="s">
        <v>2861</v>
      </c>
      <c r="AB986" s="20"/>
      <c r="AC986" s="31"/>
      <c r="AD986" s="108"/>
      <c r="AE986" s="108">
        <f t="shared" si="91"/>
        <v>0</v>
      </c>
      <c r="AF986" s="20"/>
      <c r="AG986" s="31"/>
      <c r="AH986" s="108"/>
      <c r="AI986" s="1"/>
      <c r="AJ986" s="1"/>
      <c r="AK986" s="109">
        <f t="shared" si="87"/>
        <v>0</v>
      </c>
      <c r="AL986" s="108"/>
      <c r="AM986" s="108">
        <f t="shared" si="88"/>
        <v>0</v>
      </c>
      <c r="AN986" s="1" t="s">
        <v>2308</v>
      </c>
      <c r="AO986" s="108">
        <f t="shared" si="89"/>
        <v>21012000</v>
      </c>
      <c r="AP986" s="1"/>
      <c r="AQ986" s="31">
        <v>43320</v>
      </c>
      <c r="AR986" s="1" t="s">
        <v>3256</v>
      </c>
      <c r="AS986" s="31">
        <v>43321</v>
      </c>
      <c r="AT986" s="1" t="s">
        <v>2607</v>
      </c>
      <c r="AU986" s="211"/>
    </row>
    <row r="987" spans="1:47" ht="293.25" x14ac:dyDescent="0.2">
      <c r="A987" s="1">
        <v>497</v>
      </c>
      <c r="B987" s="1" t="str">
        <f t="shared" si="86"/>
        <v>3075-497</v>
      </c>
      <c r="C987" s="99" t="s">
        <v>2294</v>
      </c>
      <c r="D987" s="100" t="s">
        <v>2295</v>
      </c>
      <c r="E987" s="100" t="s">
        <v>2578</v>
      </c>
      <c r="F987" s="99" t="s">
        <v>2366</v>
      </c>
      <c r="G987" s="117" t="s">
        <v>2367</v>
      </c>
      <c r="H987" s="124" t="s">
        <v>2368</v>
      </c>
      <c r="I987" s="100" t="s">
        <v>2300</v>
      </c>
      <c r="J987" s="100" t="s">
        <v>2301</v>
      </c>
      <c r="K987" s="100">
        <v>801116</v>
      </c>
      <c r="L987" s="1" t="s">
        <v>2302</v>
      </c>
      <c r="M987" s="1" t="s">
        <v>493</v>
      </c>
      <c r="N987" s="1" t="s">
        <v>494</v>
      </c>
      <c r="O987" s="100" t="s">
        <v>2369</v>
      </c>
      <c r="P987" s="65" t="s">
        <v>2373</v>
      </c>
      <c r="Q987" s="106">
        <v>1751000</v>
      </c>
      <c r="R987" s="122">
        <v>1</v>
      </c>
      <c r="S987" s="104">
        <f t="shared" si="92"/>
        <v>7004000</v>
      </c>
      <c r="T987" s="1"/>
      <c r="U987" s="1" t="s">
        <v>2361</v>
      </c>
      <c r="V987" s="31" t="s">
        <v>510</v>
      </c>
      <c r="W987" s="105">
        <v>4</v>
      </c>
      <c r="X987" s="65" t="s">
        <v>3707</v>
      </c>
      <c r="Y987" s="31">
        <v>43321</v>
      </c>
      <c r="Z987" s="106">
        <v>7004000</v>
      </c>
      <c r="AA987" s="107" t="s">
        <v>3708</v>
      </c>
      <c r="AB987" s="20"/>
      <c r="AC987" s="31"/>
      <c r="AD987" s="108"/>
      <c r="AE987" s="108">
        <f t="shared" si="91"/>
        <v>0</v>
      </c>
      <c r="AF987" s="20"/>
      <c r="AG987" s="31"/>
      <c r="AH987" s="108"/>
      <c r="AI987" s="1"/>
      <c r="AJ987" s="1"/>
      <c r="AK987" s="109">
        <f t="shared" si="87"/>
        <v>0</v>
      </c>
      <c r="AL987" s="108"/>
      <c r="AM987" s="108">
        <f t="shared" si="88"/>
        <v>0</v>
      </c>
      <c r="AN987" s="1" t="s">
        <v>2308</v>
      </c>
      <c r="AO987" s="108">
        <f t="shared" si="89"/>
        <v>7004000</v>
      </c>
      <c r="AP987" s="1"/>
      <c r="AQ987" s="31">
        <v>43320</v>
      </c>
      <c r="AR987" s="1" t="s">
        <v>3256</v>
      </c>
      <c r="AS987" s="31">
        <v>43321</v>
      </c>
      <c r="AT987" s="1" t="s">
        <v>2607</v>
      </c>
      <c r="AU987" s="211"/>
    </row>
    <row r="988" spans="1:47" ht="395.25" x14ac:dyDescent="0.2">
      <c r="A988" s="1">
        <v>498</v>
      </c>
      <c r="B988" s="1" t="str">
        <f t="shared" si="86"/>
        <v>3075-498</v>
      </c>
      <c r="C988" s="99" t="s">
        <v>2294</v>
      </c>
      <c r="D988" s="100" t="s">
        <v>2295</v>
      </c>
      <c r="E988" s="100" t="s">
        <v>2578</v>
      </c>
      <c r="F988" s="99" t="s">
        <v>2366</v>
      </c>
      <c r="G988" s="117" t="s">
        <v>2367</v>
      </c>
      <c r="H988" s="124" t="s">
        <v>2368</v>
      </c>
      <c r="I988" s="100" t="s">
        <v>2300</v>
      </c>
      <c r="J988" s="100" t="s">
        <v>2301</v>
      </c>
      <c r="K988" s="100">
        <v>93151501</v>
      </c>
      <c r="L988" s="1" t="s">
        <v>2302</v>
      </c>
      <c r="M988" s="1" t="s">
        <v>493</v>
      </c>
      <c r="N988" s="1" t="s">
        <v>494</v>
      </c>
      <c r="O988" s="100" t="s">
        <v>2369</v>
      </c>
      <c r="P988" s="65" t="s">
        <v>3704</v>
      </c>
      <c r="Q988" s="106">
        <v>5665000</v>
      </c>
      <c r="R988" s="122">
        <v>1</v>
      </c>
      <c r="S988" s="104">
        <f>Q988*R988*W988</f>
        <v>22660000</v>
      </c>
      <c r="T988" s="1"/>
      <c r="U988" s="1" t="s">
        <v>2361</v>
      </c>
      <c r="V988" s="31" t="s">
        <v>510</v>
      </c>
      <c r="W988" s="105">
        <v>4</v>
      </c>
      <c r="X988" s="65" t="s">
        <v>3709</v>
      </c>
      <c r="Y988" s="31">
        <v>43321</v>
      </c>
      <c r="Z988" s="106">
        <v>22660000</v>
      </c>
      <c r="AA988" s="107" t="s">
        <v>3710</v>
      </c>
      <c r="AB988" s="20"/>
      <c r="AC988" s="31"/>
      <c r="AD988" s="108"/>
      <c r="AE988" s="108">
        <f t="shared" si="91"/>
        <v>0</v>
      </c>
      <c r="AF988" s="20"/>
      <c r="AG988" s="31"/>
      <c r="AH988" s="108"/>
      <c r="AI988" s="1"/>
      <c r="AJ988" s="1"/>
      <c r="AK988" s="109">
        <f t="shared" si="87"/>
        <v>0</v>
      </c>
      <c r="AL988" s="108"/>
      <c r="AM988" s="108">
        <f t="shared" si="88"/>
        <v>0</v>
      </c>
      <c r="AN988" s="1" t="s">
        <v>2308</v>
      </c>
      <c r="AO988" s="108">
        <f t="shared" si="89"/>
        <v>22660000</v>
      </c>
      <c r="AP988" s="1"/>
      <c r="AQ988" s="31">
        <v>43320</v>
      </c>
      <c r="AR988" s="1" t="s">
        <v>3256</v>
      </c>
      <c r="AS988" s="31">
        <v>43321</v>
      </c>
      <c r="AT988" s="1" t="s">
        <v>2607</v>
      </c>
      <c r="AU988" s="211"/>
    </row>
    <row r="989" spans="1:47" ht="242.25" x14ac:dyDescent="0.2">
      <c r="A989" s="1">
        <v>499</v>
      </c>
      <c r="B989" s="1" t="str">
        <f t="shared" si="86"/>
        <v>3075-499</v>
      </c>
      <c r="C989" s="99" t="s">
        <v>2294</v>
      </c>
      <c r="D989" s="100" t="s">
        <v>2295</v>
      </c>
      <c r="E989" s="100" t="s">
        <v>2578</v>
      </c>
      <c r="F989" s="99" t="s">
        <v>2366</v>
      </c>
      <c r="G989" s="117" t="s">
        <v>2367</v>
      </c>
      <c r="H989" s="124" t="s">
        <v>2368</v>
      </c>
      <c r="I989" s="100" t="s">
        <v>2300</v>
      </c>
      <c r="J989" s="100" t="s">
        <v>2301</v>
      </c>
      <c r="K989" s="100">
        <v>80111600</v>
      </c>
      <c r="L989" s="1" t="s">
        <v>2302</v>
      </c>
      <c r="M989" s="1" t="s">
        <v>493</v>
      </c>
      <c r="N989" s="1" t="s">
        <v>494</v>
      </c>
      <c r="O989" s="100" t="s">
        <v>2369</v>
      </c>
      <c r="P989" s="65" t="s">
        <v>2644</v>
      </c>
      <c r="Q989" s="106">
        <v>5253000</v>
      </c>
      <c r="R989" s="122">
        <v>1</v>
      </c>
      <c r="S989" s="104">
        <f>Q989*R989*W989</f>
        <v>21012000</v>
      </c>
      <c r="T989" s="1"/>
      <c r="U989" s="1" t="s">
        <v>2361</v>
      </c>
      <c r="V989" s="31" t="s">
        <v>510</v>
      </c>
      <c r="W989" s="105">
        <v>4</v>
      </c>
      <c r="X989" s="65" t="s">
        <v>3711</v>
      </c>
      <c r="Y989" s="31">
        <v>43321</v>
      </c>
      <c r="Z989" s="106">
        <v>21012000</v>
      </c>
      <c r="AA989" s="107" t="s">
        <v>3712</v>
      </c>
      <c r="AB989" s="20"/>
      <c r="AC989" s="31"/>
      <c r="AD989" s="108"/>
      <c r="AE989" s="108">
        <f t="shared" si="91"/>
        <v>0</v>
      </c>
      <c r="AF989" s="20"/>
      <c r="AG989" s="31"/>
      <c r="AH989" s="108"/>
      <c r="AI989" s="1"/>
      <c r="AJ989" s="1"/>
      <c r="AK989" s="109">
        <f t="shared" si="87"/>
        <v>0</v>
      </c>
      <c r="AL989" s="108"/>
      <c r="AM989" s="108">
        <f t="shared" si="88"/>
        <v>0</v>
      </c>
      <c r="AN989" s="1" t="s">
        <v>2308</v>
      </c>
      <c r="AO989" s="108">
        <f t="shared" si="89"/>
        <v>21012000</v>
      </c>
      <c r="AP989" s="1"/>
      <c r="AQ989" s="31">
        <v>43320</v>
      </c>
      <c r="AR989" s="1" t="s">
        <v>3256</v>
      </c>
      <c r="AS989" s="31">
        <v>43321</v>
      </c>
      <c r="AT989" s="1" t="s">
        <v>2607</v>
      </c>
      <c r="AU989" s="211"/>
    </row>
    <row r="990" spans="1:47" ht="409.5" x14ac:dyDescent="0.2">
      <c r="A990" s="128">
        <v>1</v>
      </c>
      <c r="B990" s="128" t="s">
        <v>940</v>
      </c>
      <c r="C990" s="65" t="s">
        <v>941</v>
      </c>
      <c r="D990" s="1" t="s">
        <v>942</v>
      </c>
      <c r="E990" s="128" t="s">
        <v>943</v>
      </c>
      <c r="F990" s="1" t="s">
        <v>511</v>
      </c>
      <c r="G990" s="1" t="s">
        <v>512</v>
      </c>
      <c r="H990" s="66" t="s">
        <v>944</v>
      </c>
      <c r="I990" s="1" t="s">
        <v>54</v>
      </c>
      <c r="J990" s="1" t="s">
        <v>55</v>
      </c>
      <c r="K990" s="52">
        <v>801116</v>
      </c>
      <c r="L990" s="52" t="s">
        <v>945</v>
      </c>
      <c r="M990" s="128" t="s">
        <v>493</v>
      </c>
      <c r="N990" s="128" t="s">
        <v>494</v>
      </c>
      <c r="O990" s="53" t="s">
        <v>946</v>
      </c>
      <c r="P990" s="128" t="s">
        <v>947</v>
      </c>
      <c r="Q990" s="126">
        <v>6180000</v>
      </c>
      <c r="R990" s="129">
        <v>1</v>
      </c>
      <c r="S990" s="130">
        <f>37080000+1545000</f>
        <v>38625000</v>
      </c>
      <c r="T990" s="131" t="s">
        <v>948</v>
      </c>
      <c r="U990" s="112" t="s">
        <v>949</v>
      </c>
      <c r="V990" s="132" t="s">
        <v>516</v>
      </c>
      <c r="W990" s="112">
        <v>11.5</v>
      </c>
      <c r="X990" s="133" t="s">
        <v>950</v>
      </c>
      <c r="Y990" s="125">
        <v>43104</v>
      </c>
      <c r="Z990" s="127">
        <f>S990</f>
        <v>38625000</v>
      </c>
      <c r="AA990" s="133"/>
      <c r="AB990" s="133">
        <v>212</v>
      </c>
      <c r="AC990" s="134">
        <v>43105</v>
      </c>
      <c r="AD990" s="126">
        <v>71070000</v>
      </c>
      <c r="AE990" s="135">
        <v>1545000</v>
      </c>
      <c r="AF990" s="139">
        <v>379</v>
      </c>
      <c r="AG990" s="134">
        <v>43124</v>
      </c>
      <c r="AH990" s="126">
        <v>37080000</v>
      </c>
      <c r="AI990" s="136" t="s">
        <v>951</v>
      </c>
      <c r="AJ990" s="133">
        <v>305</v>
      </c>
      <c r="AK990" s="97"/>
      <c r="AL990" s="135">
        <f>AH990</f>
        <v>37080000</v>
      </c>
      <c r="AM990" s="135">
        <v>32548000</v>
      </c>
      <c r="AN990" s="135">
        <f>AL990-AM990</f>
        <v>4532000</v>
      </c>
      <c r="AO990" s="136" t="s">
        <v>952</v>
      </c>
      <c r="AP990" s="137">
        <f>AE990</f>
        <v>1545000</v>
      </c>
      <c r="AQ990" s="97"/>
      <c r="AR990" s="97"/>
      <c r="AS990" s="97"/>
      <c r="AT990" s="97"/>
      <c r="AU990" s="97"/>
    </row>
    <row r="991" spans="1:47" ht="369.75" x14ac:dyDescent="0.2">
      <c r="A991" s="128">
        <v>2</v>
      </c>
      <c r="B991" s="128" t="s">
        <v>953</v>
      </c>
      <c r="C991" s="65" t="s">
        <v>941</v>
      </c>
      <c r="D991" s="1" t="s">
        <v>942</v>
      </c>
      <c r="E991" s="128" t="s">
        <v>943</v>
      </c>
      <c r="F991" s="1" t="s">
        <v>511</v>
      </c>
      <c r="G991" s="1" t="s">
        <v>512</v>
      </c>
      <c r="H991" s="66" t="s">
        <v>944</v>
      </c>
      <c r="I991" s="1" t="s">
        <v>54</v>
      </c>
      <c r="J991" s="1" t="s">
        <v>55</v>
      </c>
      <c r="K991" s="52">
        <v>801116</v>
      </c>
      <c r="L991" s="52" t="s">
        <v>945</v>
      </c>
      <c r="M991" s="128" t="s">
        <v>493</v>
      </c>
      <c r="N991" s="128" t="s">
        <v>494</v>
      </c>
      <c r="O991" s="53" t="s">
        <v>946</v>
      </c>
      <c r="P991" s="128" t="s">
        <v>954</v>
      </c>
      <c r="Q991" s="126">
        <v>3090000</v>
      </c>
      <c r="R991" s="129">
        <v>1</v>
      </c>
      <c r="S991" s="130">
        <f t="shared" ref="S991:S1054" si="93">+Q991*R991*W991</f>
        <v>35535000</v>
      </c>
      <c r="T991" s="112" t="s">
        <v>948</v>
      </c>
      <c r="U991" s="112" t="s">
        <v>949</v>
      </c>
      <c r="V991" s="132" t="s">
        <v>516</v>
      </c>
      <c r="W991" s="112">
        <v>11.5</v>
      </c>
      <c r="X991" s="133" t="s">
        <v>955</v>
      </c>
      <c r="Y991" s="125">
        <v>43104</v>
      </c>
      <c r="Z991" s="127">
        <f t="shared" ref="Z991:Z1054" si="94">S991</f>
        <v>35535000</v>
      </c>
      <c r="AA991" s="133"/>
      <c r="AB991" s="133">
        <v>214</v>
      </c>
      <c r="AC991" s="134">
        <v>43105</v>
      </c>
      <c r="AD991" s="126">
        <v>35535000</v>
      </c>
      <c r="AE991" s="137">
        <f>AD991-AL991</f>
        <v>0</v>
      </c>
      <c r="AF991" s="139">
        <v>157</v>
      </c>
      <c r="AG991" s="134">
        <v>43118</v>
      </c>
      <c r="AH991" s="135">
        <f>AD991</f>
        <v>35535000</v>
      </c>
      <c r="AI991" s="136" t="s">
        <v>956</v>
      </c>
      <c r="AJ991" s="133">
        <v>126</v>
      </c>
      <c r="AK991" s="97"/>
      <c r="AL991" s="135">
        <f>AH991</f>
        <v>35535000</v>
      </c>
      <c r="AM991" s="135">
        <v>16789000</v>
      </c>
      <c r="AN991" s="135">
        <f>AL991-AM991</f>
        <v>18746000</v>
      </c>
      <c r="AO991" s="136" t="s">
        <v>952</v>
      </c>
      <c r="AP991" s="97"/>
      <c r="AQ991" s="97"/>
      <c r="AR991" s="97"/>
      <c r="AS991" s="97"/>
      <c r="AT991" s="97"/>
      <c r="AU991" s="97"/>
    </row>
    <row r="992" spans="1:47" ht="191.25" x14ac:dyDescent="0.2">
      <c r="A992" s="128">
        <v>3</v>
      </c>
      <c r="B992" s="128" t="s">
        <v>957</v>
      </c>
      <c r="C992" s="65" t="s">
        <v>941</v>
      </c>
      <c r="D992" s="1" t="s">
        <v>942</v>
      </c>
      <c r="E992" s="128" t="s">
        <v>943</v>
      </c>
      <c r="F992" s="1" t="s">
        <v>511</v>
      </c>
      <c r="G992" s="1" t="s">
        <v>512</v>
      </c>
      <c r="H992" s="66" t="s">
        <v>944</v>
      </c>
      <c r="I992" s="1" t="s">
        <v>54</v>
      </c>
      <c r="J992" s="1" t="s">
        <v>55</v>
      </c>
      <c r="K992" s="52">
        <v>801116</v>
      </c>
      <c r="L992" s="54" t="s">
        <v>945</v>
      </c>
      <c r="M992" s="128" t="s">
        <v>493</v>
      </c>
      <c r="N992" s="128" t="s">
        <v>494</v>
      </c>
      <c r="O992" s="53" t="s">
        <v>946</v>
      </c>
      <c r="P992" s="128" t="s">
        <v>958</v>
      </c>
      <c r="Q992" s="126">
        <v>3343930</v>
      </c>
      <c r="R992" s="131">
        <v>1</v>
      </c>
      <c r="S992" s="130">
        <f>+Q992*R992*W992-38455195</f>
        <v>0</v>
      </c>
      <c r="T992" s="112" t="s">
        <v>948</v>
      </c>
      <c r="U992" s="112" t="s">
        <v>949</v>
      </c>
      <c r="V992" s="132" t="s">
        <v>516</v>
      </c>
      <c r="W992" s="112">
        <v>11.5</v>
      </c>
      <c r="X992" s="112" t="s">
        <v>959</v>
      </c>
      <c r="Y992" s="138">
        <v>43104</v>
      </c>
      <c r="Z992" s="126">
        <f t="shared" si="94"/>
        <v>0</v>
      </c>
      <c r="AA992" s="97"/>
      <c r="AB992" s="112" t="s">
        <v>960</v>
      </c>
      <c r="AC992" s="138">
        <v>43105</v>
      </c>
      <c r="AD992" s="126">
        <v>38455195</v>
      </c>
      <c r="AE992" s="97"/>
      <c r="AF992" s="139"/>
      <c r="AG992" s="97"/>
      <c r="AH992" s="97"/>
      <c r="AI992" s="136"/>
      <c r="AJ992" s="97"/>
      <c r="AK992" s="97"/>
      <c r="AL992" s="97"/>
      <c r="AM992" s="97"/>
      <c r="AN992" s="97"/>
      <c r="AO992" s="136" t="s">
        <v>952</v>
      </c>
      <c r="AP992" s="97"/>
      <c r="AQ992" s="140" t="s">
        <v>961</v>
      </c>
      <c r="AR992" s="141">
        <v>43150</v>
      </c>
      <c r="AS992" s="136" t="s">
        <v>962</v>
      </c>
      <c r="AT992" s="97"/>
      <c r="AU992" s="140" t="s">
        <v>963</v>
      </c>
    </row>
    <row r="993" spans="1:47" ht="255" x14ac:dyDescent="0.2">
      <c r="A993" s="128">
        <v>4</v>
      </c>
      <c r="B993" s="128" t="s">
        <v>964</v>
      </c>
      <c r="C993" s="65" t="s">
        <v>941</v>
      </c>
      <c r="D993" s="1" t="s">
        <v>942</v>
      </c>
      <c r="E993" s="128" t="s">
        <v>943</v>
      </c>
      <c r="F993" s="1" t="s">
        <v>511</v>
      </c>
      <c r="G993" s="1" t="s">
        <v>512</v>
      </c>
      <c r="H993" s="66" t="s">
        <v>944</v>
      </c>
      <c r="I993" s="1" t="s">
        <v>54</v>
      </c>
      <c r="J993" s="1" t="s">
        <v>55</v>
      </c>
      <c r="K993" s="52">
        <v>801116</v>
      </c>
      <c r="L993" s="52" t="s">
        <v>945</v>
      </c>
      <c r="M993" s="128" t="s">
        <v>493</v>
      </c>
      <c r="N993" s="128" t="s">
        <v>494</v>
      </c>
      <c r="O993" s="53" t="s">
        <v>946</v>
      </c>
      <c r="P993" s="128" t="s">
        <v>569</v>
      </c>
      <c r="Q993" s="126">
        <v>2060000</v>
      </c>
      <c r="R993" s="129">
        <v>1</v>
      </c>
      <c r="S993" s="130">
        <f t="shared" si="93"/>
        <v>23690000</v>
      </c>
      <c r="T993" s="112" t="s">
        <v>948</v>
      </c>
      <c r="U993" s="112" t="s">
        <v>949</v>
      </c>
      <c r="V993" s="132" t="s">
        <v>516</v>
      </c>
      <c r="W993" s="112">
        <v>11.5</v>
      </c>
      <c r="X993" s="133" t="s">
        <v>965</v>
      </c>
      <c r="Y993" s="125">
        <v>43104</v>
      </c>
      <c r="Z993" s="127">
        <f t="shared" si="94"/>
        <v>23690000</v>
      </c>
      <c r="AA993" s="133"/>
      <c r="AB993" s="133">
        <v>219</v>
      </c>
      <c r="AC993" s="134">
        <v>43105</v>
      </c>
      <c r="AD993" s="126">
        <v>23690000</v>
      </c>
      <c r="AE993" s="137">
        <f t="shared" ref="AE993:AE1009" si="95">AD993-AL993</f>
        <v>0</v>
      </c>
      <c r="AF993" s="139">
        <v>44</v>
      </c>
      <c r="AG993" s="134">
        <v>43116</v>
      </c>
      <c r="AH993" s="135">
        <f>AD993</f>
        <v>23690000</v>
      </c>
      <c r="AI993" s="136" t="s">
        <v>570</v>
      </c>
      <c r="AJ993" s="133">
        <v>36</v>
      </c>
      <c r="AK993" s="97"/>
      <c r="AL993" s="135">
        <f t="shared" ref="AL993:AL1000" si="96">AH993</f>
        <v>23690000</v>
      </c>
      <c r="AM993" s="135">
        <v>10300000</v>
      </c>
      <c r="AN993" s="135">
        <f t="shared" ref="AN993:AN1009" si="97">AL993-AM993</f>
        <v>13390000</v>
      </c>
      <c r="AO993" s="136" t="s">
        <v>952</v>
      </c>
      <c r="AP993" s="97"/>
      <c r="AQ993" s="97"/>
      <c r="AR993" s="97"/>
      <c r="AS993" s="97"/>
      <c r="AT993" s="97"/>
      <c r="AU993" s="97"/>
    </row>
    <row r="994" spans="1:47" ht="382.5" x14ac:dyDescent="0.2">
      <c r="A994" s="128">
        <v>5</v>
      </c>
      <c r="B994" s="128" t="s">
        <v>966</v>
      </c>
      <c r="C994" s="65" t="s">
        <v>941</v>
      </c>
      <c r="D994" s="1" t="s">
        <v>942</v>
      </c>
      <c r="E994" s="128" t="s">
        <v>943</v>
      </c>
      <c r="F994" s="1" t="s">
        <v>511</v>
      </c>
      <c r="G994" s="1" t="s">
        <v>512</v>
      </c>
      <c r="H994" s="66" t="s">
        <v>944</v>
      </c>
      <c r="I994" s="1" t="s">
        <v>54</v>
      </c>
      <c r="J994" s="1" t="s">
        <v>55</v>
      </c>
      <c r="K994" s="52">
        <v>801116</v>
      </c>
      <c r="L994" s="52" t="s">
        <v>945</v>
      </c>
      <c r="M994" s="128" t="s">
        <v>493</v>
      </c>
      <c r="N994" s="128" t="s">
        <v>494</v>
      </c>
      <c r="O994" s="53" t="s">
        <v>946</v>
      </c>
      <c r="P994" s="128" t="s">
        <v>967</v>
      </c>
      <c r="Q994" s="126">
        <v>3326900</v>
      </c>
      <c r="R994" s="129">
        <v>1</v>
      </c>
      <c r="S994" s="130">
        <f t="shared" si="93"/>
        <v>38259350</v>
      </c>
      <c r="T994" s="112" t="s">
        <v>948</v>
      </c>
      <c r="U994" s="112" t="s">
        <v>949</v>
      </c>
      <c r="V994" s="132" t="s">
        <v>516</v>
      </c>
      <c r="W994" s="112">
        <v>11.5</v>
      </c>
      <c r="X994" s="133" t="s">
        <v>968</v>
      </c>
      <c r="Y994" s="125">
        <v>43104</v>
      </c>
      <c r="Z994" s="127">
        <f t="shared" si="94"/>
        <v>38259350</v>
      </c>
      <c r="AA994" s="133"/>
      <c r="AB994" s="133">
        <v>221</v>
      </c>
      <c r="AC994" s="134">
        <v>43105</v>
      </c>
      <c r="AD994" s="126">
        <v>38259350</v>
      </c>
      <c r="AE994" s="137">
        <f t="shared" si="95"/>
        <v>0</v>
      </c>
      <c r="AF994" s="139">
        <v>86</v>
      </c>
      <c r="AG994" s="134">
        <v>43116</v>
      </c>
      <c r="AH994" s="135">
        <f>AD994</f>
        <v>38259350</v>
      </c>
      <c r="AI994" s="136" t="s">
        <v>969</v>
      </c>
      <c r="AJ994" s="133">
        <v>74</v>
      </c>
      <c r="AK994" s="97"/>
      <c r="AL994" s="135">
        <f t="shared" si="96"/>
        <v>38259350</v>
      </c>
      <c r="AM994" s="135">
        <v>14860153</v>
      </c>
      <c r="AN994" s="135">
        <f t="shared" si="97"/>
        <v>23399197</v>
      </c>
      <c r="AO994" s="136" t="s">
        <v>952</v>
      </c>
      <c r="AP994" s="97"/>
      <c r="AQ994" s="97"/>
      <c r="AR994" s="97"/>
      <c r="AS994" s="97"/>
      <c r="AT994" s="97"/>
      <c r="AU994" s="97"/>
    </row>
    <row r="995" spans="1:47" ht="255" x14ac:dyDescent="0.2">
      <c r="A995" s="128">
        <v>6</v>
      </c>
      <c r="B995" s="128" t="s">
        <v>970</v>
      </c>
      <c r="C995" s="65" t="s">
        <v>941</v>
      </c>
      <c r="D995" s="1" t="s">
        <v>942</v>
      </c>
      <c r="E995" s="128" t="s">
        <v>971</v>
      </c>
      <c r="F995" s="1" t="s">
        <v>511</v>
      </c>
      <c r="G995" s="1" t="s">
        <v>512</v>
      </c>
      <c r="H995" s="66" t="s">
        <v>944</v>
      </c>
      <c r="I995" s="1" t="s">
        <v>54</v>
      </c>
      <c r="J995" s="1" t="s">
        <v>55</v>
      </c>
      <c r="K995" s="52">
        <v>801116</v>
      </c>
      <c r="L995" s="52" t="s">
        <v>945</v>
      </c>
      <c r="M995" s="128" t="s">
        <v>493</v>
      </c>
      <c r="N995" s="128" t="s">
        <v>494</v>
      </c>
      <c r="O995" s="53" t="s">
        <v>946</v>
      </c>
      <c r="P995" s="128" t="s">
        <v>972</v>
      </c>
      <c r="Q995" s="126">
        <v>3399000</v>
      </c>
      <c r="R995" s="129">
        <v>1</v>
      </c>
      <c r="S995" s="126">
        <f t="shared" si="93"/>
        <v>39088500</v>
      </c>
      <c r="T995" s="112" t="s">
        <v>948</v>
      </c>
      <c r="U995" s="112" t="s">
        <v>949</v>
      </c>
      <c r="V995" s="132" t="s">
        <v>516</v>
      </c>
      <c r="W995" s="112">
        <v>11.5</v>
      </c>
      <c r="X995" s="133" t="s">
        <v>973</v>
      </c>
      <c r="Y995" s="125">
        <v>43104</v>
      </c>
      <c r="Z995" s="127">
        <f t="shared" si="94"/>
        <v>39088500</v>
      </c>
      <c r="AA995" s="133"/>
      <c r="AB995" s="133">
        <v>222</v>
      </c>
      <c r="AC995" s="134">
        <v>43105</v>
      </c>
      <c r="AD995" s="126">
        <v>39088500</v>
      </c>
      <c r="AE995" s="137">
        <f t="shared" si="95"/>
        <v>0</v>
      </c>
      <c r="AF995" s="139">
        <v>357</v>
      </c>
      <c r="AG995" s="134">
        <v>43123</v>
      </c>
      <c r="AH995" s="135">
        <f>AD995</f>
        <v>39088500</v>
      </c>
      <c r="AI995" s="136" t="s">
        <v>974</v>
      </c>
      <c r="AJ995" s="133">
        <v>355</v>
      </c>
      <c r="AK995" s="97"/>
      <c r="AL995" s="135">
        <f t="shared" si="96"/>
        <v>39088500</v>
      </c>
      <c r="AM995" s="135">
        <v>17674800</v>
      </c>
      <c r="AN995" s="135">
        <f t="shared" si="97"/>
        <v>21413700</v>
      </c>
      <c r="AO995" s="136" t="s">
        <v>952</v>
      </c>
      <c r="AP995" s="97"/>
      <c r="AQ995" s="97"/>
      <c r="AR995" s="97"/>
      <c r="AS995" s="97"/>
      <c r="AT995" s="97"/>
      <c r="AU995" s="97"/>
    </row>
    <row r="996" spans="1:47" ht="409.5" x14ac:dyDescent="0.2">
      <c r="A996" s="128">
        <v>7</v>
      </c>
      <c r="B996" s="128" t="s">
        <v>975</v>
      </c>
      <c r="C996" s="65" t="s">
        <v>941</v>
      </c>
      <c r="D996" s="1" t="s">
        <v>942</v>
      </c>
      <c r="E996" s="128" t="s">
        <v>943</v>
      </c>
      <c r="F996" s="1" t="s">
        <v>511</v>
      </c>
      <c r="G996" s="1" t="s">
        <v>512</v>
      </c>
      <c r="H996" s="66" t="s">
        <v>944</v>
      </c>
      <c r="I996" s="1" t="s">
        <v>54</v>
      </c>
      <c r="J996" s="1" t="s">
        <v>55</v>
      </c>
      <c r="K996" s="52">
        <v>801116</v>
      </c>
      <c r="L996" s="52" t="s">
        <v>945</v>
      </c>
      <c r="M996" s="128" t="s">
        <v>493</v>
      </c>
      <c r="N996" s="128" t="s">
        <v>494</v>
      </c>
      <c r="O996" s="53" t="s">
        <v>946</v>
      </c>
      <c r="P996" s="128" t="s">
        <v>976</v>
      </c>
      <c r="Q996" s="126">
        <v>7210000</v>
      </c>
      <c r="R996" s="129">
        <v>1</v>
      </c>
      <c r="S996" s="130">
        <f t="shared" si="93"/>
        <v>82915000</v>
      </c>
      <c r="T996" s="112" t="s">
        <v>948</v>
      </c>
      <c r="U996" s="112" t="s">
        <v>949</v>
      </c>
      <c r="V996" s="132" t="s">
        <v>516</v>
      </c>
      <c r="W996" s="112">
        <v>11.5</v>
      </c>
      <c r="X996" s="133" t="s">
        <v>977</v>
      </c>
      <c r="Y996" s="125">
        <v>43104</v>
      </c>
      <c r="Z996" s="127">
        <f t="shared" si="94"/>
        <v>82915000</v>
      </c>
      <c r="AA996" s="133"/>
      <c r="AB996" s="133">
        <v>225</v>
      </c>
      <c r="AC996" s="134">
        <v>43105</v>
      </c>
      <c r="AD996" s="126">
        <v>82915000</v>
      </c>
      <c r="AE996" s="137">
        <f t="shared" si="95"/>
        <v>0</v>
      </c>
      <c r="AF996" s="139">
        <v>387</v>
      </c>
      <c r="AG996" s="134">
        <v>43124</v>
      </c>
      <c r="AH996" s="135">
        <f>AD996</f>
        <v>82915000</v>
      </c>
      <c r="AI996" s="136" t="s">
        <v>978</v>
      </c>
      <c r="AJ996" s="133">
        <v>309</v>
      </c>
      <c r="AK996" s="97"/>
      <c r="AL996" s="135">
        <f t="shared" si="96"/>
        <v>82915000</v>
      </c>
      <c r="AM996" s="135">
        <v>37492000</v>
      </c>
      <c r="AN996" s="135">
        <f t="shared" si="97"/>
        <v>45423000</v>
      </c>
      <c r="AO996" s="136" t="s">
        <v>952</v>
      </c>
      <c r="AP996" s="97"/>
      <c r="AQ996" s="97"/>
      <c r="AR996" s="97"/>
      <c r="AS996" s="97"/>
      <c r="AT996" s="97"/>
      <c r="AU996" s="97"/>
    </row>
    <row r="997" spans="1:47" ht="357" x14ac:dyDescent="0.2">
      <c r="A997" s="128">
        <v>8</v>
      </c>
      <c r="B997" s="128" t="s">
        <v>979</v>
      </c>
      <c r="C997" s="65" t="s">
        <v>941</v>
      </c>
      <c r="D997" s="1" t="s">
        <v>942</v>
      </c>
      <c r="E997" s="128" t="s">
        <v>971</v>
      </c>
      <c r="F997" s="1" t="s">
        <v>511</v>
      </c>
      <c r="G997" s="1" t="s">
        <v>512</v>
      </c>
      <c r="H997" s="66" t="s">
        <v>944</v>
      </c>
      <c r="I997" s="1" t="s">
        <v>54</v>
      </c>
      <c r="J997" s="1" t="s">
        <v>55</v>
      </c>
      <c r="K997" s="52">
        <v>801116</v>
      </c>
      <c r="L997" s="52" t="s">
        <v>945</v>
      </c>
      <c r="M997" s="128" t="s">
        <v>493</v>
      </c>
      <c r="N997" s="128" t="s">
        <v>494</v>
      </c>
      <c r="O997" s="53" t="s">
        <v>946</v>
      </c>
      <c r="P997" s="128" t="s">
        <v>980</v>
      </c>
      <c r="Q997" s="126">
        <v>3326900</v>
      </c>
      <c r="R997" s="129">
        <v>1</v>
      </c>
      <c r="S997" s="126">
        <f t="shared" si="93"/>
        <v>38259350</v>
      </c>
      <c r="T997" s="112" t="s">
        <v>948</v>
      </c>
      <c r="U997" s="112" t="s">
        <v>949</v>
      </c>
      <c r="V997" s="132" t="s">
        <v>516</v>
      </c>
      <c r="W997" s="112">
        <v>11.5</v>
      </c>
      <c r="X997" s="133" t="s">
        <v>981</v>
      </c>
      <c r="Y997" s="125">
        <v>43104</v>
      </c>
      <c r="Z997" s="127">
        <f t="shared" si="94"/>
        <v>38259350</v>
      </c>
      <c r="AA997" s="133"/>
      <c r="AB997" s="133">
        <v>226</v>
      </c>
      <c r="AC997" s="134">
        <v>43105</v>
      </c>
      <c r="AD997" s="126">
        <v>38259350</v>
      </c>
      <c r="AE997" s="137">
        <f t="shared" si="95"/>
        <v>0</v>
      </c>
      <c r="AF997" s="139">
        <v>280</v>
      </c>
      <c r="AG997" s="134">
        <v>43122</v>
      </c>
      <c r="AH997" s="135">
        <f>AD997</f>
        <v>38259350</v>
      </c>
      <c r="AI997" s="136" t="s">
        <v>982</v>
      </c>
      <c r="AJ997" s="133">
        <v>250</v>
      </c>
      <c r="AK997" s="97"/>
      <c r="AL997" s="135">
        <f t="shared" si="96"/>
        <v>38259350</v>
      </c>
      <c r="AM997" s="135">
        <v>17632570</v>
      </c>
      <c r="AN997" s="135">
        <f t="shared" si="97"/>
        <v>20626780</v>
      </c>
      <c r="AO997" s="136" t="s">
        <v>952</v>
      </c>
      <c r="AP997" s="97"/>
      <c r="AQ997" s="97"/>
      <c r="AR997" s="97"/>
      <c r="AS997" s="97"/>
      <c r="AT997" s="97"/>
      <c r="AU997" s="97"/>
    </row>
    <row r="998" spans="1:47" ht="280.5" x14ac:dyDescent="0.2">
      <c r="A998" s="128">
        <v>9</v>
      </c>
      <c r="B998" s="128" t="s">
        <v>983</v>
      </c>
      <c r="C998" s="65" t="s">
        <v>941</v>
      </c>
      <c r="D998" s="1" t="s">
        <v>942</v>
      </c>
      <c r="E998" s="128" t="s">
        <v>943</v>
      </c>
      <c r="F998" s="1" t="s">
        <v>511</v>
      </c>
      <c r="G998" s="1" t="s">
        <v>512</v>
      </c>
      <c r="H998" s="66" t="s">
        <v>944</v>
      </c>
      <c r="I998" s="1" t="s">
        <v>54</v>
      </c>
      <c r="J998" s="1" t="s">
        <v>55</v>
      </c>
      <c r="K998" s="52">
        <v>801116</v>
      </c>
      <c r="L998" s="52" t="s">
        <v>945</v>
      </c>
      <c r="M998" s="128" t="s">
        <v>493</v>
      </c>
      <c r="N998" s="128" t="s">
        <v>494</v>
      </c>
      <c r="O998" s="53" t="s">
        <v>946</v>
      </c>
      <c r="P998" s="128" t="s">
        <v>984</v>
      </c>
      <c r="Q998" s="126">
        <v>4532000</v>
      </c>
      <c r="R998" s="129">
        <v>1</v>
      </c>
      <c r="S998" s="130">
        <f t="shared" si="93"/>
        <v>13596000</v>
      </c>
      <c r="T998" s="112" t="s">
        <v>948</v>
      </c>
      <c r="U998" s="112" t="s">
        <v>949</v>
      </c>
      <c r="V998" s="132" t="s">
        <v>516</v>
      </c>
      <c r="W998" s="112">
        <v>3</v>
      </c>
      <c r="X998" s="133" t="s">
        <v>985</v>
      </c>
      <c r="Y998" s="125">
        <v>43104</v>
      </c>
      <c r="Z998" s="127">
        <f t="shared" si="94"/>
        <v>13596000</v>
      </c>
      <c r="AA998" s="133"/>
      <c r="AB998" s="133">
        <v>228</v>
      </c>
      <c r="AC998" s="134">
        <v>43105</v>
      </c>
      <c r="AD998" s="126">
        <v>13596000</v>
      </c>
      <c r="AE998" s="137">
        <f t="shared" si="95"/>
        <v>0</v>
      </c>
      <c r="AF998" s="139">
        <v>343</v>
      </c>
      <c r="AG998" s="134">
        <v>43123</v>
      </c>
      <c r="AH998" s="135">
        <v>13596000</v>
      </c>
      <c r="AI998" s="136" t="s">
        <v>986</v>
      </c>
      <c r="AJ998" s="133">
        <v>347</v>
      </c>
      <c r="AK998" s="97"/>
      <c r="AL998" s="135">
        <f t="shared" si="96"/>
        <v>13596000</v>
      </c>
      <c r="AM998" s="135">
        <v>13596000</v>
      </c>
      <c r="AN998" s="135">
        <f t="shared" si="97"/>
        <v>0</v>
      </c>
      <c r="AO998" s="136" t="s">
        <v>952</v>
      </c>
      <c r="AP998" s="97"/>
      <c r="AQ998" s="97"/>
      <c r="AR998" s="97"/>
      <c r="AS998" s="97"/>
      <c r="AT998" s="97"/>
      <c r="AU998" s="97"/>
    </row>
    <row r="999" spans="1:47" ht="318.75" x14ac:dyDescent="0.2">
      <c r="A999" s="128">
        <v>10</v>
      </c>
      <c r="B999" s="128" t="s">
        <v>987</v>
      </c>
      <c r="C999" s="65" t="s">
        <v>941</v>
      </c>
      <c r="D999" s="1" t="s">
        <v>942</v>
      </c>
      <c r="E999" s="128" t="s">
        <v>971</v>
      </c>
      <c r="F999" s="1" t="s">
        <v>511</v>
      </c>
      <c r="G999" s="1" t="s">
        <v>512</v>
      </c>
      <c r="H999" s="66" t="s">
        <v>944</v>
      </c>
      <c r="I999" s="1" t="s">
        <v>54</v>
      </c>
      <c r="J999" s="1" t="s">
        <v>55</v>
      </c>
      <c r="K999" s="52">
        <v>801116</v>
      </c>
      <c r="L999" s="52" t="s">
        <v>945</v>
      </c>
      <c r="M999" s="128" t="s">
        <v>493</v>
      </c>
      <c r="N999" s="128" t="s">
        <v>494</v>
      </c>
      <c r="O999" s="53" t="s">
        <v>946</v>
      </c>
      <c r="P999" s="128" t="s">
        <v>988</v>
      </c>
      <c r="Q999" s="126">
        <v>1545000</v>
      </c>
      <c r="R999" s="129">
        <v>1</v>
      </c>
      <c r="S999" s="126">
        <f t="shared" si="93"/>
        <v>17767500</v>
      </c>
      <c r="T999" s="112" t="s">
        <v>948</v>
      </c>
      <c r="U999" s="112" t="s">
        <v>949</v>
      </c>
      <c r="V999" s="132" t="s">
        <v>516</v>
      </c>
      <c r="W999" s="112">
        <v>11.5</v>
      </c>
      <c r="X999" s="133" t="s">
        <v>989</v>
      </c>
      <c r="Y999" s="125">
        <v>43104</v>
      </c>
      <c r="Z999" s="127">
        <f t="shared" si="94"/>
        <v>17767500</v>
      </c>
      <c r="AA999" s="133"/>
      <c r="AB999" s="133">
        <v>177</v>
      </c>
      <c r="AC999" s="134">
        <v>43105</v>
      </c>
      <c r="AD999" s="126">
        <v>17767500</v>
      </c>
      <c r="AE999" s="137">
        <f t="shared" si="95"/>
        <v>0</v>
      </c>
      <c r="AF999" s="139">
        <v>218</v>
      </c>
      <c r="AG999" s="134">
        <v>43118</v>
      </c>
      <c r="AH999" s="135">
        <f t="shared" ref="AH999:AH1008" si="98">AD999</f>
        <v>17767500</v>
      </c>
      <c r="AI999" s="136" t="s">
        <v>990</v>
      </c>
      <c r="AJ999" s="133">
        <v>186</v>
      </c>
      <c r="AK999" s="97"/>
      <c r="AL999" s="135">
        <f t="shared" si="96"/>
        <v>17767500</v>
      </c>
      <c r="AM999" s="135">
        <v>8343000</v>
      </c>
      <c r="AN999" s="135">
        <f t="shared" si="97"/>
        <v>9424500</v>
      </c>
      <c r="AO999" s="136" t="s">
        <v>952</v>
      </c>
      <c r="AP999" s="97"/>
      <c r="AQ999" s="97"/>
      <c r="AR999" s="97"/>
      <c r="AS999" s="97"/>
      <c r="AT999" s="97"/>
      <c r="AU999" s="97"/>
    </row>
    <row r="1000" spans="1:47" ht="280.5" x14ac:dyDescent="0.2">
      <c r="A1000" s="128">
        <v>11</v>
      </c>
      <c r="B1000" s="128" t="s">
        <v>991</v>
      </c>
      <c r="C1000" s="65" t="s">
        <v>941</v>
      </c>
      <c r="D1000" s="1" t="s">
        <v>942</v>
      </c>
      <c r="E1000" s="128" t="s">
        <v>971</v>
      </c>
      <c r="F1000" s="1" t="s">
        <v>511</v>
      </c>
      <c r="G1000" s="1" t="s">
        <v>512</v>
      </c>
      <c r="H1000" s="66" t="s">
        <v>944</v>
      </c>
      <c r="I1000" s="1" t="s">
        <v>54</v>
      </c>
      <c r="J1000" s="1" t="s">
        <v>55</v>
      </c>
      <c r="K1000" s="52">
        <v>801116</v>
      </c>
      <c r="L1000" s="52" t="s">
        <v>945</v>
      </c>
      <c r="M1000" s="128" t="s">
        <v>493</v>
      </c>
      <c r="N1000" s="128" t="s">
        <v>494</v>
      </c>
      <c r="O1000" s="53" t="s">
        <v>946</v>
      </c>
      <c r="P1000" s="128" t="s">
        <v>992</v>
      </c>
      <c r="Q1000" s="126">
        <v>3553500</v>
      </c>
      <c r="R1000" s="129">
        <v>1</v>
      </c>
      <c r="S1000" s="126">
        <f t="shared" si="93"/>
        <v>40865250</v>
      </c>
      <c r="T1000" s="112" t="s">
        <v>948</v>
      </c>
      <c r="U1000" s="112" t="s">
        <v>949</v>
      </c>
      <c r="V1000" s="132" t="s">
        <v>516</v>
      </c>
      <c r="W1000" s="112">
        <v>11.5</v>
      </c>
      <c r="X1000" s="133" t="s">
        <v>993</v>
      </c>
      <c r="Y1000" s="125">
        <v>43104</v>
      </c>
      <c r="Z1000" s="127">
        <f t="shared" si="94"/>
        <v>40865250</v>
      </c>
      <c r="AA1000" s="133"/>
      <c r="AB1000" s="133">
        <v>180</v>
      </c>
      <c r="AC1000" s="134">
        <v>43105</v>
      </c>
      <c r="AD1000" s="126">
        <v>40865250</v>
      </c>
      <c r="AE1000" s="137">
        <f t="shared" si="95"/>
        <v>0</v>
      </c>
      <c r="AF1000" s="139">
        <v>372</v>
      </c>
      <c r="AG1000" s="134">
        <v>43124</v>
      </c>
      <c r="AH1000" s="135">
        <f t="shared" si="98"/>
        <v>40865250</v>
      </c>
      <c r="AI1000" s="136" t="s">
        <v>994</v>
      </c>
      <c r="AJ1000" s="133">
        <v>326</v>
      </c>
      <c r="AK1000" s="97"/>
      <c r="AL1000" s="135">
        <f t="shared" si="96"/>
        <v>40865250</v>
      </c>
      <c r="AM1000" s="135">
        <v>18478200</v>
      </c>
      <c r="AN1000" s="135">
        <f t="shared" si="97"/>
        <v>22387050</v>
      </c>
      <c r="AO1000" s="136" t="s">
        <v>952</v>
      </c>
      <c r="AP1000" s="97"/>
      <c r="AQ1000" s="97"/>
      <c r="AR1000" s="97"/>
      <c r="AS1000" s="97"/>
      <c r="AT1000" s="97"/>
      <c r="AU1000" s="97"/>
    </row>
    <row r="1001" spans="1:47" ht="409.5" x14ac:dyDescent="0.2">
      <c r="A1001" s="128">
        <v>12</v>
      </c>
      <c r="B1001" s="128" t="s">
        <v>995</v>
      </c>
      <c r="C1001" s="65" t="s">
        <v>941</v>
      </c>
      <c r="D1001" s="1" t="s">
        <v>942</v>
      </c>
      <c r="E1001" s="128" t="s">
        <v>971</v>
      </c>
      <c r="F1001" s="1" t="s">
        <v>511</v>
      </c>
      <c r="G1001" s="1" t="s">
        <v>512</v>
      </c>
      <c r="H1001" s="66" t="s">
        <v>944</v>
      </c>
      <c r="I1001" s="1" t="s">
        <v>54</v>
      </c>
      <c r="J1001" s="1" t="s">
        <v>55</v>
      </c>
      <c r="K1001" s="52">
        <v>801116</v>
      </c>
      <c r="L1001" s="52" t="s">
        <v>945</v>
      </c>
      <c r="M1001" s="128" t="s">
        <v>493</v>
      </c>
      <c r="N1001" s="128" t="s">
        <v>494</v>
      </c>
      <c r="O1001" s="53" t="s">
        <v>946</v>
      </c>
      <c r="P1001" s="128" t="s">
        <v>996</v>
      </c>
      <c r="Q1001" s="126">
        <v>6180000</v>
      </c>
      <c r="R1001" s="129">
        <v>1</v>
      </c>
      <c r="S1001" s="126">
        <f t="shared" si="93"/>
        <v>71070000</v>
      </c>
      <c r="T1001" s="112" t="s">
        <v>948</v>
      </c>
      <c r="U1001" s="112" t="s">
        <v>949</v>
      </c>
      <c r="V1001" s="132" t="s">
        <v>516</v>
      </c>
      <c r="W1001" s="112">
        <v>11.5</v>
      </c>
      <c r="X1001" s="133" t="s">
        <v>997</v>
      </c>
      <c r="Y1001" s="125">
        <v>43104</v>
      </c>
      <c r="Z1001" s="127">
        <f t="shared" si="94"/>
        <v>71070000</v>
      </c>
      <c r="AA1001" s="133"/>
      <c r="AB1001" s="133">
        <v>184</v>
      </c>
      <c r="AC1001" s="134">
        <v>43105</v>
      </c>
      <c r="AD1001" s="126">
        <v>71070000</v>
      </c>
      <c r="AE1001" s="137">
        <f t="shared" si="95"/>
        <v>0</v>
      </c>
      <c r="AF1001" s="139">
        <v>469</v>
      </c>
      <c r="AG1001" s="134">
        <v>43126</v>
      </c>
      <c r="AH1001" s="135">
        <f t="shared" si="98"/>
        <v>71070000</v>
      </c>
      <c r="AI1001" s="136" t="s">
        <v>998</v>
      </c>
      <c r="AJ1001" s="133">
        <v>396</v>
      </c>
      <c r="AK1001" s="97"/>
      <c r="AL1001" s="135">
        <f>AD1001</f>
        <v>71070000</v>
      </c>
      <c r="AM1001" s="135">
        <v>31312000</v>
      </c>
      <c r="AN1001" s="135">
        <f t="shared" si="97"/>
        <v>39758000</v>
      </c>
      <c r="AO1001" s="136" t="s">
        <v>952</v>
      </c>
      <c r="AP1001" s="97"/>
      <c r="AQ1001" s="97"/>
      <c r="AR1001" s="97"/>
      <c r="AS1001" s="97"/>
      <c r="AT1001" s="97"/>
      <c r="AU1001" s="97"/>
    </row>
    <row r="1002" spans="1:47" ht="409.5" x14ac:dyDescent="0.2">
      <c r="A1002" s="128">
        <v>13</v>
      </c>
      <c r="B1002" s="128" t="s">
        <v>999</v>
      </c>
      <c r="C1002" s="65" t="s">
        <v>941</v>
      </c>
      <c r="D1002" s="1" t="s">
        <v>942</v>
      </c>
      <c r="E1002" s="128" t="s">
        <v>943</v>
      </c>
      <c r="F1002" s="1" t="s">
        <v>511</v>
      </c>
      <c r="G1002" s="1" t="s">
        <v>512</v>
      </c>
      <c r="H1002" s="66" t="s">
        <v>944</v>
      </c>
      <c r="I1002" s="1" t="s">
        <v>54</v>
      </c>
      <c r="J1002" s="1" t="s">
        <v>55</v>
      </c>
      <c r="K1002" s="52">
        <v>801116</v>
      </c>
      <c r="L1002" s="52" t="s">
        <v>945</v>
      </c>
      <c r="M1002" s="128" t="s">
        <v>493</v>
      </c>
      <c r="N1002" s="128" t="s">
        <v>494</v>
      </c>
      <c r="O1002" s="53" t="s">
        <v>946</v>
      </c>
      <c r="P1002" s="128" t="s">
        <v>1000</v>
      </c>
      <c r="Q1002" s="126">
        <v>11900000</v>
      </c>
      <c r="R1002" s="129">
        <v>1</v>
      </c>
      <c r="S1002" s="130">
        <f t="shared" si="93"/>
        <v>136850000</v>
      </c>
      <c r="T1002" s="112" t="s">
        <v>948</v>
      </c>
      <c r="U1002" s="112" t="s">
        <v>949</v>
      </c>
      <c r="V1002" s="132" t="s">
        <v>516</v>
      </c>
      <c r="W1002" s="112">
        <v>11.5</v>
      </c>
      <c r="X1002" s="133" t="s">
        <v>1001</v>
      </c>
      <c r="Y1002" s="125">
        <v>43104</v>
      </c>
      <c r="Z1002" s="127">
        <f t="shared" si="94"/>
        <v>136850000</v>
      </c>
      <c r="AA1002" s="133"/>
      <c r="AB1002" s="133">
        <v>187</v>
      </c>
      <c r="AC1002" s="134">
        <v>43105</v>
      </c>
      <c r="AD1002" s="126">
        <v>136850000</v>
      </c>
      <c r="AE1002" s="137">
        <f t="shared" si="95"/>
        <v>0</v>
      </c>
      <c r="AF1002" s="139">
        <v>117</v>
      </c>
      <c r="AG1002" s="134">
        <v>43117</v>
      </c>
      <c r="AH1002" s="135">
        <f t="shared" si="98"/>
        <v>136850000</v>
      </c>
      <c r="AI1002" s="136" t="s">
        <v>1002</v>
      </c>
      <c r="AJ1002" s="133">
        <v>96</v>
      </c>
      <c r="AK1002" s="97"/>
      <c r="AL1002" s="135">
        <f t="shared" ref="AL1002:AL1008" si="99">AH1002</f>
        <v>136850000</v>
      </c>
      <c r="AM1002" s="135">
        <v>65053333</v>
      </c>
      <c r="AN1002" s="135">
        <f t="shared" si="97"/>
        <v>71796667</v>
      </c>
      <c r="AO1002" s="136" t="s">
        <v>952</v>
      </c>
      <c r="AP1002" s="97"/>
      <c r="AQ1002" s="97"/>
      <c r="AR1002" s="97"/>
      <c r="AS1002" s="97"/>
      <c r="AT1002" s="97"/>
      <c r="AU1002" s="97"/>
    </row>
    <row r="1003" spans="1:47" ht="409.5" x14ac:dyDescent="0.2">
      <c r="A1003" s="128">
        <v>14</v>
      </c>
      <c r="B1003" s="128" t="s">
        <v>1003</v>
      </c>
      <c r="C1003" s="65" t="s">
        <v>941</v>
      </c>
      <c r="D1003" s="1" t="s">
        <v>942</v>
      </c>
      <c r="E1003" s="128" t="s">
        <v>971</v>
      </c>
      <c r="F1003" s="1" t="s">
        <v>511</v>
      </c>
      <c r="G1003" s="1" t="s">
        <v>512</v>
      </c>
      <c r="H1003" s="66" t="s">
        <v>944</v>
      </c>
      <c r="I1003" s="1" t="s">
        <v>54</v>
      </c>
      <c r="J1003" s="1" t="s">
        <v>55</v>
      </c>
      <c r="K1003" s="52">
        <v>801116</v>
      </c>
      <c r="L1003" s="52" t="s">
        <v>945</v>
      </c>
      <c r="M1003" s="128" t="s">
        <v>493</v>
      </c>
      <c r="N1003" s="128" t="s">
        <v>494</v>
      </c>
      <c r="O1003" s="53" t="s">
        <v>946</v>
      </c>
      <c r="P1003" s="128" t="s">
        <v>1004</v>
      </c>
      <c r="Q1003" s="126">
        <v>5253000</v>
      </c>
      <c r="R1003" s="129">
        <v>1</v>
      </c>
      <c r="S1003" s="126">
        <f t="shared" si="93"/>
        <v>60409500</v>
      </c>
      <c r="T1003" s="112" t="s">
        <v>948</v>
      </c>
      <c r="U1003" s="112" t="s">
        <v>949</v>
      </c>
      <c r="V1003" s="132" t="s">
        <v>516</v>
      </c>
      <c r="W1003" s="112">
        <v>11.5</v>
      </c>
      <c r="X1003" s="133" t="s">
        <v>1005</v>
      </c>
      <c r="Y1003" s="125">
        <v>43104</v>
      </c>
      <c r="Z1003" s="127">
        <f t="shared" si="94"/>
        <v>60409500</v>
      </c>
      <c r="AA1003" s="133"/>
      <c r="AB1003" s="133">
        <v>218</v>
      </c>
      <c r="AC1003" s="134">
        <v>43105</v>
      </c>
      <c r="AD1003" s="126">
        <v>60409500</v>
      </c>
      <c r="AE1003" s="137">
        <f t="shared" si="95"/>
        <v>0</v>
      </c>
      <c r="AF1003" s="139">
        <v>229</v>
      </c>
      <c r="AG1003" s="134">
        <v>43118</v>
      </c>
      <c r="AH1003" s="135">
        <f t="shared" si="98"/>
        <v>60409500</v>
      </c>
      <c r="AI1003" s="136" t="s">
        <v>1006</v>
      </c>
      <c r="AJ1003" s="133">
        <v>201</v>
      </c>
      <c r="AK1003" s="97"/>
      <c r="AL1003" s="135">
        <f t="shared" si="99"/>
        <v>60409500</v>
      </c>
      <c r="AM1003" s="135">
        <v>28366200</v>
      </c>
      <c r="AN1003" s="135">
        <f t="shared" si="97"/>
        <v>32043300</v>
      </c>
      <c r="AO1003" s="136" t="s">
        <v>952</v>
      </c>
      <c r="AP1003" s="97"/>
      <c r="AQ1003" s="97"/>
      <c r="AR1003" s="97"/>
      <c r="AS1003" s="97"/>
      <c r="AT1003" s="97"/>
      <c r="AU1003" s="97"/>
    </row>
    <row r="1004" spans="1:47" ht="409.5" x14ac:dyDescent="0.2">
      <c r="A1004" s="128">
        <v>15</v>
      </c>
      <c r="B1004" s="128" t="s">
        <v>1007</v>
      </c>
      <c r="C1004" s="65" t="s">
        <v>941</v>
      </c>
      <c r="D1004" s="1" t="s">
        <v>942</v>
      </c>
      <c r="E1004" s="128" t="s">
        <v>971</v>
      </c>
      <c r="F1004" s="1" t="s">
        <v>511</v>
      </c>
      <c r="G1004" s="1" t="s">
        <v>512</v>
      </c>
      <c r="H1004" s="66" t="s">
        <v>944</v>
      </c>
      <c r="I1004" s="1" t="s">
        <v>54</v>
      </c>
      <c r="J1004" s="1" t="s">
        <v>55</v>
      </c>
      <c r="K1004" s="52">
        <v>801116</v>
      </c>
      <c r="L1004" s="52" t="s">
        <v>945</v>
      </c>
      <c r="M1004" s="128" t="s">
        <v>493</v>
      </c>
      <c r="N1004" s="128" t="s">
        <v>494</v>
      </c>
      <c r="O1004" s="53" t="s">
        <v>946</v>
      </c>
      <c r="P1004" s="128" t="s">
        <v>1008</v>
      </c>
      <c r="Q1004" s="126">
        <v>4532000</v>
      </c>
      <c r="R1004" s="129">
        <v>1</v>
      </c>
      <c r="S1004" s="126">
        <f t="shared" si="93"/>
        <v>52118000</v>
      </c>
      <c r="T1004" s="112" t="s">
        <v>948</v>
      </c>
      <c r="U1004" s="112" t="s">
        <v>949</v>
      </c>
      <c r="V1004" s="132" t="s">
        <v>516</v>
      </c>
      <c r="W1004" s="112">
        <v>11.5</v>
      </c>
      <c r="X1004" s="133" t="s">
        <v>1009</v>
      </c>
      <c r="Y1004" s="125">
        <v>43104</v>
      </c>
      <c r="Z1004" s="127">
        <f t="shared" si="94"/>
        <v>52118000</v>
      </c>
      <c r="AA1004" s="133"/>
      <c r="AB1004" s="133">
        <v>224</v>
      </c>
      <c r="AC1004" s="134">
        <v>43105</v>
      </c>
      <c r="AD1004" s="126">
        <v>52118000</v>
      </c>
      <c r="AE1004" s="137">
        <f t="shared" si="95"/>
        <v>0</v>
      </c>
      <c r="AF1004" s="139">
        <v>133</v>
      </c>
      <c r="AG1004" s="134">
        <v>43117</v>
      </c>
      <c r="AH1004" s="135">
        <f t="shared" si="98"/>
        <v>52118000</v>
      </c>
      <c r="AI1004" s="136" t="s">
        <v>1010</v>
      </c>
      <c r="AJ1004" s="133">
        <v>142</v>
      </c>
      <c r="AK1004" s="97"/>
      <c r="AL1004" s="135">
        <f t="shared" si="99"/>
        <v>52118000</v>
      </c>
      <c r="AM1004" s="135">
        <v>24623867</v>
      </c>
      <c r="AN1004" s="135">
        <f t="shared" si="97"/>
        <v>27494133</v>
      </c>
      <c r="AO1004" s="136" t="s">
        <v>952</v>
      </c>
      <c r="AP1004" s="97"/>
      <c r="AQ1004" s="97"/>
      <c r="AR1004" s="97"/>
      <c r="AS1004" s="97"/>
      <c r="AT1004" s="97"/>
      <c r="AU1004" s="97"/>
    </row>
    <row r="1005" spans="1:47" ht="409.5" x14ac:dyDescent="0.2">
      <c r="A1005" s="128">
        <v>16</v>
      </c>
      <c r="B1005" s="128" t="s">
        <v>1011</v>
      </c>
      <c r="C1005" s="65" t="s">
        <v>941</v>
      </c>
      <c r="D1005" s="1" t="s">
        <v>942</v>
      </c>
      <c r="E1005" s="128" t="s">
        <v>943</v>
      </c>
      <c r="F1005" s="1" t="s">
        <v>511</v>
      </c>
      <c r="G1005" s="1" t="s">
        <v>512</v>
      </c>
      <c r="H1005" s="66" t="s">
        <v>944</v>
      </c>
      <c r="I1005" s="1" t="s">
        <v>54</v>
      </c>
      <c r="J1005" s="1" t="s">
        <v>55</v>
      </c>
      <c r="K1005" s="52">
        <v>801116</v>
      </c>
      <c r="L1005" s="52" t="s">
        <v>945</v>
      </c>
      <c r="M1005" s="128" t="s">
        <v>493</v>
      </c>
      <c r="N1005" s="128" t="s">
        <v>494</v>
      </c>
      <c r="O1005" s="53" t="s">
        <v>946</v>
      </c>
      <c r="P1005" s="128" t="s">
        <v>1012</v>
      </c>
      <c r="Q1005" s="126">
        <v>12900000</v>
      </c>
      <c r="R1005" s="129">
        <v>1</v>
      </c>
      <c r="S1005" s="130">
        <f t="shared" si="93"/>
        <v>148350000</v>
      </c>
      <c r="T1005" s="112" t="s">
        <v>948</v>
      </c>
      <c r="U1005" s="112" t="s">
        <v>949</v>
      </c>
      <c r="V1005" s="132" t="s">
        <v>516</v>
      </c>
      <c r="W1005" s="112">
        <v>11.5</v>
      </c>
      <c r="X1005" s="133" t="s">
        <v>1013</v>
      </c>
      <c r="Y1005" s="125">
        <v>43104</v>
      </c>
      <c r="Z1005" s="127">
        <f t="shared" si="94"/>
        <v>148350000</v>
      </c>
      <c r="AA1005" s="133"/>
      <c r="AB1005" s="133">
        <v>227</v>
      </c>
      <c r="AC1005" s="134">
        <v>43105</v>
      </c>
      <c r="AD1005" s="126">
        <v>148350000</v>
      </c>
      <c r="AE1005" s="137">
        <f t="shared" si="95"/>
        <v>0</v>
      </c>
      <c r="AF1005" s="139">
        <v>38</v>
      </c>
      <c r="AG1005" s="134">
        <v>43116</v>
      </c>
      <c r="AH1005" s="135">
        <f t="shared" si="98"/>
        <v>148350000</v>
      </c>
      <c r="AI1005" s="136" t="s">
        <v>1014</v>
      </c>
      <c r="AJ1005" s="133">
        <v>35</v>
      </c>
      <c r="AK1005" s="97"/>
      <c r="AL1005" s="135">
        <f t="shared" si="99"/>
        <v>148350000</v>
      </c>
      <c r="AM1005" s="135">
        <v>70520000</v>
      </c>
      <c r="AN1005" s="135">
        <f t="shared" si="97"/>
        <v>77830000</v>
      </c>
      <c r="AO1005" s="136" t="s">
        <v>952</v>
      </c>
      <c r="AP1005" s="97"/>
      <c r="AQ1005" s="97"/>
      <c r="AR1005" s="97"/>
      <c r="AS1005" s="97"/>
      <c r="AT1005" s="97"/>
      <c r="AU1005" s="97"/>
    </row>
    <row r="1006" spans="1:47" ht="344.25" x14ac:dyDescent="0.2">
      <c r="A1006" s="128">
        <v>17</v>
      </c>
      <c r="B1006" s="128" t="s">
        <v>1015</v>
      </c>
      <c r="C1006" s="65" t="s">
        <v>941</v>
      </c>
      <c r="D1006" s="1" t="s">
        <v>942</v>
      </c>
      <c r="E1006" s="128" t="s">
        <v>971</v>
      </c>
      <c r="F1006" s="1" t="s">
        <v>511</v>
      </c>
      <c r="G1006" s="1" t="s">
        <v>512</v>
      </c>
      <c r="H1006" s="66" t="s">
        <v>944</v>
      </c>
      <c r="I1006" s="1" t="s">
        <v>54</v>
      </c>
      <c r="J1006" s="1" t="s">
        <v>55</v>
      </c>
      <c r="K1006" s="52">
        <v>801116</v>
      </c>
      <c r="L1006" s="52" t="s">
        <v>945</v>
      </c>
      <c r="M1006" s="128" t="s">
        <v>493</v>
      </c>
      <c r="N1006" s="128" t="s">
        <v>494</v>
      </c>
      <c r="O1006" s="53" t="s">
        <v>946</v>
      </c>
      <c r="P1006" s="128" t="s">
        <v>1016</v>
      </c>
      <c r="Q1006" s="126">
        <v>4120000</v>
      </c>
      <c r="R1006" s="129">
        <v>1</v>
      </c>
      <c r="S1006" s="126">
        <f t="shared" si="93"/>
        <v>47380000</v>
      </c>
      <c r="T1006" s="112" t="s">
        <v>948</v>
      </c>
      <c r="U1006" s="112" t="s">
        <v>949</v>
      </c>
      <c r="V1006" s="132" t="s">
        <v>516</v>
      </c>
      <c r="W1006" s="112">
        <v>11.5</v>
      </c>
      <c r="X1006" s="133" t="s">
        <v>1017</v>
      </c>
      <c r="Y1006" s="125">
        <v>43104</v>
      </c>
      <c r="Z1006" s="127">
        <f t="shared" si="94"/>
        <v>47380000</v>
      </c>
      <c r="AA1006" s="133"/>
      <c r="AB1006" s="133">
        <v>229</v>
      </c>
      <c r="AC1006" s="134">
        <v>43105</v>
      </c>
      <c r="AD1006" s="126">
        <v>47380000</v>
      </c>
      <c r="AE1006" s="137">
        <f t="shared" si="95"/>
        <v>0</v>
      </c>
      <c r="AF1006" s="139">
        <v>216</v>
      </c>
      <c r="AG1006" s="134">
        <v>43118</v>
      </c>
      <c r="AH1006" s="135">
        <f t="shared" si="98"/>
        <v>47380000</v>
      </c>
      <c r="AI1006" s="136" t="s">
        <v>1018</v>
      </c>
      <c r="AJ1006" s="133"/>
      <c r="AK1006" s="97">
        <v>175</v>
      </c>
      <c r="AL1006" s="135">
        <f t="shared" si="99"/>
        <v>47380000</v>
      </c>
      <c r="AM1006" s="135">
        <v>22248000</v>
      </c>
      <c r="AN1006" s="135">
        <f t="shared" si="97"/>
        <v>25132000</v>
      </c>
      <c r="AO1006" s="136" t="s">
        <v>952</v>
      </c>
      <c r="AP1006" s="97"/>
      <c r="AQ1006" s="97"/>
      <c r="AR1006" s="97"/>
      <c r="AS1006" s="97"/>
      <c r="AT1006" s="97"/>
      <c r="AU1006" s="97"/>
    </row>
    <row r="1007" spans="1:47" ht="409.5" x14ac:dyDescent="0.2">
      <c r="A1007" s="128">
        <v>18</v>
      </c>
      <c r="B1007" s="128" t="s">
        <v>1019</v>
      </c>
      <c r="C1007" s="65" t="s">
        <v>941</v>
      </c>
      <c r="D1007" s="1" t="s">
        <v>942</v>
      </c>
      <c r="E1007" s="128" t="s">
        <v>971</v>
      </c>
      <c r="F1007" s="1" t="s">
        <v>511</v>
      </c>
      <c r="G1007" s="1" t="s">
        <v>512</v>
      </c>
      <c r="H1007" s="66" t="s">
        <v>944</v>
      </c>
      <c r="I1007" s="1" t="s">
        <v>54</v>
      </c>
      <c r="J1007" s="1" t="s">
        <v>55</v>
      </c>
      <c r="K1007" s="52">
        <v>801116</v>
      </c>
      <c r="L1007" s="52" t="s">
        <v>945</v>
      </c>
      <c r="M1007" s="128" t="s">
        <v>493</v>
      </c>
      <c r="N1007" s="128" t="s">
        <v>494</v>
      </c>
      <c r="O1007" s="53" t="s">
        <v>946</v>
      </c>
      <c r="P1007" s="128" t="s">
        <v>1020</v>
      </c>
      <c r="Q1007" s="126">
        <v>5665000</v>
      </c>
      <c r="R1007" s="129">
        <v>1</v>
      </c>
      <c r="S1007" s="126">
        <f t="shared" si="93"/>
        <v>65147500</v>
      </c>
      <c r="T1007" s="112" t="s">
        <v>948</v>
      </c>
      <c r="U1007" s="112" t="s">
        <v>949</v>
      </c>
      <c r="V1007" s="132" t="s">
        <v>516</v>
      </c>
      <c r="W1007" s="112">
        <v>11.5</v>
      </c>
      <c r="X1007" s="133" t="s">
        <v>1021</v>
      </c>
      <c r="Y1007" s="125">
        <v>43104</v>
      </c>
      <c r="Z1007" s="127">
        <f t="shared" si="94"/>
        <v>65147500</v>
      </c>
      <c r="AA1007" s="133"/>
      <c r="AB1007" s="133">
        <v>231</v>
      </c>
      <c r="AC1007" s="134">
        <v>43105</v>
      </c>
      <c r="AD1007" s="126">
        <v>65147500</v>
      </c>
      <c r="AE1007" s="137">
        <f t="shared" si="95"/>
        <v>0</v>
      </c>
      <c r="AF1007" s="139">
        <v>88</v>
      </c>
      <c r="AG1007" s="134">
        <v>43116</v>
      </c>
      <c r="AH1007" s="135">
        <f t="shared" si="98"/>
        <v>65147500</v>
      </c>
      <c r="AI1007" s="136" t="s">
        <v>1022</v>
      </c>
      <c r="AJ1007" s="133">
        <v>73</v>
      </c>
      <c r="AK1007" s="97"/>
      <c r="AL1007" s="135">
        <f t="shared" si="99"/>
        <v>65147500</v>
      </c>
      <c r="AM1007" s="135">
        <v>30968667</v>
      </c>
      <c r="AN1007" s="135">
        <f t="shared" si="97"/>
        <v>34178833</v>
      </c>
      <c r="AO1007" s="136" t="s">
        <v>952</v>
      </c>
      <c r="AP1007" s="97"/>
      <c r="AQ1007" s="97"/>
      <c r="AR1007" s="97"/>
      <c r="AS1007" s="97"/>
      <c r="AT1007" s="97"/>
      <c r="AU1007" s="97"/>
    </row>
    <row r="1008" spans="1:47" ht="409.5" x14ac:dyDescent="0.2">
      <c r="A1008" s="128">
        <v>19</v>
      </c>
      <c r="B1008" s="128" t="s">
        <v>1023</v>
      </c>
      <c r="C1008" s="65" t="s">
        <v>941</v>
      </c>
      <c r="D1008" s="1" t="s">
        <v>942</v>
      </c>
      <c r="E1008" s="128" t="s">
        <v>971</v>
      </c>
      <c r="F1008" s="1" t="s">
        <v>511</v>
      </c>
      <c r="G1008" s="1" t="s">
        <v>512</v>
      </c>
      <c r="H1008" s="66" t="s">
        <v>944</v>
      </c>
      <c r="I1008" s="1" t="s">
        <v>54</v>
      </c>
      <c r="J1008" s="1" t="s">
        <v>55</v>
      </c>
      <c r="K1008" s="52">
        <v>801116</v>
      </c>
      <c r="L1008" s="52" t="s">
        <v>945</v>
      </c>
      <c r="M1008" s="128" t="s">
        <v>493</v>
      </c>
      <c r="N1008" s="128" t="s">
        <v>494</v>
      </c>
      <c r="O1008" s="53" t="s">
        <v>946</v>
      </c>
      <c r="P1008" s="128" t="s">
        <v>1024</v>
      </c>
      <c r="Q1008" s="126">
        <v>5253000</v>
      </c>
      <c r="R1008" s="129">
        <v>1</v>
      </c>
      <c r="S1008" s="126">
        <f t="shared" si="93"/>
        <v>60409500</v>
      </c>
      <c r="T1008" s="112" t="s">
        <v>948</v>
      </c>
      <c r="U1008" s="112" t="s">
        <v>949</v>
      </c>
      <c r="V1008" s="132" t="s">
        <v>516</v>
      </c>
      <c r="W1008" s="112">
        <v>11.5</v>
      </c>
      <c r="X1008" s="133" t="s">
        <v>1025</v>
      </c>
      <c r="Y1008" s="125">
        <v>43104</v>
      </c>
      <c r="Z1008" s="127">
        <f t="shared" si="94"/>
        <v>60409500</v>
      </c>
      <c r="AA1008" s="133"/>
      <c r="AB1008" s="133">
        <v>233</v>
      </c>
      <c r="AC1008" s="134">
        <v>43105</v>
      </c>
      <c r="AD1008" s="126">
        <v>60409500</v>
      </c>
      <c r="AE1008" s="137">
        <f t="shared" si="95"/>
        <v>0</v>
      </c>
      <c r="AF1008" s="139">
        <v>95</v>
      </c>
      <c r="AG1008" s="134">
        <v>43116</v>
      </c>
      <c r="AH1008" s="135">
        <f t="shared" si="98"/>
        <v>60409500</v>
      </c>
      <c r="AI1008" s="136" t="s">
        <v>1026</v>
      </c>
      <c r="AJ1008" s="133">
        <v>72</v>
      </c>
      <c r="AK1008" s="97"/>
      <c r="AL1008" s="135">
        <f t="shared" si="99"/>
        <v>60409500</v>
      </c>
      <c r="AM1008" s="135">
        <v>28716400</v>
      </c>
      <c r="AN1008" s="135">
        <f t="shared" si="97"/>
        <v>31693100</v>
      </c>
      <c r="AO1008" s="136" t="s">
        <v>952</v>
      </c>
      <c r="AP1008" s="97"/>
      <c r="AQ1008" s="97"/>
      <c r="AR1008" s="97"/>
      <c r="AS1008" s="97"/>
      <c r="AT1008" s="97"/>
      <c r="AU1008" s="97"/>
    </row>
    <row r="1009" spans="1:47" ht="280.5" x14ac:dyDescent="0.2">
      <c r="A1009" s="128">
        <v>20</v>
      </c>
      <c r="B1009" s="128" t="s">
        <v>1027</v>
      </c>
      <c r="C1009" s="65" t="s">
        <v>941</v>
      </c>
      <c r="D1009" s="1" t="s">
        <v>942</v>
      </c>
      <c r="E1009" s="128" t="s">
        <v>971</v>
      </c>
      <c r="F1009" s="1" t="s">
        <v>511</v>
      </c>
      <c r="G1009" s="1" t="s">
        <v>512</v>
      </c>
      <c r="H1009" s="66" t="s">
        <v>944</v>
      </c>
      <c r="I1009" s="1" t="s">
        <v>54</v>
      </c>
      <c r="J1009" s="1" t="s">
        <v>55</v>
      </c>
      <c r="K1009" s="52">
        <v>801116</v>
      </c>
      <c r="L1009" s="52" t="s">
        <v>945</v>
      </c>
      <c r="M1009" s="128" t="s">
        <v>493</v>
      </c>
      <c r="N1009" s="128" t="s">
        <v>494</v>
      </c>
      <c r="O1009" s="53" t="s">
        <v>946</v>
      </c>
      <c r="P1009" s="128" t="s">
        <v>992</v>
      </c>
      <c r="Q1009" s="126">
        <v>3553500</v>
      </c>
      <c r="R1009" s="129">
        <v>1</v>
      </c>
      <c r="S1009" s="126">
        <f t="shared" si="93"/>
        <v>40865250</v>
      </c>
      <c r="T1009" s="112" t="s">
        <v>948</v>
      </c>
      <c r="U1009" s="112" t="s">
        <v>949</v>
      </c>
      <c r="V1009" s="132" t="s">
        <v>516</v>
      </c>
      <c r="W1009" s="112">
        <v>11.5</v>
      </c>
      <c r="X1009" s="133" t="s">
        <v>1028</v>
      </c>
      <c r="Y1009" s="125">
        <v>43104</v>
      </c>
      <c r="Z1009" s="127">
        <f t="shared" si="94"/>
        <v>40865250</v>
      </c>
      <c r="AA1009" s="133"/>
      <c r="AB1009" s="133">
        <v>243</v>
      </c>
      <c r="AC1009" s="134">
        <v>43105</v>
      </c>
      <c r="AD1009" s="126">
        <v>40865250</v>
      </c>
      <c r="AE1009" s="137">
        <f t="shared" si="95"/>
        <v>0</v>
      </c>
      <c r="AF1009" s="139">
        <v>255</v>
      </c>
      <c r="AG1009" s="134">
        <v>43119</v>
      </c>
      <c r="AH1009" s="135">
        <f>AD1009</f>
        <v>40865250</v>
      </c>
      <c r="AI1009" s="136" t="s">
        <v>1029</v>
      </c>
      <c r="AJ1009" s="133">
        <v>231</v>
      </c>
      <c r="AK1009" s="97"/>
      <c r="AL1009" s="135">
        <f>AH1009</f>
        <v>40865250</v>
      </c>
      <c r="AM1009" s="135">
        <v>18833550</v>
      </c>
      <c r="AN1009" s="135">
        <f t="shared" si="97"/>
        <v>22031700</v>
      </c>
      <c r="AO1009" s="136" t="s">
        <v>952</v>
      </c>
      <c r="AP1009" s="97"/>
      <c r="AQ1009" s="97"/>
      <c r="AR1009" s="97"/>
      <c r="AS1009" s="97"/>
      <c r="AT1009" s="97"/>
      <c r="AU1009" s="97"/>
    </row>
    <row r="1010" spans="1:47" ht="409.5" x14ac:dyDescent="0.2">
      <c r="A1010" s="128">
        <v>21</v>
      </c>
      <c r="B1010" s="128" t="s">
        <v>1030</v>
      </c>
      <c r="C1010" s="65" t="s">
        <v>941</v>
      </c>
      <c r="D1010" s="1" t="s">
        <v>942</v>
      </c>
      <c r="E1010" s="128" t="s">
        <v>971</v>
      </c>
      <c r="F1010" s="1" t="s">
        <v>511</v>
      </c>
      <c r="G1010" s="1" t="s">
        <v>512</v>
      </c>
      <c r="H1010" s="66" t="s">
        <v>944</v>
      </c>
      <c r="I1010" s="1" t="s">
        <v>54</v>
      </c>
      <c r="J1010" s="1" t="s">
        <v>55</v>
      </c>
      <c r="K1010" s="52">
        <v>801116</v>
      </c>
      <c r="L1010" s="54" t="s">
        <v>945</v>
      </c>
      <c r="M1010" s="128" t="s">
        <v>493</v>
      </c>
      <c r="N1010" s="128" t="s">
        <v>494</v>
      </c>
      <c r="O1010" s="53" t="s">
        <v>946</v>
      </c>
      <c r="P1010" s="128" t="s">
        <v>976</v>
      </c>
      <c r="Q1010" s="126">
        <v>5665000</v>
      </c>
      <c r="R1010" s="131">
        <v>1</v>
      </c>
      <c r="S1010" s="126">
        <f>+Q1010*R1010*W1010-65147500</f>
        <v>0</v>
      </c>
      <c r="T1010" s="112" t="s">
        <v>948</v>
      </c>
      <c r="U1010" s="112" t="s">
        <v>949</v>
      </c>
      <c r="V1010" s="132" t="s">
        <v>516</v>
      </c>
      <c r="W1010" s="112">
        <v>11.5</v>
      </c>
      <c r="X1010" s="112" t="s">
        <v>1031</v>
      </c>
      <c r="Y1010" s="138">
        <v>43104</v>
      </c>
      <c r="Z1010" s="126">
        <f t="shared" si="94"/>
        <v>0</v>
      </c>
      <c r="AA1010" s="97"/>
      <c r="AB1010" s="112" t="s">
        <v>1032</v>
      </c>
      <c r="AC1010" s="138">
        <v>43105</v>
      </c>
      <c r="AD1010" s="126">
        <v>65147500</v>
      </c>
      <c r="AE1010" s="97"/>
      <c r="AF1010" s="139"/>
      <c r="AG1010" s="97"/>
      <c r="AH1010" s="97"/>
      <c r="AI1010" s="136"/>
      <c r="AJ1010" s="97"/>
      <c r="AK1010" s="97"/>
      <c r="AL1010" s="97"/>
      <c r="AM1010" s="135"/>
      <c r="AN1010" s="97"/>
      <c r="AO1010" s="136" t="s">
        <v>952</v>
      </c>
      <c r="AP1010" s="97"/>
      <c r="AQ1010" s="140" t="s">
        <v>1033</v>
      </c>
      <c r="AR1010" s="141">
        <v>43150</v>
      </c>
      <c r="AS1010" s="136" t="s">
        <v>962</v>
      </c>
      <c r="AT1010" s="97"/>
      <c r="AU1010" s="140" t="s">
        <v>963</v>
      </c>
    </row>
    <row r="1011" spans="1:47" ht="409.5" x14ac:dyDescent="0.2">
      <c r="A1011" s="128">
        <v>22</v>
      </c>
      <c r="B1011" s="128" t="s">
        <v>1034</v>
      </c>
      <c r="C1011" s="65" t="s">
        <v>941</v>
      </c>
      <c r="D1011" s="1" t="s">
        <v>942</v>
      </c>
      <c r="E1011" s="128" t="s">
        <v>971</v>
      </c>
      <c r="F1011" s="1" t="s">
        <v>511</v>
      </c>
      <c r="G1011" s="1" t="s">
        <v>512</v>
      </c>
      <c r="H1011" s="66" t="s">
        <v>944</v>
      </c>
      <c r="I1011" s="1" t="s">
        <v>54</v>
      </c>
      <c r="J1011" s="1" t="s">
        <v>55</v>
      </c>
      <c r="K1011" s="52">
        <v>801116</v>
      </c>
      <c r="L1011" s="52" t="s">
        <v>945</v>
      </c>
      <c r="M1011" s="128" t="s">
        <v>493</v>
      </c>
      <c r="N1011" s="128" t="s">
        <v>494</v>
      </c>
      <c r="O1011" s="53" t="s">
        <v>946</v>
      </c>
      <c r="P1011" s="128" t="s">
        <v>1035</v>
      </c>
      <c r="Q1011" s="126">
        <v>3553500</v>
      </c>
      <c r="R1011" s="129">
        <v>1</v>
      </c>
      <c r="S1011" s="126">
        <f t="shared" si="93"/>
        <v>31981500</v>
      </c>
      <c r="T1011" s="112" t="s">
        <v>948</v>
      </c>
      <c r="U1011" s="112" t="s">
        <v>949</v>
      </c>
      <c r="V1011" s="132" t="s">
        <v>516</v>
      </c>
      <c r="W1011" s="112">
        <v>9</v>
      </c>
      <c r="X1011" s="133" t="s">
        <v>1036</v>
      </c>
      <c r="Y1011" s="125">
        <v>43104</v>
      </c>
      <c r="Z1011" s="127">
        <f t="shared" si="94"/>
        <v>31981500</v>
      </c>
      <c r="AA1011" s="133"/>
      <c r="AB1011" s="133">
        <v>240</v>
      </c>
      <c r="AC1011" s="134">
        <v>43105</v>
      </c>
      <c r="AD1011" s="126">
        <v>31981500</v>
      </c>
      <c r="AE1011" s="137">
        <f t="shared" ref="AE1011:AE1074" si="100">AD1011-AL1011</f>
        <v>0</v>
      </c>
      <c r="AF1011" s="139">
        <v>301</v>
      </c>
      <c r="AG1011" s="134">
        <v>43122</v>
      </c>
      <c r="AH1011" s="135">
        <f t="shared" ref="AH1011:AH1061" si="101">AD1011</f>
        <v>31981500</v>
      </c>
      <c r="AI1011" s="136" t="s">
        <v>1037</v>
      </c>
      <c r="AJ1011" s="133">
        <v>266</v>
      </c>
      <c r="AK1011" s="97"/>
      <c r="AL1011" s="135">
        <f t="shared" ref="AL1011:AL1021" si="102">AH1011</f>
        <v>31981500</v>
      </c>
      <c r="AM1011" s="135">
        <v>18715100</v>
      </c>
      <c r="AN1011" s="135">
        <f t="shared" ref="AN1011:AN1068" si="103">AL1011-AM1011</f>
        <v>13266400</v>
      </c>
      <c r="AO1011" s="136" t="s">
        <v>952</v>
      </c>
      <c r="AP1011" s="97"/>
      <c r="AQ1011" s="97"/>
      <c r="AR1011" s="97"/>
      <c r="AS1011" s="97"/>
      <c r="AT1011" s="97"/>
      <c r="AU1011" s="97"/>
    </row>
    <row r="1012" spans="1:47" ht="409.5" x14ac:dyDescent="0.2">
      <c r="A1012" s="128">
        <v>23</v>
      </c>
      <c r="B1012" s="128" t="s">
        <v>1038</v>
      </c>
      <c r="C1012" s="65" t="s">
        <v>941</v>
      </c>
      <c r="D1012" s="1" t="s">
        <v>942</v>
      </c>
      <c r="E1012" s="128" t="s">
        <v>943</v>
      </c>
      <c r="F1012" s="1" t="s">
        <v>511</v>
      </c>
      <c r="G1012" s="1" t="s">
        <v>512</v>
      </c>
      <c r="H1012" s="66" t="s">
        <v>944</v>
      </c>
      <c r="I1012" s="1" t="s">
        <v>54</v>
      </c>
      <c r="J1012" s="1" t="s">
        <v>55</v>
      </c>
      <c r="K1012" s="52">
        <v>801116</v>
      </c>
      <c r="L1012" s="52" t="s">
        <v>945</v>
      </c>
      <c r="M1012" s="128" t="s">
        <v>493</v>
      </c>
      <c r="N1012" s="128" t="s">
        <v>494</v>
      </c>
      <c r="O1012" s="53" t="s">
        <v>946</v>
      </c>
      <c r="P1012" s="128" t="s">
        <v>1039</v>
      </c>
      <c r="Q1012" s="126">
        <v>8240000</v>
      </c>
      <c r="R1012" s="129">
        <v>1</v>
      </c>
      <c r="S1012" s="130">
        <f t="shared" si="93"/>
        <v>94760000</v>
      </c>
      <c r="T1012" s="112" t="s">
        <v>948</v>
      </c>
      <c r="U1012" s="112" t="s">
        <v>949</v>
      </c>
      <c r="V1012" s="132" t="s">
        <v>516</v>
      </c>
      <c r="W1012" s="112">
        <v>11.5</v>
      </c>
      <c r="X1012" s="133" t="s">
        <v>1040</v>
      </c>
      <c r="Y1012" s="125">
        <v>43104</v>
      </c>
      <c r="Z1012" s="127">
        <f t="shared" si="94"/>
        <v>94760000</v>
      </c>
      <c r="AA1012" s="133"/>
      <c r="AB1012" s="133">
        <v>241</v>
      </c>
      <c r="AC1012" s="134">
        <v>43105</v>
      </c>
      <c r="AD1012" s="126">
        <v>94760000</v>
      </c>
      <c r="AE1012" s="137">
        <f t="shared" si="100"/>
        <v>0</v>
      </c>
      <c r="AF1012" s="139">
        <v>136</v>
      </c>
      <c r="AG1012" s="134">
        <v>43117</v>
      </c>
      <c r="AH1012" s="135">
        <f t="shared" si="101"/>
        <v>94760000</v>
      </c>
      <c r="AI1012" s="136" t="s">
        <v>1041</v>
      </c>
      <c r="AJ1012" s="133">
        <v>114</v>
      </c>
      <c r="AK1012" s="97"/>
      <c r="AL1012" s="135">
        <f t="shared" si="102"/>
        <v>94760000</v>
      </c>
      <c r="AM1012" s="135">
        <v>44770666</v>
      </c>
      <c r="AN1012" s="135">
        <f t="shared" si="103"/>
        <v>49989334</v>
      </c>
      <c r="AO1012" s="136" t="s">
        <v>952</v>
      </c>
      <c r="AP1012" s="97"/>
      <c r="AQ1012" s="97"/>
      <c r="AR1012" s="97"/>
      <c r="AS1012" s="97"/>
      <c r="AT1012" s="97"/>
      <c r="AU1012" s="97"/>
    </row>
    <row r="1013" spans="1:47" ht="409.5" x14ac:dyDescent="0.2">
      <c r="A1013" s="128">
        <v>24</v>
      </c>
      <c r="B1013" s="128" t="s">
        <v>1042</v>
      </c>
      <c r="C1013" s="65" t="s">
        <v>941</v>
      </c>
      <c r="D1013" s="1" t="s">
        <v>942</v>
      </c>
      <c r="E1013" s="128" t="s">
        <v>971</v>
      </c>
      <c r="F1013" s="1" t="s">
        <v>511</v>
      </c>
      <c r="G1013" s="1" t="s">
        <v>512</v>
      </c>
      <c r="H1013" s="66" t="s">
        <v>944</v>
      </c>
      <c r="I1013" s="1" t="s">
        <v>54</v>
      </c>
      <c r="J1013" s="1" t="s">
        <v>55</v>
      </c>
      <c r="K1013" s="52">
        <v>801116</v>
      </c>
      <c r="L1013" s="52" t="s">
        <v>945</v>
      </c>
      <c r="M1013" s="128" t="s">
        <v>493</v>
      </c>
      <c r="N1013" s="128" t="s">
        <v>494</v>
      </c>
      <c r="O1013" s="53" t="s">
        <v>946</v>
      </c>
      <c r="P1013" s="128" t="s">
        <v>1043</v>
      </c>
      <c r="Q1013" s="126">
        <v>7210000</v>
      </c>
      <c r="R1013" s="129">
        <v>1</v>
      </c>
      <c r="S1013" s="126">
        <f t="shared" si="93"/>
        <v>82915000</v>
      </c>
      <c r="T1013" s="112" t="s">
        <v>948</v>
      </c>
      <c r="U1013" s="112" t="s">
        <v>949</v>
      </c>
      <c r="V1013" s="132" t="s">
        <v>516</v>
      </c>
      <c r="W1013" s="112">
        <v>11.5</v>
      </c>
      <c r="X1013" s="133" t="s">
        <v>1044</v>
      </c>
      <c r="Y1013" s="125">
        <v>43104</v>
      </c>
      <c r="Z1013" s="127">
        <f t="shared" si="94"/>
        <v>82915000</v>
      </c>
      <c r="AA1013" s="133"/>
      <c r="AB1013" s="133">
        <v>242</v>
      </c>
      <c r="AC1013" s="134">
        <v>43105</v>
      </c>
      <c r="AD1013" s="126">
        <v>82915000</v>
      </c>
      <c r="AE1013" s="137">
        <f t="shared" si="100"/>
        <v>0</v>
      </c>
      <c r="AF1013" s="139">
        <v>138</v>
      </c>
      <c r="AG1013" s="134">
        <v>43117</v>
      </c>
      <c r="AH1013" s="135">
        <f t="shared" si="101"/>
        <v>82915000</v>
      </c>
      <c r="AI1013" s="136" t="s">
        <v>1045</v>
      </c>
      <c r="AJ1013" s="133">
        <v>115</v>
      </c>
      <c r="AK1013" s="97"/>
      <c r="AL1013" s="135">
        <f t="shared" si="102"/>
        <v>82915000</v>
      </c>
      <c r="AM1013" s="135">
        <v>39174333</v>
      </c>
      <c r="AN1013" s="135">
        <f t="shared" si="103"/>
        <v>43740667</v>
      </c>
      <c r="AO1013" s="136" t="s">
        <v>952</v>
      </c>
      <c r="AP1013" s="97"/>
      <c r="AQ1013" s="97"/>
      <c r="AR1013" s="97"/>
      <c r="AS1013" s="97"/>
      <c r="AT1013" s="97"/>
      <c r="AU1013" s="97"/>
    </row>
    <row r="1014" spans="1:47" ht="369.75" x14ac:dyDescent="0.2">
      <c r="A1014" s="128">
        <v>25</v>
      </c>
      <c r="B1014" s="128" t="s">
        <v>1046</v>
      </c>
      <c r="C1014" s="65" t="s">
        <v>941</v>
      </c>
      <c r="D1014" s="1" t="s">
        <v>942</v>
      </c>
      <c r="E1014" s="128" t="s">
        <v>971</v>
      </c>
      <c r="F1014" s="1" t="s">
        <v>511</v>
      </c>
      <c r="G1014" s="1" t="s">
        <v>512</v>
      </c>
      <c r="H1014" s="66" t="s">
        <v>944</v>
      </c>
      <c r="I1014" s="1" t="s">
        <v>54</v>
      </c>
      <c r="J1014" s="1" t="s">
        <v>55</v>
      </c>
      <c r="K1014" s="52">
        <v>801116</v>
      </c>
      <c r="L1014" s="52" t="s">
        <v>945</v>
      </c>
      <c r="M1014" s="128" t="s">
        <v>493</v>
      </c>
      <c r="N1014" s="128" t="s">
        <v>494</v>
      </c>
      <c r="O1014" s="53" t="s">
        <v>946</v>
      </c>
      <c r="P1014" s="128" t="s">
        <v>1047</v>
      </c>
      <c r="Q1014" s="126">
        <v>3326900</v>
      </c>
      <c r="R1014" s="129">
        <v>1</v>
      </c>
      <c r="S1014" s="126">
        <f t="shared" si="93"/>
        <v>38259350</v>
      </c>
      <c r="T1014" s="112" t="s">
        <v>948</v>
      </c>
      <c r="U1014" s="112" t="s">
        <v>949</v>
      </c>
      <c r="V1014" s="132" t="s">
        <v>516</v>
      </c>
      <c r="W1014" s="112">
        <v>11.5</v>
      </c>
      <c r="X1014" s="133" t="s">
        <v>1048</v>
      </c>
      <c r="Y1014" s="125">
        <v>43104</v>
      </c>
      <c r="Z1014" s="127">
        <f t="shared" si="94"/>
        <v>38259350</v>
      </c>
      <c r="AA1014" s="133"/>
      <c r="AB1014" s="133">
        <v>244</v>
      </c>
      <c r="AC1014" s="134">
        <v>43105</v>
      </c>
      <c r="AD1014" s="126">
        <v>38259350</v>
      </c>
      <c r="AE1014" s="137">
        <f t="shared" si="100"/>
        <v>0</v>
      </c>
      <c r="AF1014" s="139">
        <v>84</v>
      </c>
      <c r="AG1014" s="134">
        <v>43116</v>
      </c>
      <c r="AH1014" s="135">
        <f t="shared" si="101"/>
        <v>38259350</v>
      </c>
      <c r="AI1014" s="136" t="s">
        <v>1049</v>
      </c>
      <c r="AJ1014" s="133">
        <v>82</v>
      </c>
      <c r="AK1014" s="97"/>
      <c r="AL1014" s="135">
        <f t="shared" si="102"/>
        <v>38259350</v>
      </c>
      <c r="AM1014" s="135">
        <v>18187054</v>
      </c>
      <c r="AN1014" s="135">
        <f t="shared" si="103"/>
        <v>20072296</v>
      </c>
      <c r="AO1014" s="136" t="s">
        <v>952</v>
      </c>
      <c r="AP1014" s="97"/>
      <c r="AQ1014" s="97"/>
      <c r="AR1014" s="97"/>
      <c r="AS1014" s="97"/>
      <c r="AT1014" s="97"/>
      <c r="AU1014" s="97"/>
    </row>
    <row r="1015" spans="1:47" ht="280.5" x14ac:dyDescent="0.2">
      <c r="A1015" s="128">
        <v>26</v>
      </c>
      <c r="B1015" s="128" t="s">
        <v>1050</v>
      </c>
      <c r="C1015" s="65" t="s">
        <v>941</v>
      </c>
      <c r="D1015" s="1" t="s">
        <v>942</v>
      </c>
      <c r="E1015" s="128" t="s">
        <v>971</v>
      </c>
      <c r="F1015" s="1" t="s">
        <v>511</v>
      </c>
      <c r="G1015" s="1" t="s">
        <v>512</v>
      </c>
      <c r="H1015" s="66" t="s">
        <v>944</v>
      </c>
      <c r="I1015" s="1" t="s">
        <v>54</v>
      </c>
      <c r="J1015" s="1" t="s">
        <v>55</v>
      </c>
      <c r="K1015" s="52">
        <v>801116</v>
      </c>
      <c r="L1015" s="52" t="s">
        <v>945</v>
      </c>
      <c r="M1015" s="128" t="s">
        <v>493</v>
      </c>
      <c r="N1015" s="128" t="s">
        <v>494</v>
      </c>
      <c r="O1015" s="53" t="s">
        <v>946</v>
      </c>
      <c r="P1015" s="128" t="s">
        <v>992</v>
      </c>
      <c r="Q1015" s="126">
        <v>3553500</v>
      </c>
      <c r="R1015" s="129">
        <v>1</v>
      </c>
      <c r="S1015" s="126">
        <f t="shared" si="93"/>
        <v>40865250</v>
      </c>
      <c r="T1015" s="112" t="s">
        <v>1051</v>
      </c>
      <c r="U1015" s="112" t="s">
        <v>949</v>
      </c>
      <c r="V1015" s="132" t="s">
        <v>516</v>
      </c>
      <c r="W1015" s="112">
        <v>11.5</v>
      </c>
      <c r="X1015" s="133" t="s">
        <v>1052</v>
      </c>
      <c r="Y1015" s="125">
        <v>43104</v>
      </c>
      <c r="Z1015" s="127">
        <f t="shared" si="94"/>
        <v>40865250</v>
      </c>
      <c r="AA1015" s="133"/>
      <c r="AB1015" s="133">
        <v>245</v>
      </c>
      <c r="AC1015" s="134">
        <v>43105</v>
      </c>
      <c r="AD1015" s="126">
        <v>40865250</v>
      </c>
      <c r="AE1015" s="137">
        <f t="shared" si="100"/>
        <v>0</v>
      </c>
      <c r="AF1015" s="139">
        <v>234</v>
      </c>
      <c r="AG1015" s="134">
        <v>43119</v>
      </c>
      <c r="AH1015" s="135">
        <f t="shared" si="101"/>
        <v>40865250</v>
      </c>
      <c r="AI1015" s="136" t="s">
        <v>1053</v>
      </c>
      <c r="AJ1015" s="133">
        <v>210</v>
      </c>
      <c r="AK1015" s="97"/>
      <c r="AL1015" s="135">
        <f t="shared" si="102"/>
        <v>40865250</v>
      </c>
      <c r="AM1015" s="135">
        <v>19188900</v>
      </c>
      <c r="AN1015" s="135">
        <f t="shared" si="103"/>
        <v>21676350</v>
      </c>
      <c r="AO1015" s="136" t="s">
        <v>952</v>
      </c>
      <c r="AP1015" s="97"/>
      <c r="AQ1015" s="97"/>
      <c r="AR1015" s="97"/>
      <c r="AS1015" s="97"/>
      <c r="AT1015" s="97"/>
      <c r="AU1015" s="97"/>
    </row>
    <row r="1016" spans="1:47" ht="267.75" x14ac:dyDescent="0.2">
      <c r="A1016" s="128">
        <v>27</v>
      </c>
      <c r="B1016" s="128" t="s">
        <v>1054</v>
      </c>
      <c r="C1016" s="65" t="s">
        <v>941</v>
      </c>
      <c r="D1016" s="1" t="s">
        <v>942</v>
      </c>
      <c r="E1016" s="128" t="s">
        <v>943</v>
      </c>
      <c r="F1016" s="1" t="s">
        <v>511</v>
      </c>
      <c r="G1016" s="1" t="s">
        <v>512</v>
      </c>
      <c r="H1016" s="66" t="s">
        <v>944</v>
      </c>
      <c r="I1016" s="1" t="s">
        <v>54</v>
      </c>
      <c r="J1016" s="1" t="s">
        <v>55</v>
      </c>
      <c r="K1016" s="52">
        <v>801116</v>
      </c>
      <c r="L1016" s="52" t="s">
        <v>945</v>
      </c>
      <c r="M1016" s="128" t="s">
        <v>493</v>
      </c>
      <c r="N1016" s="128" t="s">
        <v>494</v>
      </c>
      <c r="O1016" s="53" t="s">
        <v>946</v>
      </c>
      <c r="P1016" s="128" t="s">
        <v>1055</v>
      </c>
      <c r="Q1016" s="126">
        <v>7210000</v>
      </c>
      <c r="R1016" s="129">
        <v>1</v>
      </c>
      <c r="S1016" s="130">
        <f t="shared" si="93"/>
        <v>82915000</v>
      </c>
      <c r="T1016" s="112" t="s">
        <v>1051</v>
      </c>
      <c r="U1016" s="112" t="s">
        <v>949</v>
      </c>
      <c r="V1016" s="132" t="s">
        <v>516</v>
      </c>
      <c r="W1016" s="112">
        <v>11.5</v>
      </c>
      <c r="X1016" s="133" t="s">
        <v>1056</v>
      </c>
      <c r="Y1016" s="125">
        <v>43104</v>
      </c>
      <c r="Z1016" s="127">
        <f t="shared" si="94"/>
        <v>82915000</v>
      </c>
      <c r="AA1016" s="133"/>
      <c r="AB1016" s="133">
        <v>246</v>
      </c>
      <c r="AC1016" s="134">
        <v>43105</v>
      </c>
      <c r="AD1016" s="126">
        <v>82915000</v>
      </c>
      <c r="AE1016" s="137">
        <f t="shared" si="100"/>
        <v>0</v>
      </c>
      <c r="AF1016" s="139">
        <v>297</v>
      </c>
      <c r="AG1016" s="134">
        <v>43122</v>
      </c>
      <c r="AH1016" s="135">
        <f t="shared" si="101"/>
        <v>82915000</v>
      </c>
      <c r="AI1016" s="136" t="s">
        <v>1057</v>
      </c>
      <c r="AJ1016" s="133">
        <v>270</v>
      </c>
      <c r="AK1016" s="97"/>
      <c r="AL1016" s="135">
        <f t="shared" si="102"/>
        <v>82915000</v>
      </c>
      <c r="AM1016" s="135">
        <v>37972667</v>
      </c>
      <c r="AN1016" s="135">
        <f t="shared" si="103"/>
        <v>44942333</v>
      </c>
      <c r="AO1016" s="136" t="s">
        <v>952</v>
      </c>
      <c r="AP1016" s="97"/>
      <c r="AQ1016" s="97"/>
      <c r="AR1016" s="97"/>
      <c r="AS1016" s="97"/>
      <c r="AT1016" s="97"/>
      <c r="AU1016" s="97"/>
    </row>
    <row r="1017" spans="1:47" ht="409.5" x14ac:dyDescent="0.2">
      <c r="A1017" s="128">
        <v>28</v>
      </c>
      <c r="B1017" s="128" t="s">
        <v>1058</v>
      </c>
      <c r="C1017" s="65" t="s">
        <v>941</v>
      </c>
      <c r="D1017" s="1" t="s">
        <v>942</v>
      </c>
      <c r="E1017" s="128" t="s">
        <v>971</v>
      </c>
      <c r="F1017" s="1" t="s">
        <v>511</v>
      </c>
      <c r="G1017" s="1" t="s">
        <v>512</v>
      </c>
      <c r="H1017" s="66" t="s">
        <v>944</v>
      </c>
      <c r="I1017" s="1" t="s">
        <v>54</v>
      </c>
      <c r="J1017" s="1" t="s">
        <v>55</v>
      </c>
      <c r="K1017" s="52">
        <v>801116</v>
      </c>
      <c r="L1017" s="52" t="s">
        <v>945</v>
      </c>
      <c r="M1017" s="128" t="s">
        <v>493</v>
      </c>
      <c r="N1017" s="128" t="s">
        <v>494</v>
      </c>
      <c r="O1017" s="53" t="s">
        <v>946</v>
      </c>
      <c r="P1017" s="128" t="s">
        <v>1024</v>
      </c>
      <c r="Q1017" s="126">
        <v>5253000</v>
      </c>
      <c r="R1017" s="129">
        <v>1</v>
      </c>
      <c r="S1017" s="126">
        <f t="shared" si="93"/>
        <v>60409500</v>
      </c>
      <c r="T1017" s="112" t="s">
        <v>1051</v>
      </c>
      <c r="U1017" s="112" t="s">
        <v>949</v>
      </c>
      <c r="V1017" s="132" t="s">
        <v>516</v>
      </c>
      <c r="W1017" s="112">
        <v>11.5</v>
      </c>
      <c r="X1017" s="133" t="s">
        <v>1059</v>
      </c>
      <c r="Y1017" s="125">
        <v>43104</v>
      </c>
      <c r="Z1017" s="127">
        <f t="shared" si="94"/>
        <v>60409500</v>
      </c>
      <c r="AA1017" s="133"/>
      <c r="AB1017" s="133">
        <v>247</v>
      </c>
      <c r="AC1017" s="134">
        <v>43105</v>
      </c>
      <c r="AD1017" s="126">
        <v>60409500</v>
      </c>
      <c r="AE1017" s="137">
        <f t="shared" si="100"/>
        <v>0</v>
      </c>
      <c r="AF1017" s="139">
        <v>253</v>
      </c>
      <c r="AG1017" s="134">
        <v>43119</v>
      </c>
      <c r="AH1017" s="135">
        <f t="shared" si="101"/>
        <v>60409500</v>
      </c>
      <c r="AI1017" s="136" t="s">
        <v>1060</v>
      </c>
      <c r="AJ1017" s="133">
        <v>202</v>
      </c>
      <c r="AK1017" s="97"/>
      <c r="AL1017" s="135">
        <f t="shared" si="102"/>
        <v>60409500</v>
      </c>
      <c r="AM1017" s="135">
        <v>28366200</v>
      </c>
      <c r="AN1017" s="135">
        <f t="shared" si="103"/>
        <v>32043300</v>
      </c>
      <c r="AO1017" s="136" t="s">
        <v>952</v>
      </c>
      <c r="AP1017" s="97"/>
      <c r="AQ1017" s="97"/>
      <c r="AR1017" s="97"/>
      <c r="AS1017" s="97"/>
      <c r="AT1017" s="97"/>
      <c r="AU1017" s="97"/>
    </row>
    <row r="1018" spans="1:47" ht="395.25" x14ac:dyDescent="0.2">
      <c r="A1018" s="128">
        <v>29</v>
      </c>
      <c r="B1018" s="128" t="s">
        <v>1061</v>
      </c>
      <c r="C1018" s="65" t="s">
        <v>941</v>
      </c>
      <c r="D1018" s="1" t="s">
        <v>942</v>
      </c>
      <c r="E1018" s="128" t="s">
        <v>971</v>
      </c>
      <c r="F1018" s="1" t="s">
        <v>511</v>
      </c>
      <c r="G1018" s="1" t="s">
        <v>512</v>
      </c>
      <c r="H1018" s="66" t="s">
        <v>944</v>
      </c>
      <c r="I1018" s="1" t="s">
        <v>54</v>
      </c>
      <c r="J1018" s="1" t="s">
        <v>55</v>
      </c>
      <c r="K1018" s="52">
        <v>801116</v>
      </c>
      <c r="L1018" s="52" t="s">
        <v>945</v>
      </c>
      <c r="M1018" s="128" t="s">
        <v>493</v>
      </c>
      <c r="N1018" s="128" t="s">
        <v>494</v>
      </c>
      <c r="O1018" s="53" t="s">
        <v>946</v>
      </c>
      <c r="P1018" s="128" t="s">
        <v>1062</v>
      </c>
      <c r="Q1018" s="126">
        <v>8240000</v>
      </c>
      <c r="R1018" s="129">
        <v>1</v>
      </c>
      <c r="S1018" s="126">
        <f t="shared" si="93"/>
        <v>94760000</v>
      </c>
      <c r="T1018" s="112" t="s">
        <v>1051</v>
      </c>
      <c r="U1018" s="112" t="s">
        <v>949</v>
      </c>
      <c r="V1018" s="132" t="s">
        <v>516</v>
      </c>
      <c r="W1018" s="112">
        <v>11.5</v>
      </c>
      <c r="X1018" s="133" t="s">
        <v>1063</v>
      </c>
      <c r="Y1018" s="125">
        <v>43104</v>
      </c>
      <c r="Z1018" s="127">
        <f t="shared" si="94"/>
        <v>94760000</v>
      </c>
      <c r="AA1018" s="133"/>
      <c r="AB1018" s="133">
        <v>248</v>
      </c>
      <c r="AC1018" s="134">
        <v>43105</v>
      </c>
      <c r="AD1018" s="126">
        <v>94760000</v>
      </c>
      <c r="AE1018" s="137">
        <f t="shared" si="100"/>
        <v>0</v>
      </c>
      <c r="AF1018" s="139">
        <v>207</v>
      </c>
      <c r="AG1018" s="134">
        <v>43118</v>
      </c>
      <c r="AH1018" s="135">
        <f t="shared" si="101"/>
        <v>94760000</v>
      </c>
      <c r="AI1018" s="136" t="s">
        <v>1064</v>
      </c>
      <c r="AJ1018" s="133">
        <v>172</v>
      </c>
      <c r="AK1018" s="97"/>
      <c r="AL1018" s="135">
        <f t="shared" si="102"/>
        <v>94760000</v>
      </c>
      <c r="AM1018" s="135">
        <v>44469000</v>
      </c>
      <c r="AN1018" s="135">
        <f t="shared" si="103"/>
        <v>50291000</v>
      </c>
      <c r="AO1018" s="136" t="s">
        <v>952</v>
      </c>
      <c r="AP1018" s="97"/>
      <c r="AQ1018" s="97"/>
      <c r="AR1018" s="97"/>
      <c r="AS1018" s="97"/>
      <c r="AT1018" s="97"/>
      <c r="AU1018" s="97"/>
    </row>
    <row r="1019" spans="1:47" ht="318.75" x14ac:dyDescent="0.2">
      <c r="A1019" s="128">
        <v>30</v>
      </c>
      <c r="B1019" s="128" t="s">
        <v>1065</v>
      </c>
      <c r="C1019" s="65" t="s">
        <v>941</v>
      </c>
      <c r="D1019" s="1" t="s">
        <v>942</v>
      </c>
      <c r="E1019" s="128" t="s">
        <v>943</v>
      </c>
      <c r="F1019" s="1" t="s">
        <v>511</v>
      </c>
      <c r="G1019" s="1" t="s">
        <v>512</v>
      </c>
      <c r="H1019" s="66" t="s">
        <v>944</v>
      </c>
      <c r="I1019" s="1" t="s">
        <v>54</v>
      </c>
      <c r="J1019" s="1" t="s">
        <v>55</v>
      </c>
      <c r="K1019" s="52">
        <v>801116</v>
      </c>
      <c r="L1019" s="52" t="s">
        <v>945</v>
      </c>
      <c r="M1019" s="128" t="s">
        <v>493</v>
      </c>
      <c r="N1019" s="128" t="s">
        <v>494</v>
      </c>
      <c r="O1019" s="53" t="s">
        <v>946</v>
      </c>
      <c r="P1019" s="128" t="s">
        <v>1066</v>
      </c>
      <c r="Q1019" s="126">
        <v>7210000</v>
      </c>
      <c r="R1019" s="129">
        <v>1</v>
      </c>
      <c r="S1019" s="130">
        <f t="shared" si="93"/>
        <v>82915000</v>
      </c>
      <c r="T1019" s="112" t="s">
        <v>1051</v>
      </c>
      <c r="U1019" s="112" t="s">
        <v>949</v>
      </c>
      <c r="V1019" s="132" t="s">
        <v>516</v>
      </c>
      <c r="W1019" s="112">
        <v>11.5</v>
      </c>
      <c r="X1019" s="133" t="s">
        <v>1067</v>
      </c>
      <c r="Y1019" s="125">
        <v>43104</v>
      </c>
      <c r="Z1019" s="127">
        <f t="shared" si="94"/>
        <v>82915000</v>
      </c>
      <c r="AA1019" s="133"/>
      <c r="AB1019" s="133">
        <v>249</v>
      </c>
      <c r="AC1019" s="134">
        <v>43105</v>
      </c>
      <c r="AD1019" s="126">
        <v>82915000</v>
      </c>
      <c r="AE1019" s="137">
        <f t="shared" si="100"/>
        <v>0</v>
      </c>
      <c r="AF1019" s="139">
        <v>246</v>
      </c>
      <c r="AG1019" s="134">
        <v>43119</v>
      </c>
      <c r="AH1019" s="135">
        <f t="shared" si="101"/>
        <v>82915000</v>
      </c>
      <c r="AI1019" s="136" t="s">
        <v>1068</v>
      </c>
      <c r="AJ1019" s="133">
        <v>215</v>
      </c>
      <c r="AK1019" s="97"/>
      <c r="AL1019" s="135">
        <f t="shared" si="102"/>
        <v>82915000</v>
      </c>
      <c r="AM1019" s="135">
        <v>38934000</v>
      </c>
      <c r="AN1019" s="135">
        <f t="shared" si="103"/>
        <v>43981000</v>
      </c>
      <c r="AO1019" s="136" t="s">
        <v>952</v>
      </c>
      <c r="AP1019" s="97"/>
      <c r="AQ1019" s="97"/>
      <c r="AR1019" s="97"/>
      <c r="AS1019" s="97"/>
      <c r="AT1019" s="97"/>
      <c r="AU1019" s="97"/>
    </row>
    <row r="1020" spans="1:47" ht="344.25" x14ac:dyDescent="0.2">
      <c r="A1020" s="128">
        <v>31</v>
      </c>
      <c r="B1020" s="128" t="s">
        <v>1069</v>
      </c>
      <c r="C1020" s="65" t="s">
        <v>941</v>
      </c>
      <c r="D1020" s="1" t="s">
        <v>942</v>
      </c>
      <c r="E1020" s="128" t="s">
        <v>971</v>
      </c>
      <c r="F1020" s="1" t="s">
        <v>511</v>
      </c>
      <c r="G1020" s="1" t="s">
        <v>512</v>
      </c>
      <c r="H1020" s="66" t="s">
        <v>944</v>
      </c>
      <c r="I1020" s="1" t="s">
        <v>54</v>
      </c>
      <c r="J1020" s="1" t="s">
        <v>55</v>
      </c>
      <c r="K1020" s="52">
        <v>801116</v>
      </c>
      <c r="L1020" s="52" t="s">
        <v>945</v>
      </c>
      <c r="M1020" s="128" t="s">
        <v>493</v>
      </c>
      <c r="N1020" s="128" t="s">
        <v>494</v>
      </c>
      <c r="O1020" s="53" t="s">
        <v>946</v>
      </c>
      <c r="P1020" s="128" t="s">
        <v>1070</v>
      </c>
      <c r="Q1020" s="126">
        <v>5665000</v>
      </c>
      <c r="R1020" s="129">
        <v>1</v>
      </c>
      <c r="S1020" s="126">
        <f t="shared" si="93"/>
        <v>65147500</v>
      </c>
      <c r="T1020" s="112" t="s">
        <v>1051</v>
      </c>
      <c r="U1020" s="112" t="s">
        <v>949</v>
      </c>
      <c r="V1020" s="132" t="s">
        <v>516</v>
      </c>
      <c r="W1020" s="112">
        <v>11.5</v>
      </c>
      <c r="X1020" s="133" t="s">
        <v>1071</v>
      </c>
      <c r="Y1020" s="125">
        <v>43104</v>
      </c>
      <c r="Z1020" s="127">
        <f t="shared" si="94"/>
        <v>65147500</v>
      </c>
      <c r="AA1020" s="133"/>
      <c r="AB1020" s="133">
        <v>250</v>
      </c>
      <c r="AC1020" s="134">
        <v>43105</v>
      </c>
      <c r="AD1020" s="126">
        <v>65147500</v>
      </c>
      <c r="AE1020" s="137">
        <f t="shared" si="100"/>
        <v>0</v>
      </c>
      <c r="AF1020" s="139">
        <v>361</v>
      </c>
      <c r="AG1020" s="134">
        <v>43123</v>
      </c>
      <c r="AH1020" s="135">
        <f t="shared" si="101"/>
        <v>65147500</v>
      </c>
      <c r="AI1020" s="136" t="s">
        <v>1072</v>
      </c>
      <c r="AJ1020" s="133">
        <v>302</v>
      </c>
      <c r="AK1020" s="97"/>
      <c r="AL1020" s="135">
        <f t="shared" si="102"/>
        <v>65147500</v>
      </c>
      <c r="AM1020" s="135">
        <v>29458000</v>
      </c>
      <c r="AN1020" s="135">
        <f t="shared" si="103"/>
        <v>35689500</v>
      </c>
      <c r="AO1020" s="136" t="s">
        <v>952</v>
      </c>
      <c r="AP1020" s="97"/>
      <c r="AQ1020" s="97"/>
      <c r="AR1020" s="97"/>
      <c r="AS1020" s="97"/>
      <c r="AT1020" s="97"/>
      <c r="AU1020" s="97"/>
    </row>
    <row r="1021" spans="1:47" ht="409.5" x14ac:dyDescent="0.2">
      <c r="A1021" s="128">
        <v>32</v>
      </c>
      <c r="B1021" s="128" t="s">
        <v>1073</v>
      </c>
      <c r="C1021" s="65" t="s">
        <v>941</v>
      </c>
      <c r="D1021" s="1" t="s">
        <v>942</v>
      </c>
      <c r="E1021" s="128" t="s">
        <v>971</v>
      </c>
      <c r="F1021" s="1" t="s">
        <v>511</v>
      </c>
      <c r="G1021" s="1" t="s">
        <v>512</v>
      </c>
      <c r="H1021" s="66" t="s">
        <v>944</v>
      </c>
      <c r="I1021" s="1" t="s">
        <v>54</v>
      </c>
      <c r="J1021" s="1" t="s">
        <v>55</v>
      </c>
      <c r="K1021" s="52">
        <v>801116</v>
      </c>
      <c r="L1021" s="52" t="s">
        <v>945</v>
      </c>
      <c r="M1021" s="128" t="s">
        <v>493</v>
      </c>
      <c r="N1021" s="128" t="s">
        <v>494</v>
      </c>
      <c r="O1021" s="53" t="s">
        <v>946</v>
      </c>
      <c r="P1021" s="128" t="s">
        <v>976</v>
      </c>
      <c r="Q1021" s="126">
        <v>5665000</v>
      </c>
      <c r="R1021" s="129">
        <v>1</v>
      </c>
      <c r="S1021" s="126">
        <f t="shared" si="93"/>
        <v>65147500</v>
      </c>
      <c r="T1021" s="112" t="s">
        <v>1051</v>
      </c>
      <c r="U1021" s="112" t="s">
        <v>949</v>
      </c>
      <c r="V1021" s="132" t="s">
        <v>516</v>
      </c>
      <c r="W1021" s="112">
        <v>11.5</v>
      </c>
      <c r="X1021" s="133" t="s">
        <v>1074</v>
      </c>
      <c r="Y1021" s="125">
        <v>43104</v>
      </c>
      <c r="Z1021" s="127">
        <f t="shared" si="94"/>
        <v>65147500</v>
      </c>
      <c r="AA1021" s="133"/>
      <c r="AB1021" s="133">
        <v>251</v>
      </c>
      <c r="AC1021" s="134">
        <v>43105</v>
      </c>
      <c r="AD1021" s="126">
        <v>65147500</v>
      </c>
      <c r="AE1021" s="137">
        <f t="shared" si="100"/>
        <v>0</v>
      </c>
      <c r="AF1021" s="139">
        <v>215</v>
      </c>
      <c r="AG1021" s="134">
        <v>43118</v>
      </c>
      <c r="AH1021" s="135">
        <f t="shared" si="101"/>
        <v>65147500</v>
      </c>
      <c r="AI1021" s="136" t="s">
        <v>1075</v>
      </c>
      <c r="AJ1021" s="133">
        <v>176</v>
      </c>
      <c r="AK1021" s="97"/>
      <c r="AL1021" s="135">
        <f t="shared" si="102"/>
        <v>65147500</v>
      </c>
      <c r="AM1021" s="135">
        <v>30591000</v>
      </c>
      <c r="AN1021" s="135">
        <f t="shared" si="103"/>
        <v>34556500</v>
      </c>
      <c r="AO1021" s="136" t="s">
        <v>952</v>
      </c>
      <c r="AP1021" s="97"/>
      <c r="AQ1021" s="97"/>
      <c r="AR1021" s="97"/>
      <c r="AS1021" s="97"/>
      <c r="AT1021" s="97"/>
      <c r="AU1021" s="97"/>
    </row>
    <row r="1022" spans="1:47" ht="409.5" x14ac:dyDescent="0.2">
      <c r="A1022" s="128">
        <v>33</v>
      </c>
      <c r="B1022" s="128" t="s">
        <v>1076</v>
      </c>
      <c r="C1022" s="65" t="s">
        <v>941</v>
      </c>
      <c r="D1022" s="1" t="s">
        <v>942</v>
      </c>
      <c r="E1022" s="128" t="s">
        <v>971</v>
      </c>
      <c r="F1022" s="1" t="s">
        <v>511</v>
      </c>
      <c r="G1022" s="1" t="s">
        <v>512</v>
      </c>
      <c r="H1022" s="66" t="s">
        <v>944</v>
      </c>
      <c r="I1022" s="1" t="s">
        <v>54</v>
      </c>
      <c r="J1022" s="1" t="s">
        <v>55</v>
      </c>
      <c r="K1022" s="52">
        <v>801116</v>
      </c>
      <c r="L1022" s="52" t="s">
        <v>945</v>
      </c>
      <c r="M1022" s="128" t="s">
        <v>493</v>
      </c>
      <c r="N1022" s="128" t="s">
        <v>494</v>
      </c>
      <c r="O1022" s="53" t="s">
        <v>946</v>
      </c>
      <c r="P1022" s="128" t="s">
        <v>1077</v>
      </c>
      <c r="Q1022" s="126">
        <v>7210000</v>
      </c>
      <c r="R1022" s="129">
        <v>1</v>
      </c>
      <c r="S1022" s="126">
        <f t="shared" si="93"/>
        <v>82915000</v>
      </c>
      <c r="T1022" s="112" t="s">
        <v>1051</v>
      </c>
      <c r="U1022" s="112" t="s">
        <v>949</v>
      </c>
      <c r="V1022" s="132" t="s">
        <v>516</v>
      </c>
      <c r="W1022" s="112">
        <v>11.5</v>
      </c>
      <c r="X1022" s="133" t="s">
        <v>1078</v>
      </c>
      <c r="Y1022" s="125">
        <v>43104</v>
      </c>
      <c r="Z1022" s="127">
        <f t="shared" si="94"/>
        <v>82915000</v>
      </c>
      <c r="AA1022" s="133"/>
      <c r="AB1022" s="133">
        <v>252</v>
      </c>
      <c r="AC1022" s="134">
        <v>43105</v>
      </c>
      <c r="AD1022" s="126">
        <v>82915000</v>
      </c>
      <c r="AE1022" s="137">
        <f t="shared" si="100"/>
        <v>0</v>
      </c>
      <c r="AF1022" s="139">
        <v>264</v>
      </c>
      <c r="AG1022" s="134">
        <v>43119</v>
      </c>
      <c r="AH1022" s="135">
        <f t="shared" si="101"/>
        <v>82915000</v>
      </c>
      <c r="AI1022" s="136" t="s">
        <v>1079</v>
      </c>
      <c r="AJ1022" s="133">
        <v>230</v>
      </c>
      <c r="AK1022" s="97"/>
      <c r="AL1022" s="135">
        <f>AD1022</f>
        <v>82915000</v>
      </c>
      <c r="AM1022" s="135">
        <v>38213000</v>
      </c>
      <c r="AN1022" s="135">
        <f t="shared" si="103"/>
        <v>44702000</v>
      </c>
      <c r="AO1022" s="136" t="s">
        <v>952</v>
      </c>
      <c r="AP1022" s="97"/>
      <c r="AQ1022" s="97"/>
      <c r="AR1022" s="97"/>
      <c r="AS1022" s="97"/>
      <c r="AT1022" s="97"/>
      <c r="AU1022" s="97"/>
    </row>
    <row r="1023" spans="1:47" ht="369.75" x14ac:dyDescent="0.2">
      <c r="A1023" s="128">
        <v>34</v>
      </c>
      <c r="B1023" s="128" t="s">
        <v>1080</v>
      </c>
      <c r="C1023" s="65" t="s">
        <v>941</v>
      </c>
      <c r="D1023" s="1" t="s">
        <v>942</v>
      </c>
      <c r="E1023" s="128" t="s">
        <v>971</v>
      </c>
      <c r="F1023" s="1" t="s">
        <v>511</v>
      </c>
      <c r="G1023" s="1" t="s">
        <v>512</v>
      </c>
      <c r="H1023" s="66" t="s">
        <v>944</v>
      </c>
      <c r="I1023" s="1" t="s">
        <v>54</v>
      </c>
      <c r="J1023" s="1" t="s">
        <v>55</v>
      </c>
      <c r="K1023" s="52">
        <v>801116</v>
      </c>
      <c r="L1023" s="52" t="s">
        <v>945</v>
      </c>
      <c r="M1023" s="128" t="s">
        <v>493</v>
      </c>
      <c r="N1023" s="128" t="s">
        <v>494</v>
      </c>
      <c r="O1023" s="53" t="s">
        <v>946</v>
      </c>
      <c r="P1023" s="128" t="s">
        <v>1081</v>
      </c>
      <c r="Q1023" s="126">
        <v>8240000</v>
      </c>
      <c r="R1023" s="129">
        <v>1</v>
      </c>
      <c r="S1023" s="126">
        <f t="shared" si="93"/>
        <v>94760000</v>
      </c>
      <c r="T1023" s="112" t="s">
        <v>1051</v>
      </c>
      <c r="U1023" s="112" t="s">
        <v>949</v>
      </c>
      <c r="V1023" s="132" t="s">
        <v>516</v>
      </c>
      <c r="W1023" s="112">
        <v>11.5</v>
      </c>
      <c r="X1023" s="133" t="s">
        <v>1082</v>
      </c>
      <c r="Y1023" s="125">
        <v>43104</v>
      </c>
      <c r="Z1023" s="127">
        <f t="shared" si="94"/>
        <v>94760000</v>
      </c>
      <c r="AA1023" s="133"/>
      <c r="AB1023" s="133">
        <v>253</v>
      </c>
      <c r="AC1023" s="134">
        <v>43105</v>
      </c>
      <c r="AD1023" s="126">
        <v>94760000</v>
      </c>
      <c r="AE1023" s="137">
        <f t="shared" si="100"/>
        <v>0</v>
      </c>
      <c r="AF1023" s="139">
        <v>258</v>
      </c>
      <c r="AG1023" s="134">
        <v>43119</v>
      </c>
      <c r="AH1023" s="135">
        <f t="shared" si="101"/>
        <v>94760000</v>
      </c>
      <c r="AI1023" s="136" t="s">
        <v>1083</v>
      </c>
      <c r="AJ1023" s="133">
        <v>232</v>
      </c>
      <c r="AK1023" s="97"/>
      <c r="AL1023" s="135">
        <f t="shared" ref="AL1023:AL1078" si="104">AH1023</f>
        <v>94760000</v>
      </c>
      <c r="AM1023" s="135">
        <v>43672000</v>
      </c>
      <c r="AN1023" s="135">
        <f t="shared" si="103"/>
        <v>51088000</v>
      </c>
      <c r="AO1023" s="136" t="s">
        <v>952</v>
      </c>
      <c r="AP1023" s="97"/>
      <c r="AQ1023" s="97"/>
      <c r="AR1023" s="97"/>
      <c r="AS1023" s="97"/>
      <c r="AT1023" s="97"/>
      <c r="AU1023" s="97"/>
    </row>
    <row r="1024" spans="1:47" ht="344.25" x14ac:dyDescent="0.2">
      <c r="A1024" s="128">
        <v>35</v>
      </c>
      <c r="B1024" s="128" t="s">
        <v>1084</v>
      </c>
      <c r="C1024" s="65" t="s">
        <v>941</v>
      </c>
      <c r="D1024" s="1" t="s">
        <v>942</v>
      </c>
      <c r="E1024" s="128" t="s">
        <v>971</v>
      </c>
      <c r="F1024" s="1" t="s">
        <v>511</v>
      </c>
      <c r="G1024" s="1" t="s">
        <v>512</v>
      </c>
      <c r="H1024" s="66" t="s">
        <v>944</v>
      </c>
      <c r="I1024" s="1" t="s">
        <v>54</v>
      </c>
      <c r="J1024" s="1" t="s">
        <v>55</v>
      </c>
      <c r="K1024" s="52">
        <v>801116</v>
      </c>
      <c r="L1024" s="52" t="s">
        <v>945</v>
      </c>
      <c r="M1024" s="128" t="s">
        <v>493</v>
      </c>
      <c r="N1024" s="128" t="s">
        <v>494</v>
      </c>
      <c r="O1024" s="53" t="s">
        <v>946</v>
      </c>
      <c r="P1024" s="128" t="s">
        <v>1070</v>
      </c>
      <c r="Q1024" s="126">
        <v>5665000</v>
      </c>
      <c r="R1024" s="129">
        <v>1</v>
      </c>
      <c r="S1024" s="126">
        <f t="shared" si="93"/>
        <v>65147500</v>
      </c>
      <c r="T1024" s="112" t="s">
        <v>1051</v>
      </c>
      <c r="U1024" s="112" t="s">
        <v>949</v>
      </c>
      <c r="V1024" s="132" t="s">
        <v>516</v>
      </c>
      <c r="W1024" s="112">
        <v>11.5</v>
      </c>
      <c r="X1024" s="133" t="s">
        <v>1085</v>
      </c>
      <c r="Y1024" s="125">
        <v>43104</v>
      </c>
      <c r="Z1024" s="127">
        <f t="shared" si="94"/>
        <v>65147500</v>
      </c>
      <c r="AA1024" s="133"/>
      <c r="AB1024" s="133">
        <v>254</v>
      </c>
      <c r="AC1024" s="134">
        <v>43105</v>
      </c>
      <c r="AD1024" s="126">
        <v>65147500</v>
      </c>
      <c r="AE1024" s="137">
        <f t="shared" si="100"/>
        <v>0</v>
      </c>
      <c r="AF1024" s="139">
        <v>250</v>
      </c>
      <c r="AG1024" s="134">
        <v>43119</v>
      </c>
      <c r="AH1024" s="135">
        <f t="shared" si="101"/>
        <v>65147500</v>
      </c>
      <c r="AI1024" s="136" t="s">
        <v>1086</v>
      </c>
      <c r="AJ1024" s="133">
        <v>205</v>
      </c>
      <c r="AK1024" s="97"/>
      <c r="AL1024" s="135">
        <f t="shared" si="104"/>
        <v>65147500</v>
      </c>
      <c r="AM1024" s="135">
        <v>30591000</v>
      </c>
      <c r="AN1024" s="135">
        <f t="shared" si="103"/>
        <v>34556500</v>
      </c>
      <c r="AO1024" s="136" t="s">
        <v>952</v>
      </c>
      <c r="AP1024" s="97"/>
      <c r="AQ1024" s="97"/>
      <c r="AR1024" s="97"/>
      <c r="AS1024" s="97"/>
      <c r="AT1024" s="97"/>
      <c r="AU1024" s="97"/>
    </row>
    <row r="1025" spans="1:47" ht="409.5" x14ac:dyDescent="0.2">
      <c r="A1025" s="128">
        <v>36</v>
      </c>
      <c r="B1025" s="128" t="s">
        <v>1087</v>
      </c>
      <c r="C1025" s="65" t="s">
        <v>941</v>
      </c>
      <c r="D1025" s="1" t="s">
        <v>942</v>
      </c>
      <c r="E1025" s="128" t="s">
        <v>971</v>
      </c>
      <c r="F1025" s="1" t="s">
        <v>511</v>
      </c>
      <c r="G1025" s="1" t="s">
        <v>512</v>
      </c>
      <c r="H1025" s="66" t="s">
        <v>944</v>
      </c>
      <c r="I1025" s="1" t="s">
        <v>54</v>
      </c>
      <c r="J1025" s="1" t="s">
        <v>55</v>
      </c>
      <c r="K1025" s="52">
        <v>801116</v>
      </c>
      <c r="L1025" s="52" t="s">
        <v>945</v>
      </c>
      <c r="M1025" s="128" t="s">
        <v>493</v>
      </c>
      <c r="N1025" s="128" t="s">
        <v>494</v>
      </c>
      <c r="O1025" s="53" t="s">
        <v>946</v>
      </c>
      <c r="P1025" s="128" t="s">
        <v>1088</v>
      </c>
      <c r="Q1025" s="126">
        <v>4532000</v>
      </c>
      <c r="R1025" s="129">
        <v>1</v>
      </c>
      <c r="S1025" s="126">
        <f t="shared" si="93"/>
        <v>52118000</v>
      </c>
      <c r="T1025" s="112" t="s">
        <v>1051</v>
      </c>
      <c r="U1025" s="112" t="s">
        <v>949</v>
      </c>
      <c r="V1025" s="132" t="s">
        <v>516</v>
      </c>
      <c r="W1025" s="112">
        <v>11.5</v>
      </c>
      <c r="X1025" s="133" t="s">
        <v>1089</v>
      </c>
      <c r="Y1025" s="125">
        <v>43104</v>
      </c>
      <c r="Z1025" s="127">
        <f t="shared" si="94"/>
        <v>52118000</v>
      </c>
      <c r="AA1025" s="133"/>
      <c r="AB1025" s="133">
        <v>255</v>
      </c>
      <c r="AC1025" s="134">
        <v>43105</v>
      </c>
      <c r="AD1025" s="126">
        <v>52118000</v>
      </c>
      <c r="AE1025" s="137">
        <f t="shared" si="100"/>
        <v>0</v>
      </c>
      <c r="AF1025" s="139">
        <v>206</v>
      </c>
      <c r="AG1025" s="134">
        <v>43118</v>
      </c>
      <c r="AH1025" s="135">
        <f t="shared" si="101"/>
        <v>52118000</v>
      </c>
      <c r="AI1025" s="136" t="s">
        <v>1090</v>
      </c>
      <c r="AJ1025" s="133">
        <v>173</v>
      </c>
      <c r="AK1025" s="97"/>
      <c r="AL1025" s="135">
        <f t="shared" si="104"/>
        <v>52118000</v>
      </c>
      <c r="AM1025" s="135">
        <v>24472800</v>
      </c>
      <c r="AN1025" s="135">
        <f t="shared" si="103"/>
        <v>27645200</v>
      </c>
      <c r="AO1025" s="136" t="s">
        <v>952</v>
      </c>
      <c r="AP1025" s="97"/>
      <c r="AQ1025" s="97"/>
      <c r="AR1025" s="97"/>
      <c r="AS1025" s="97"/>
      <c r="AT1025" s="97"/>
      <c r="AU1025" s="97"/>
    </row>
    <row r="1026" spans="1:47" ht="409.5" x14ac:dyDescent="0.2">
      <c r="A1026" s="128">
        <v>37</v>
      </c>
      <c r="B1026" s="128" t="s">
        <v>1091</v>
      </c>
      <c r="C1026" s="65" t="s">
        <v>941</v>
      </c>
      <c r="D1026" s="1" t="s">
        <v>942</v>
      </c>
      <c r="E1026" s="128" t="s">
        <v>971</v>
      </c>
      <c r="F1026" s="1" t="s">
        <v>511</v>
      </c>
      <c r="G1026" s="1" t="s">
        <v>512</v>
      </c>
      <c r="H1026" s="66" t="s">
        <v>944</v>
      </c>
      <c r="I1026" s="1" t="s">
        <v>54</v>
      </c>
      <c r="J1026" s="1" t="s">
        <v>55</v>
      </c>
      <c r="K1026" s="52">
        <v>801116</v>
      </c>
      <c r="L1026" s="52" t="s">
        <v>945</v>
      </c>
      <c r="M1026" s="128" t="s">
        <v>493</v>
      </c>
      <c r="N1026" s="128" t="s">
        <v>494</v>
      </c>
      <c r="O1026" s="53" t="s">
        <v>946</v>
      </c>
      <c r="P1026" s="128" t="s">
        <v>1092</v>
      </c>
      <c r="Q1026" s="126">
        <v>6180000</v>
      </c>
      <c r="R1026" s="129">
        <v>1</v>
      </c>
      <c r="S1026" s="126">
        <f t="shared" si="93"/>
        <v>71070000</v>
      </c>
      <c r="T1026" s="112" t="s">
        <v>1051</v>
      </c>
      <c r="U1026" s="112" t="s">
        <v>949</v>
      </c>
      <c r="V1026" s="132" t="s">
        <v>516</v>
      </c>
      <c r="W1026" s="112">
        <v>11.5</v>
      </c>
      <c r="X1026" s="133" t="s">
        <v>1093</v>
      </c>
      <c r="Y1026" s="125">
        <v>43104</v>
      </c>
      <c r="Z1026" s="127">
        <f t="shared" si="94"/>
        <v>71070000</v>
      </c>
      <c r="AA1026" s="133"/>
      <c r="AB1026" s="133">
        <v>256</v>
      </c>
      <c r="AC1026" s="134">
        <v>43105</v>
      </c>
      <c r="AD1026" s="126">
        <v>71070000</v>
      </c>
      <c r="AE1026" s="137">
        <f t="shared" si="100"/>
        <v>0</v>
      </c>
      <c r="AF1026" s="139">
        <v>155</v>
      </c>
      <c r="AG1026" s="134">
        <v>43118</v>
      </c>
      <c r="AH1026" s="135">
        <f t="shared" si="101"/>
        <v>71070000</v>
      </c>
      <c r="AI1026" s="136" t="s">
        <v>1094</v>
      </c>
      <c r="AJ1026" s="133">
        <v>159</v>
      </c>
      <c r="AK1026" s="97"/>
      <c r="AL1026" s="135">
        <f t="shared" si="104"/>
        <v>71070000</v>
      </c>
      <c r="AM1026" s="135">
        <v>33578000</v>
      </c>
      <c r="AN1026" s="135">
        <f t="shared" si="103"/>
        <v>37492000</v>
      </c>
      <c r="AO1026" s="136" t="s">
        <v>952</v>
      </c>
      <c r="AP1026" s="97"/>
      <c r="AQ1026" s="97"/>
      <c r="AR1026" s="97"/>
      <c r="AS1026" s="97"/>
      <c r="AT1026" s="97"/>
      <c r="AU1026" s="97"/>
    </row>
    <row r="1027" spans="1:47" ht="409.5" x14ac:dyDescent="0.2">
      <c r="A1027" s="128">
        <v>38</v>
      </c>
      <c r="B1027" s="128" t="s">
        <v>1095</v>
      </c>
      <c r="C1027" s="65" t="s">
        <v>941</v>
      </c>
      <c r="D1027" s="1" t="s">
        <v>942</v>
      </c>
      <c r="E1027" s="128" t="s">
        <v>971</v>
      </c>
      <c r="F1027" s="1" t="s">
        <v>511</v>
      </c>
      <c r="G1027" s="1" t="s">
        <v>512</v>
      </c>
      <c r="H1027" s="66" t="s">
        <v>944</v>
      </c>
      <c r="I1027" s="1" t="s">
        <v>54</v>
      </c>
      <c r="J1027" s="1" t="s">
        <v>55</v>
      </c>
      <c r="K1027" s="52">
        <v>801116</v>
      </c>
      <c r="L1027" s="52" t="s">
        <v>945</v>
      </c>
      <c r="M1027" s="128" t="s">
        <v>493</v>
      </c>
      <c r="N1027" s="128" t="s">
        <v>494</v>
      </c>
      <c r="O1027" s="53" t="s">
        <v>946</v>
      </c>
      <c r="P1027" s="128" t="s">
        <v>1096</v>
      </c>
      <c r="Q1027" s="126">
        <v>2472000</v>
      </c>
      <c r="R1027" s="129">
        <v>1</v>
      </c>
      <c r="S1027" s="126">
        <f t="shared" si="93"/>
        <v>28428000</v>
      </c>
      <c r="T1027" s="112" t="s">
        <v>1051</v>
      </c>
      <c r="U1027" s="112" t="s">
        <v>949</v>
      </c>
      <c r="V1027" s="132" t="s">
        <v>516</v>
      </c>
      <c r="W1027" s="112">
        <v>11.5</v>
      </c>
      <c r="X1027" s="133" t="s">
        <v>1097</v>
      </c>
      <c r="Y1027" s="125">
        <v>43104</v>
      </c>
      <c r="Z1027" s="127">
        <f t="shared" si="94"/>
        <v>28428000</v>
      </c>
      <c r="AA1027" s="133"/>
      <c r="AB1027" s="133">
        <v>257</v>
      </c>
      <c r="AC1027" s="134">
        <v>43105</v>
      </c>
      <c r="AD1027" s="126">
        <v>28428000</v>
      </c>
      <c r="AE1027" s="137">
        <f t="shared" si="100"/>
        <v>0</v>
      </c>
      <c r="AF1027" s="139">
        <v>217</v>
      </c>
      <c r="AG1027" s="134">
        <v>43118</v>
      </c>
      <c r="AH1027" s="135">
        <f t="shared" si="101"/>
        <v>28428000</v>
      </c>
      <c r="AI1027" s="136" t="s">
        <v>1098</v>
      </c>
      <c r="AJ1027" s="133">
        <v>174</v>
      </c>
      <c r="AK1027" s="97"/>
      <c r="AL1027" s="135">
        <f t="shared" si="104"/>
        <v>28428000</v>
      </c>
      <c r="AM1027" s="135">
        <v>13348800</v>
      </c>
      <c r="AN1027" s="135">
        <f t="shared" si="103"/>
        <v>15079200</v>
      </c>
      <c r="AO1027" s="136" t="s">
        <v>952</v>
      </c>
      <c r="AP1027" s="97"/>
      <c r="AQ1027" s="97"/>
      <c r="AR1027" s="97"/>
      <c r="AS1027" s="97"/>
      <c r="AT1027" s="97"/>
      <c r="AU1027" s="97"/>
    </row>
    <row r="1028" spans="1:47" ht="344.25" x14ac:dyDescent="0.2">
      <c r="A1028" s="128">
        <v>39</v>
      </c>
      <c r="B1028" s="128" t="s">
        <v>1099</v>
      </c>
      <c r="C1028" s="65" t="s">
        <v>941</v>
      </c>
      <c r="D1028" s="1" t="s">
        <v>942</v>
      </c>
      <c r="E1028" s="128" t="s">
        <v>971</v>
      </c>
      <c r="F1028" s="1" t="s">
        <v>511</v>
      </c>
      <c r="G1028" s="1" t="s">
        <v>512</v>
      </c>
      <c r="H1028" s="66" t="s">
        <v>944</v>
      </c>
      <c r="I1028" s="1" t="s">
        <v>54</v>
      </c>
      <c r="J1028" s="1" t="s">
        <v>55</v>
      </c>
      <c r="K1028" s="52">
        <v>801116</v>
      </c>
      <c r="L1028" s="52" t="s">
        <v>945</v>
      </c>
      <c r="M1028" s="128" t="s">
        <v>493</v>
      </c>
      <c r="N1028" s="128" t="s">
        <v>494</v>
      </c>
      <c r="O1028" s="53" t="s">
        <v>946</v>
      </c>
      <c r="P1028" s="128" t="s">
        <v>1070</v>
      </c>
      <c r="Q1028" s="126">
        <v>5665000</v>
      </c>
      <c r="R1028" s="129">
        <v>1</v>
      </c>
      <c r="S1028" s="126">
        <f t="shared" si="93"/>
        <v>65147500</v>
      </c>
      <c r="T1028" s="112" t="s">
        <v>1051</v>
      </c>
      <c r="U1028" s="112" t="s">
        <v>949</v>
      </c>
      <c r="V1028" s="132" t="s">
        <v>516</v>
      </c>
      <c r="W1028" s="112">
        <v>11.5</v>
      </c>
      <c r="X1028" s="133" t="s">
        <v>1100</v>
      </c>
      <c r="Y1028" s="125">
        <v>43104</v>
      </c>
      <c r="Z1028" s="127">
        <f t="shared" si="94"/>
        <v>65147500</v>
      </c>
      <c r="AA1028" s="133"/>
      <c r="AB1028" s="133">
        <v>258</v>
      </c>
      <c r="AC1028" s="134">
        <v>43105</v>
      </c>
      <c r="AD1028" s="126">
        <v>65147500</v>
      </c>
      <c r="AE1028" s="137">
        <f t="shared" si="100"/>
        <v>0</v>
      </c>
      <c r="AF1028" s="139">
        <v>236</v>
      </c>
      <c r="AG1028" s="134">
        <v>43119</v>
      </c>
      <c r="AH1028" s="135">
        <f t="shared" si="101"/>
        <v>65147500</v>
      </c>
      <c r="AI1028" s="136" t="s">
        <v>1101</v>
      </c>
      <c r="AJ1028" s="133">
        <v>208</v>
      </c>
      <c r="AK1028" s="97"/>
      <c r="AL1028" s="135">
        <f t="shared" si="104"/>
        <v>65147500</v>
      </c>
      <c r="AM1028" s="135">
        <v>30591000</v>
      </c>
      <c r="AN1028" s="135">
        <f t="shared" si="103"/>
        <v>34556500</v>
      </c>
      <c r="AO1028" s="136" t="s">
        <v>952</v>
      </c>
      <c r="AP1028" s="97"/>
      <c r="AQ1028" s="97"/>
      <c r="AR1028" s="97"/>
      <c r="AS1028" s="97"/>
      <c r="AT1028" s="97"/>
      <c r="AU1028" s="97"/>
    </row>
    <row r="1029" spans="1:47" ht="409.5" x14ac:dyDescent="0.2">
      <c r="A1029" s="128">
        <v>40</v>
      </c>
      <c r="B1029" s="128" t="s">
        <v>1102</v>
      </c>
      <c r="C1029" s="65" t="s">
        <v>941</v>
      </c>
      <c r="D1029" s="1" t="s">
        <v>942</v>
      </c>
      <c r="E1029" s="128" t="s">
        <v>971</v>
      </c>
      <c r="F1029" s="1" t="s">
        <v>511</v>
      </c>
      <c r="G1029" s="1" t="s">
        <v>512</v>
      </c>
      <c r="H1029" s="66" t="s">
        <v>944</v>
      </c>
      <c r="I1029" s="1" t="s">
        <v>54</v>
      </c>
      <c r="J1029" s="1" t="s">
        <v>55</v>
      </c>
      <c r="K1029" s="52">
        <v>801116</v>
      </c>
      <c r="L1029" s="52" t="s">
        <v>945</v>
      </c>
      <c r="M1029" s="128" t="s">
        <v>493</v>
      </c>
      <c r="N1029" s="128" t="s">
        <v>494</v>
      </c>
      <c r="O1029" s="53" t="s">
        <v>946</v>
      </c>
      <c r="P1029" s="128" t="s">
        <v>1096</v>
      </c>
      <c r="Q1029" s="126">
        <v>2472000</v>
      </c>
      <c r="R1029" s="129">
        <v>1</v>
      </c>
      <c r="S1029" s="126">
        <f t="shared" si="93"/>
        <v>28428000</v>
      </c>
      <c r="T1029" s="112" t="s">
        <v>1051</v>
      </c>
      <c r="U1029" s="112" t="s">
        <v>949</v>
      </c>
      <c r="V1029" s="132" t="s">
        <v>516</v>
      </c>
      <c r="W1029" s="112">
        <v>11.5</v>
      </c>
      <c r="X1029" s="133" t="s">
        <v>1103</v>
      </c>
      <c r="Y1029" s="125">
        <v>43104</v>
      </c>
      <c r="Z1029" s="127">
        <f t="shared" si="94"/>
        <v>28428000</v>
      </c>
      <c r="AA1029" s="133"/>
      <c r="AB1029" s="133">
        <v>283</v>
      </c>
      <c r="AC1029" s="134">
        <v>43109</v>
      </c>
      <c r="AD1029" s="126">
        <v>28428000</v>
      </c>
      <c r="AE1029" s="137">
        <f t="shared" si="100"/>
        <v>0</v>
      </c>
      <c r="AF1029" s="139">
        <v>204</v>
      </c>
      <c r="AG1029" s="134">
        <v>43118</v>
      </c>
      <c r="AH1029" s="135">
        <f t="shared" si="101"/>
        <v>28428000</v>
      </c>
      <c r="AI1029" s="136" t="s">
        <v>1104</v>
      </c>
      <c r="AJ1029" s="133">
        <v>178</v>
      </c>
      <c r="AK1029" s="97"/>
      <c r="AL1029" s="135">
        <f t="shared" si="104"/>
        <v>28428000</v>
      </c>
      <c r="AM1029" s="135">
        <v>13348800</v>
      </c>
      <c r="AN1029" s="135">
        <f t="shared" si="103"/>
        <v>15079200</v>
      </c>
      <c r="AO1029" s="136" t="s">
        <v>952</v>
      </c>
      <c r="AP1029" s="97"/>
      <c r="AQ1029" s="97"/>
      <c r="AR1029" s="97"/>
      <c r="AS1029" s="97"/>
      <c r="AT1029" s="97"/>
      <c r="AU1029" s="97"/>
    </row>
    <row r="1030" spans="1:47" ht="369.75" x14ac:dyDescent="0.2">
      <c r="A1030" s="128">
        <v>41</v>
      </c>
      <c r="B1030" s="128" t="s">
        <v>1105</v>
      </c>
      <c r="C1030" s="65" t="s">
        <v>941</v>
      </c>
      <c r="D1030" s="1" t="s">
        <v>942</v>
      </c>
      <c r="E1030" s="128" t="s">
        <v>971</v>
      </c>
      <c r="F1030" s="1" t="s">
        <v>511</v>
      </c>
      <c r="G1030" s="1" t="s">
        <v>512</v>
      </c>
      <c r="H1030" s="66" t="s">
        <v>944</v>
      </c>
      <c r="I1030" s="1" t="s">
        <v>54</v>
      </c>
      <c r="J1030" s="1" t="s">
        <v>55</v>
      </c>
      <c r="K1030" s="52">
        <v>801116</v>
      </c>
      <c r="L1030" s="52" t="s">
        <v>945</v>
      </c>
      <c r="M1030" s="128" t="s">
        <v>493</v>
      </c>
      <c r="N1030" s="128" t="s">
        <v>494</v>
      </c>
      <c r="O1030" s="53" t="s">
        <v>946</v>
      </c>
      <c r="P1030" s="128" t="s">
        <v>1106</v>
      </c>
      <c r="Q1030" s="126">
        <v>4120000</v>
      </c>
      <c r="R1030" s="129">
        <v>1</v>
      </c>
      <c r="S1030" s="126">
        <f t="shared" si="93"/>
        <v>47380000</v>
      </c>
      <c r="T1030" s="112" t="s">
        <v>1051</v>
      </c>
      <c r="U1030" s="112" t="s">
        <v>949</v>
      </c>
      <c r="V1030" s="132" t="s">
        <v>516</v>
      </c>
      <c r="W1030" s="112">
        <v>11.5</v>
      </c>
      <c r="X1030" s="133" t="s">
        <v>1107</v>
      </c>
      <c r="Y1030" s="125">
        <v>43104</v>
      </c>
      <c r="Z1030" s="127">
        <f t="shared" si="94"/>
        <v>47380000</v>
      </c>
      <c r="AA1030" s="133"/>
      <c r="AB1030" s="133">
        <v>284</v>
      </c>
      <c r="AC1030" s="134">
        <v>43109</v>
      </c>
      <c r="AD1030" s="126">
        <v>47380000</v>
      </c>
      <c r="AE1030" s="137">
        <f t="shared" si="100"/>
        <v>0</v>
      </c>
      <c r="AF1030" s="139">
        <v>213</v>
      </c>
      <c r="AG1030" s="134">
        <v>43118</v>
      </c>
      <c r="AH1030" s="135">
        <f t="shared" si="101"/>
        <v>47380000</v>
      </c>
      <c r="AI1030" s="136" t="s">
        <v>1108</v>
      </c>
      <c r="AJ1030" s="133">
        <v>177</v>
      </c>
      <c r="AK1030" s="97"/>
      <c r="AL1030" s="135">
        <f t="shared" si="104"/>
        <v>47380000</v>
      </c>
      <c r="AM1030" s="135">
        <v>22248000</v>
      </c>
      <c r="AN1030" s="135">
        <f t="shared" si="103"/>
        <v>25132000</v>
      </c>
      <c r="AO1030" s="136" t="s">
        <v>952</v>
      </c>
      <c r="AP1030" s="97"/>
      <c r="AQ1030" s="97"/>
      <c r="AR1030" s="97"/>
      <c r="AS1030" s="97"/>
      <c r="AT1030" s="97"/>
      <c r="AU1030" s="97"/>
    </row>
    <row r="1031" spans="1:47" ht="408" x14ac:dyDescent="0.2">
      <c r="A1031" s="128">
        <v>42</v>
      </c>
      <c r="B1031" s="128" t="s">
        <v>1109</v>
      </c>
      <c r="C1031" s="65" t="s">
        <v>941</v>
      </c>
      <c r="D1031" s="1" t="s">
        <v>942</v>
      </c>
      <c r="E1031" s="128" t="s">
        <v>971</v>
      </c>
      <c r="F1031" s="1" t="s">
        <v>511</v>
      </c>
      <c r="G1031" s="1" t="s">
        <v>512</v>
      </c>
      <c r="H1031" s="66" t="s">
        <v>944</v>
      </c>
      <c r="I1031" s="1" t="s">
        <v>54</v>
      </c>
      <c r="J1031" s="1" t="s">
        <v>55</v>
      </c>
      <c r="K1031" s="52">
        <v>801116</v>
      </c>
      <c r="L1031" s="52" t="s">
        <v>945</v>
      </c>
      <c r="M1031" s="128" t="s">
        <v>493</v>
      </c>
      <c r="N1031" s="128" t="s">
        <v>494</v>
      </c>
      <c r="O1031" s="53" t="s">
        <v>946</v>
      </c>
      <c r="P1031" s="128" t="s">
        <v>1110</v>
      </c>
      <c r="Q1031" s="126">
        <v>3326900</v>
      </c>
      <c r="R1031" s="129">
        <v>1</v>
      </c>
      <c r="S1031" s="126">
        <f t="shared" si="93"/>
        <v>38259350</v>
      </c>
      <c r="T1031" s="112" t="s">
        <v>1051</v>
      </c>
      <c r="U1031" s="112" t="s">
        <v>949</v>
      </c>
      <c r="V1031" s="132" t="s">
        <v>516</v>
      </c>
      <c r="W1031" s="112">
        <v>11.5</v>
      </c>
      <c r="X1031" s="133" t="s">
        <v>1111</v>
      </c>
      <c r="Y1031" s="125">
        <v>43104</v>
      </c>
      <c r="Z1031" s="127">
        <f t="shared" si="94"/>
        <v>38259350</v>
      </c>
      <c r="AA1031" s="133"/>
      <c r="AB1031" s="133">
        <v>285</v>
      </c>
      <c r="AC1031" s="134">
        <v>43109</v>
      </c>
      <c r="AD1031" s="126">
        <v>38259350</v>
      </c>
      <c r="AE1031" s="137">
        <f t="shared" si="100"/>
        <v>0</v>
      </c>
      <c r="AF1031" s="139">
        <v>275</v>
      </c>
      <c r="AG1031" s="134">
        <v>43122</v>
      </c>
      <c r="AH1031" s="135">
        <f t="shared" si="101"/>
        <v>38259350</v>
      </c>
      <c r="AI1031" s="136" t="s">
        <v>1112</v>
      </c>
      <c r="AJ1031" s="133">
        <v>245</v>
      </c>
      <c r="AK1031" s="97"/>
      <c r="AL1031" s="135">
        <f t="shared" si="104"/>
        <v>38259350</v>
      </c>
      <c r="AM1031" s="135">
        <v>17632570</v>
      </c>
      <c r="AN1031" s="135">
        <f t="shared" si="103"/>
        <v>20626780</v>
      </c>
      <c r="AO1031" s="136" t="s">
        <v>952</v>
      </c>
      <c r="AP1031" s="97"/>
      <c r="AQ1031" s="97"/>
      <c r="AR1031" s="97"/>
      <c r="AS1031" s="97"/>
      <c r="AT1031" s="97"/>
      <c r="AU1031" s="97"/>
    </row>
    <row r="1032" spans="1:47" ht="409.5" x14ac:dyDescent="0.2">
      <c r="A1032" s="128">
        <v>43</v>
      </c>
      <c r="B1032" s="128" t="s">
        <v>1113</v>
      </c>
      <c r="C1032" s="65" t="s">
        <v>941</v>
      </c>
      <c r="D1032" s="1" t="s">
        <v>942</v>
      </c>
      <c r="E1032" s="128" t="s">
        <v>971</v>
      </c>
      <c r="F1032" s="1" t="s">
        <v>511</v>
      </c>
      <c r="G1032" s="1" t="s">
        <v>512</v>
      </c>
      <c r="H1032" s="66" t="s">
        <v>944</v>
      </c>
      <c r="I1032" s="1" t="s">
        <v>54</v>
      </c>
      <c r="J1032" s="1" t="s">
        <v>55</v>
      </c>
      <c r="K1032" s="52">
        <v>801116</v>
      </c>
      <c r="L1032" s="52" t="s">
        <v>945</v>
      </c>
      <c r="M1032" s="128" t="s">
        <v>493</v>
      </c>
      <c r="N1032" s="128" t="s">
        <v>494</v>
      </c>
      <c r="O1032" s="53" t="s">
        <v>946</v>
      </c>
      <c r="P1032" s="128" t="s">
        <v>1114</v>
      </c>
      <c r="Q1032" s="126">
        <v>1545000</v>
      </c>
      <c r="R1032" s="129">
        <v>1</v>
      </c>
      <c r="S1032" s="126">
        <f t="shared" si="93"/>
        <v>17767500</v>
      </c>
      <c r="T1032" s="112" t="s">
        <v>1051</v>
      </c>
      <c r="U1032" s="112" t="s">
        <v>949</v>
      </c>
      <c r="V1032" s="132" t="s">
        <v>516</v>
      </c>
      <c r="W1032" s="112">
        <v>11.5</v>
      </c>
      <c r="X1032" s="133" t="s">
        <v>1115</v>
      </c>
      <c r="Y1032" s="125">
        <v>43104</v>
      </c>
      <c r="Z1032" s="127">
        <f t="shared" si="94"/>
        <v>17767500</v>
      </c>
      <c r="AA1032" s="133"/>
      <c r="AB1032" s="133">
        <v>286</v>
      </c>
      <c r="AC1032" s="134">
        <v>43109</v>
      </c>
      <c r="AD1032" s="126">
        <v>17767500</v>
      </c>
      <c r="AE1032" s="137">
        <f t="shared" si="100"/>
        <v>0</v>
      </c>
      <c r="AF1032" s="139">
        <v>241</v>
      </c>
      <c r="AG1032" s="134">
        <v>43119</v>
      </c>
      <c r="AH1032" s="135">
        <f t="shared" si="101"/>
        <v>17767500</v>
      </c>
      <c r="AI1032" s="136" t="s">
        <v>1116</v>
      </c>
      <c r="AJ1032" s="133">
        <v>220</v>
      </c>
      <c r="AK1032" s="97"/>
      <c r="AL1032" s="135">
        <f t="shared" si="104"/>
        <v>17767500</v>
      </c>
      <c r="AM1032" s="135">
        <v>8343000</v>
      </c>
      <c r="AN1032" s="135">
        <f t="shared" si="103"/>
        <v>9424500</v>
      </c>
      <c r="AO1032" s="136" t="s">
        <v>952</v>
      </c>
      <c r="AP1032" s="97"/>
      <c r="AQ1032" s="97"/>
      <c r="AR1032" s="97"/>
      <c r="AS1032" s="97"/>
      <c r="AT1032" s="97"/>
      <c r="AU1032" s="97"/>
    </row>
    <row r="1033" spans="1:47" ht="409.5" x14ac:dyDescent="0.2">
      <c r="A1033" s="128">
        <v>44</v>
      </c>
      <c r="B1033" s="128" t="s">
        <v>1117</v>
      </c>
      <c r="C1033" s="65" t="s">
        <v>941</v>
      </c>
      <c r="D1033" s="1" t="s">
        <v>942</v>
      </c>
      <c r="E1033" s="128" t="s">
        <v>971</v>
      </c>
      <c r="F1033" s="1" t="s">
        <v>511</v>
      </c>
      <c r="G1033" s="1" t="s">
        <v>512</v>
      </c>
      <c r="H1033" s="66" t="s">
        <v>944</v>
      </c>
      <c r="I1033" s="1" t="s">
        <v>54</v>
      </c>
      <c r="J1033" s="1" t="s">
        <v>55</v>
      </c>
      <c r="K1033" s="52">
        <v>801116</v>
      </c>
      <c r="L1033" s="52" t="s">
        <v>945</v>
      </c>
      <c r="M1033" s="128" t="s">
        <v>493</v>
      </c>
      <c r="N1033" s="128" t="s">
        <v>494</v>
      </c>
      <c r="O1033" s="53" t="s">
        <v>946</v>
      </c>
      <c r="P1033" s="128" t="s">
        <v>1035</v>
      </c>
      <c r="Q1033" s="126">
        <v>3553500</v>
      </c>
      <c r="R1033" s="129">
        <v>1</v>
      </c>
      <c r="S1033" s="126">
        <f t="shared" si="93"/>
        <v>31981500</v>
      </c>
      <c r="T1033" s="112" t="s">
        <v>1051</v>
      </c>
      <c r="U1033" s="112" t="s">
        <v>949</v>
      </c>
      <c r="V1033" s="132" t="s">
        <v>516</v>
      </c>
      <c r="W1033" s="112">
        <v>9</v>
      </c>
      <c r="X1033" s="133" t="s">
        <v>1118</v>
      </c>
      <c r="Y1033" s="125">
        <v>43104</v>
      </c>
      <c r="Z1033" s="127">
        <f t="shared" si="94"/>
        <v>31981500</v>
      </c>
      <c r="AA1033" s="133"/>
      <c r="AB1033" s="133">
        <v>287</v>
      </c>
      <c r="AC1033" s="134">
        <v>43109</v>
      </c>
      <c r="AD1033" s="126">
        <v>31981500</v>
      </c>
      <c r="AE1033" s="137">
        <f t="shared" si="100"/>
        <v>0</v>
      </c>
      <c r="AF1033" s="139">
        <v>497</v>
      </c>
      <c r="AG1033" s="134">
        <v>43126</v>
      </c>
      <c r="AH1033" s="135">
        <f t="shared" si="101"/>
        <v>31981500</v>
      </c>
      <c r="AI1033" s="136" t="s">
        <v>1119</v>
      </c>
      <c r="AJ1033" s="133">
        <v>426</v>
      </c>
      <c r="AK1033" s="97"/>
      <c r="AL1033" s="135">
        <f t="shared" si="104"/>
        <v>31981500</v>
      </c>
      <c r="AM1033" s="135">
        <v>18004400</v>
      </c>
      <c r="AN1033" s="135">
        <f t="shared" si="103"/>
        <v>13977100</v>
      </c>
      <c r="AO1033" s="136" t="s">
        <v>952</v>
      </c>
      <c r="AP1033" s="97"/>
      <c r="AQ1033" s="97"/>
      <c r="AR1033" s="97"/>
      <c r="AS1033" s="97"/>
      <c r="AT1033" s="97"/>
      <c r="AU1033" s="97"/>
    </row>
    <row r="1034" spans="1:47" ht="255" x14ac:dyDescent="0.2">
      <c r="A1034" s="128">
        <v>45</v>
      </c>
      <c r="B1034" s="128" t="s">
        <v>1120</v>
      </c>
      <c r="C1034" s="65" t="s">
        <v>941</v>
      </c>
      <c r="D1034" s="1" t="s">
        <v>942</v>
      </c>
      <c r="E1034" s="128" t="s">
        <v>943</v>
      </c>
      <c r="F1034" s="1" t="s">
        <v>511</v>
      </c>
      <c r="G1034" s="1" t="s">
        <v>512</v>
      </c>
      <c r="H1034" s="66" t="s">
        <v>944</v>
      </c>
      <c r="I1034" s="1" t="s">
        <v>54</v>
      </c>
      <c r="J1034" s="1" t="s">
        <v>55</v>
      </c>
      <c r="K1034" s="52">
        <v>801116</v>
      </c>
      <c r="L1034" s="52" t="s">
        <v>945</v>
      </c>
      <c r="M1034" s="128" t="s">
        <v>493</v>
      </c>
      <c r="N1034" s="128" t="s">
        <v>494</v>
      </c>
      <c r="O1034" s="53" t="s">
        <v>946</v>
      </c>
      <c r="P1034" s="128" t="s">
        <v>1121</v>
      </c>
      <c r="Q1034" s="126">
        <v>5665000</v>
      </c>
      <c r="R1034" s="129">
        <v>1</v>
      </c>
      <c r="S1034" s="130">
        <f t="shared" si="93"/>
        <v>65147500</v>
      </c>
      <c r="T1034" s="112" t="s">
        <v>1051</v>
      </c>
      <c r="U1034" s="112" t="s">
        <v>949</v>
      </c>
      <c r="V1034" s="132" t="s">
        <v>516</v>
      </c>
      <c r="W1034" s="112">
        <v>11.5</v>
      </c>
      <c r="X1034" s="133" t="s">
        <v>1122</v>
      </c>
      <c r="Y1034" s="125">
        <v>43104</v>
      </c>
      <c r="Z1034" s="127">
        <f t="shared" si="94"/>
        <v>65147500</v>
      </c>
      <c r="AA1034" s="133"/>
      <c r="AB1034" s="133">
        <v>288</v>
      </c>
      <c r="AC1034" s="134">
        <v>43109</v>
      </c>
      <c r="AD1034" s="126">
        <v>65147500</v>
      </c>
      <c r="AE1034" s="137">
        <f t="shared" si="100"/>
        <v>0</v>
      </c>
      <c r="AF1034" s="139">
        <v>235</v>
      </c>
      <c r="AG1034" s="134">
        <v>43119</v>
      </c>
      <c r="AH1034" s="135">
        <f t="shared" si="101"/>
        <v>65147500</v>
      </c>
      <c r="AI1034" s="136" t="s">
        <v>1123</v>
      </c>
      <c r="AJ1034" s="133">
        <v>209</v>
      </c>
      <c r="AK1034" s="97"/>
      <c r="AL1034" s="135">
        <f t="shared" si="104"/>
        <v>65147500</v>
      </c>
      <c r="AM1034" s="135">
        <v>30591000</v>
      </c>
      <c r="AN1034" s="135">
        <f t="shared" si="103"/>
        <v>34556500</v>
      </c>
      <c r="AO1034" s="136" t="s">
        <v>952</v>
      </c>
      <c r="AP1034" s="97"/>
      <c r="AQ1034" s="97"/>
      <c r="AR1034" s="97"/>
      <c r="AS1034" s="97"/>
      <c r="AT1034" s="97"/>
      <c r="AU1034" s="97"/>
    </row>
    <row r="1035" spans="1:47" ht="409.5" x14ac:dyDescent="0.2">
      <c r="A1035" s="128">
        <v>46</v>
      </c>
      <c r="B1035" s="128" t="s">
        <v>1124</v>
      </c>
      <c r="C1035" s="65" t="s">
        <v>941</v>
      </c>
      <c r="D1035" s="1" t="s">
        <v>942</v>
      </c>
      <c r="E1035" s="128" t="s">
        <v>971</v>
      </c>
      <c r="F1035" s="1" t="s">
        <v>511</v>
      </c>
      <c r="G1035" s="1" t="s">
        <v>512</v>
      </c>
      <c r="H1035" s="66" t="s">
        <v>944</v>
      </c>
      <c r="I1035" s="1" t="s">
        <v>54</v>
      </c>
      <c r="J1035" s="1" t="s">
        <v>55</v>
      </c>
      <c r="K1035" s="52">
        <v>801116</v>
      </c>
      <c r="L1035" s="52" t="s">
        <v>945</v>
      </c>
      <c r="M1035" s="128" t="s">
        <v>493</v>
      </c>
      <c r="N1035" s="128" t="s">
        <v>494</v>
      </c>
      <c r="O1035" s="53" t="s">
        <v>946</v>
      </c>
      <c r="P1035" s="128" t="s">
        <v>1125</v>
      </c>
      <c r="Q1035" s="126">
        <v>1751000</v>
      </c>
      <c r="R1035" s="129">
        <v>1</v>
      </c>
      <c r="S1035" s="126">
        <f t="shared" si="93"/>
        <v>20136500</v>
      </c>
      <c r="T1035" s="112" t="s">
        <v>1051</v>
      </c>
      <c r="U1035" s="112" t="s">
        <v>949</v>
      </c>
      <c r="V1035" s="132" t="s">
        <v>516</v>
      </c>
      <c r="W1035" s="112">
        <v>11.5</v>
      </c>
      <c r="X1035" s="133" t="s">
        <v>1126</v>
      </c>
      <c r="Y1035" s="125">
        <v>43104</v>
      </c>
      <c r="Z1035" s="127">
        <f t="shared" si="94"/>
        <v>20136500</v>
      </c>
      <c r="AA1035" s="133"/>
      <c r="AB1035" s="133">
        <v>289</v>
      </c>
      <c r="AC1035" s="134">
        <v>43109</v>
      </c>
      <c r="AD1035" s="126">
        <v>20136500</v>
      </c>
      <c r="AE1035" s="137">
        <f t="shared" si="100"/>
        <v>0</v>
      </c>
      <c r="AF1035" s="139">
        <v>326</v>
      </c>
      <c r="AG1035" s="134">
        <v>43123</v>
      </c>
      <c r="AH1035" s="135">
        <f t="shared" si="101"/>
        <v>20136500</v>
      </c>
      <c r="AI1035" s="136" t="s">
        <v>1127</v>
      </c>
      <c r="AJ1035" s="133">
        <v>287</v>
      </c>
      <c r="AK1035" s="97"/>
      <c r="AL1035" s="135">
        <f t="shared" si="104"/>
        <v>20136500</v>
      </c>
      <c r="AM1035" s="135">
        <v>9221934</v>
      </c>
      <c r="AN1035" s="135">
        <f t="shared" si="103"/>
        <v>10914566</v>
      </c>
      <c r="AO1035" s="136" t="s">
        <v>952</v>
      </c>
      <c r="AP1035" s="97"/>
      <c r="AQ1035" s="97"/>
      <c r="AR1035" s="97"/>
      <c r="AS1035" s="97"/>
      <c r="AT1035" s="97"/>
      <c r="AU1035" s="97"/>
    </row>
    <row r="1036" spans="1:47" ht="409.5" x14ac:dyDescent="0.2">
      <c r="A1036" s="128">
        <v>47</v>
      </c>
      <c r="B1036" s="128" t="s">
        <v>1128</v>
      </c>
      <c r="C1036" s="65" t="s">
        <v>941</v>
      </c>
      <c r="D1036" s="1" t="s">
        <v>942</v>
      </c>
      <c r="E1036" s="128" t="s">
        <v>971</v>
      </c>
      <c r="F1036" s="1" t="s">
        <v>511</v>
      </c>
      <c r="G1036" s="1" t="s">
        <v>512</v>
      </c>
      <c r="H1036" s="66" t="s">
        <v>944</v>
      </c>
      <c r="I1036" s="1" t="s">
        <v>54</v>
      </c>
      <c r="J1036" s="1" t="s">
        <v>55</v>
      </c>
      <c r="K1036" s="52">
        <v>801116</v>
      </c>
      <c r="L1036" s="52" t="s">
        <v>945</v>
      </c>
      <c r="M1036" s="128" t="s">
        <v>493</v>
      </c>
      <c r="N1036" s="128" t="s">
        <v>494</v>
      </c>
      <c r="O1036" s="53" t="s">
        <v>946</v>
      </c>
      <c r="P1036" s="128" t="s">
        <v>1129</v>
      </c>
      <c r="Q1036" s="126">
        <v>3326900</v>
      </c>
      <c r="R1036" s="129">
        <v>1</v>
      </c>
      <c r="S1036" s="126">
        <f t="shared" si="93"/>
        <v>38259350</v>
      </c>
      <c r="T1036" s="112" t="s">
        <v>1051</v>
      </c>
      <c r="U1036" s="112" t="s">
        <v>949</v>
      </c>
      <c r="V1036" s="132" t="s">
        <v>516</v>
      </c>
      <c r="W1036" s="112">
        <v>11.5</v>
      </c>
      <c r="X1036" s="133" t="s">
        <v>1130</v>
      </c>
      <c r="Y1036" s="125">
        <v>43104</v>
      </c>
      <c r="Z1036" s="127">
        <f t="shared" si="94"/>
        <v>38259350</v>
      </c>
      <c r="AA1036" s="133"/>
      <c r="AB1036" s="133">
        <v>290</v>
      </c>
      <c r="AC1036" s="134">
        <v>43109</v>
      </c>
      <c r="AD1036" s="126">
        <v>38259350</v>
      </c>
      <c r="AE1036" s="137">
        <f t="shared" si="100"/>
        <v>0</v>
      </c>
      <c r="AF1036" s="139">
        <v>317</v>
      </c>
      <c r="AG1036" s="134">
        <v>43122</v>
      </c>
      <c r="AH1036" s="135">
        <f t="shared" si="101"/>
        <v>38259350</v>
      </c>
      <c r="AI1036" s="136" t="s">
        <v>1131</v>
      </c>
      <c r="AJ1036" s="133">
        <v>276</v>
      </c>
      <c r="AK1036" s="97"/>
      <c r="AL1036" s="135">
        <f t="shared" si="104"/>
        <v>38259350</v>
      </c>
      <c r="AM1036" s="135">
        <v>17521673</v>
      </c>
      <c r="AN1036" s="135">
        <f t="shared" si="103"/>
        <v>20737677</v>
      </c>
      <c r="AO1036" s="136" t="s">
        <v>952</v>
      </c>
      <c r="AP1036" s="97"/>
      <c r="AQ1036" s="97"/>
      <c r="AR1036" s="97"/>
      <c r="AS1036" s="97"/>
      <c r="AT1036" s="97"/>
      <c r="AU1036" s="97"/>
    </row>
    <row r="1037" spans="1:47" ht="409.5" x14ac:dyDescent="0.2">
      <c r="A1037" s="128">
        <v>48</v>
      </c>
      <c r="B1037" s="128" t="s">
        <v>1132</v>
      </c>
      <c r="C1037" s="65" t="s">
        <v>941</v>
      </c>
      <c r="D1037" s="1" t="s">
        <v>942</v>
      </c>
      <c r="E1037" s="128" t="s">
        <v>971</v>
      </c>
      <c r="F1037" s="1" t="s">
        <v>511</v>
      </c>
      <c r="G1037" s="1" t="s">
        <v>512</v>
      </c>
      <c r="H1037" s="66" t="s">
        <v>944</v>
      </c>
      <c r="I1037" s="1" t="s">
        <v>54</v>
      </c>
      <c r="J1037" s="1" t="s">
        <v>55</v>
      </c>
      <c r="K1037" s="52">
        <v>801116</v>
      </c>
      <c r="L1037" s="52" t="s">
        <v>945</v>
      </c>
      <c r="M1037" s="128" t="s">
        <v>493</v>
      </c>
      <c r="N1037" s="128" t="s">
        <v>494</v>
      </c>
      <c r="O1037" s="53" t="s">
        <v>946</v>
      </c>
      <c r="P1037" s="128" t="s">
        <v>1133</v>
      </c>
      <c r="Q1037" s="126">
        <v>5036700</v>
      </c>
      <c r="R1037" s="129">
        <v>1</v>
      </c>
      <c r="S1037" s="126">
        <f t="shared" si="93"/>
        <v>57922050</v>
      </c>
      <c r="T1037" s="112" t="s">
        <v>1051</v>
      </c>
      <c r="U1037" s="112" t="s">
        <v>949</v>
      </c>
      <c r="V1037" s="132" t="s">
        <v>516</v>
      </c>
      <c r="W1037" s="112">
        <v>11.5</v>
      </c>
      <c r="X1037" s="133" t="s">
        <v>1134</v>
      </c>
      <c r="Y1037" s="125">
        <v>43104</v>
      </c>
      <c r="Z1037" s="127">
        <f t="shared" si="94"/>
        <v>57922050</v>
      </c>
      <c r="AA1037" s="133"/>
      <c r="AB1037" s="133">
        <v>291</v>
      </c>
      <c r="AC1037" s="134">
        <v>43109</v>
      </c>
      <c r="AD1037" s="126">
        <v>57922050</v>
      </c>
      <c r="AE1037" s="137">
        <f t="shared" si="100"/>
        <v>0</v>
      </c>
      <c r="AF1037" s="139">
        <v>429</v>
      </c>
      <c r="AG1037" s="134">
        <v>43124</v>
      </c>
      <c r="AH1037" s="135">
        <f t="shared" si="101"/>
        <v>57922050</v>
      </c>
      <c r="AI1037" s="136" t="s">
        <v>1135</v>
      </c>
      <c r="AJ1037" s="133">
        <v>364</v>
      </c>
      <c r="AK1037" s="97"/>
      <c r="AL1037" s="135">
        <f t="shared" si="104"/>
        <v>57922050</v>
      </c>
      <c r="AM1037" s="135">
        <v>26190840</v>
      </c>
      <c r="AN1037" s="135">
        <f t="shared" si="103"/>
        <v>31731210</v>
      </c>
      <c r="AO1037" s="136" t="s">
        <v>952</v>
      </c>
      <c r="AP1037" s="97"/>
      <c r="AQ1037" s="97"/>
      <c r="AR1037" s="97"/>
      <c r="AS1037" s="97"/>
      <c r="AT1037" s="97"/>
      <c r="AU1037" s="97"/>
    </row>
    <row r="1038" spans="1:47" ht="267.75" x14ac:dyDescent="0.2">
      <c r="A1038" s="128">
        <v>49</v>
      </c>
      <c r="B1038" s="128" t="s">
        <v>1136</v>
      </c>
      <c r="C1038" s="65" t="s">
        <v>941</v>
      </c>
      <c r="D1038" s="1" t="s">
        <v>942</v>
      </c>
      <c r="E1038" s="128" t="s">
        <v>971</v>
      </c>
      <c r="F1038" s="1" t="s">
        <v>511</v>
      </c>
      <c r="G1038" s="1" t="s">
        <v>512</v>
      </c>
      <c r="H1038" s="66" t="s">
        <v>944</v>
      </c>
      <c r="I1038" s="1" t="s">
        <v>54</v>
      </c>
      <c r="J1038" s="1" t="s">
        <v>55</v>
      </c>
      <c r="K1038" s="52">
        <v>801116</v>
      </c>
      <c r="L1038" s="52" t="s">
        <v>945</v>
      </c>
      <c r="M1038" s="128" t="s">
        <v>493</v>
      </c>
      <c r="N1038" s="128" t="s">
        <v>494</v>
      </c>
      <c r="O1038" s="53" t="s">
        <v>946</v>
      </c>
      <c r="P1038" s="128" t="s">
        <v>1137</v>
      </c>
      <c r="Q1038" s="126">
        <v>1751000</v>
      </c>
      <c r="R1038" s="129">
        <v>1</v>
      </c>
      <c r="S1038" s="126">
        <f t="shared" si="93"/>
        <v>20136500</v>
      </c>
      <c r="T1038" s="112" t="s">
        <v>1051</v>
      </c>
      <c r="U1038" s="112" t="s">
        <v>949</v>
      </c>
      <c r="V1038" s="132" t="s">
        <v>516</v>
      </c>
      <c r="W1038" s="112">
        <v>11.5</v>
      </c>
      <c r="X1038" s="133" t="s">
        <v>1138</v>
      </c>
      <c r="Y1038" s="125">
        <v>43104</v>
      </c>
      <c r="Z1038" s="127">
        <f t="shared" si="94"/>
        <v>20136500</v>
      </c>
      <c r="AA1038" s="133"/>
      <c r="AB1038" s="133">
        <v>292</v>
      </c>
      <c r="AC1038" s="134">
        <v>43109</v>
      </c>
      <c r="AD1038" s="126">
        <v>20136500</v>
      </c>
      <c r="AE1038" s="137">
        <f t="shared" si="100"/>
        <v>0</v>
      </c>
      <c r="AF1038" s="139">
        <v>384</v>
      </c>
      <c r="AG1038" s="134">
        <v>43124</v>
      </c>
      <c r="AH1038" s="135">
        <f t="shared" si="101"/>
        <v>20136500</v>
      </c>
      <c r="AI1038" s="136" t="s">
        <v>1139</v>
      </c>
      <c r="AJ1038" s="133">
        <v>307</v>
      </c>
      <c r="AK1038" s="97"/>
      <c r="AL1038" s="135">
        <f t="shared" si="104"/>
        <v>20136500</v>
      </c>
      <c r="AM1038" s="135">
        <v>9105200</v>
      </c>
      <c r="AN1038" s="135">
        <f t="shared" si="103"/>
        <v>11031300</v>
      </c>
      <c r="AO1038" s="136" t="s">
        <v>952</v>
      </c>
      <c r="AP1038" s="97"/>
      <c r="AQ1038" s="97"/>
      <c r="AR1038" s="97"/>
      <c r="AS1038" s="97"/>
      <c r="AT1038" s="97"/>
      <c r="AU1038" s="97"/>
    </row>
    <row r="1039" spans="1:47" ht="267.75" x14ac:dyDescent="0.2">
      <c r="A1039" s="128">
        <v>50</v>
      </c>
      <c r="B1039" s="128" t="s">
        <v>1140</v>
      </c>
      <c r="C1039" s="65" t="s">
        <v>941</v>
      </c>
      <c r="D1039" s="1" t="s">
        <v>942</v>
      </c>
      <c r="E1039" s="128" t="s">
        <v>971</v>
      </c>
      <c r="F1039" s="1" t="s">
        <v>511</v>
      </c>
      <c r="G1039" s="1" t="s">
        <v>512</v>
      </c>
      <c r="H1039" s="66" t="s">
        <v>944</v>
      </c>
      <c r="I1039" s="1" t="s">
        <v>54</v>
      </c>
      <c r="J1039" s="1" t="s">
        <v>55</v>
      </c>
      <c r="K1039" s="52">
        <v>801116</v>
      </c>
      <c r="L1039" s="52" t="s">
        <v>945</v>
      </c>
      <c r="M1039" s="128" t="s">
        <v>493</v>
      </c>
      <c r="N1039" s="128" t="s">
        <v>494</v>
      </c>
      <c r="O1039" s="53" t="s">
        <v>946</v>
      </c>
      <c r="P1039" s="128" t="s">
        <v>1141</v>
      </c>
      <c r="Q1039" s="126">
        <v>4532000</v>
      </c>
      <c r="R1039" s="129">
        <v>1</v>
      </c>
      <c r="S1039" s="126">
        <f t="shared" si="93"/>
        <v>52118000</v>
      </c>
      <c r="T1039" s="112" t="s">
        <v>1051</v>
      </c>
      <c r="U1039" s="112" t="s">
        <v>949</v>
      </c>
      <c r="V1039" s="132" t="s">
        <v>516</v>
      </c>
      <c r="W1039" s="112">
        <v>11.5</v>
      </c>
      <c r="X1039" s="133" t="s">
        <v>1142</v>
      </c>
      <c r="Y1039" s="125">
        <v>43104</v>
      </c>
      <c r="Z1039" s="127">
        <f t="shared" si="94"/>
        <v>52118000</v>
      </c>
      <c r="AA1039" s="133"/>
      <c r="AB1039" s="133">
        <v>293</v>
      </c>
      <c r="AC1039" s="134">
        <v>43109</v>
      </c>
      <c r="AD1039" s="126">
        <v>52118000</v>
      </c>
      <c r="AE1039" s="137">
        <f t="shared" si="100"/>
        <v>0</v>
      </c>
      <c r="AF1039" s="139">
        <v>188</v>
      </c>
      <c r="AG1039" s="134">
        <v>43118</v>
      </c>
      <c r="AH1039" s="135">
        <f t="shared" si="101"/>
        <v>52118000</v>
      </c>
      <c r="AI1039" s="136" t="s">
        <v>1143</v>
      </c>
      <c r="AJ1039" s="133">
        <v>141</v>
      </c>
      <c r="AK1039" s="97"/>
      <c r="AL1039" s="135">
        <f t="shared" si="104"/>
        <v>52118000</v>
      </c>
      <c r="AM1039" s="135">
        <v>24623867</v>
      </c>
      <c r="AN1039" s="135">
        <f t="shared" si="103"/>
        <v>27494133</v>
      </c>
      <c r="AO1039" s="136" t="s">
        <v>952</v>
      </c>
      <c r="AP1039" s="97"/>
      <c r="AQ1039" s="97"/>
      <c r="AR1039" s="97"/>
      <c r="AS1039" s="97"/>
      <c r="AT1039" s="97"/>
      <c r="AU1039" s="97"/>
    </row>
    <row r="1040" spans="1:47" ht="255" x14ac:dyDescent="0.2">
      <c r="A1040" s="128">
        <v>51</v>
      </c>
      <c r="B1040" s="128" t="s">
        <v>1144</v>
      </c>
      <c r="C1040" s="65" t="s">
        <v>941</v>
      </c>
      <c r="D1040" s="1" t="s">
        <v>942</v>
      </c>
      <c r="E1040" s="128" t="s">
        <v>971</v>
      </c>
      <c r="F1040" s="1" t="s">
        <v>511</v>
      </c>
      <c r="G1040" s="1" t="s">
        <v>512</v>
      </c>
      <c r="H1040" s="66" t="s">
        <v>944</v>
      </c>
      <c r="I1040" s="1" t="s">
        <v>54</v>
      </c>
      <c r="J1040" s="1" t="s">
        <v>55</v>
      </c>
      <c r="K1040" s="52">
        <v>801116</v>
      </c>
      <c r="L1040" s="52" t="s">
        <v>945</v>
      </c>
      <c r="M1040" s="128" t="s">
        <v>493</v>
      </c>
      <c r="N1040" s="128" t="s">
        <v>494</v>
      </c>
      <c r="O1040" s="53" t="s">
        <v>946</v>
      </c>
      <c r="P1040" s="128" t="s">
        <v>972</v>
      </c>
      <c r="Q1040" s="126">
        <v>3399000</v>
      </c>
      <c r="R1040" s="129">
        <v>1</v>
      </c>
      <c r="S1040" s="126">
        <f t="shared" si="93"/>
        <v>39088500</v>
      </c>
      <c r="T1040" s="112" t="s">
        <v>1051</v>
      </c>
      <c r="U1040" s="112" t="s">
        <v>949</v>
      </c>
      <c r="V1040" s="132" t="s">
        <v>516</v>
      </c>
      <c r="W1040" s="112">
        <v>11.5</v>
      </c>
      <c r="X1040" s="133" t="s">
        <v>1145</v>
      </c>
      <c r="Y1040" s="125">
        <v>43104</v>
      </c>
      <c r="Z1040" s="127">
        <f t="shared" si="94"/>
        <v>39088500</v>
      </c>
      <c r="AA1040" s="133"/>
      <c r="AB1040" s="133">
        <v>294</v>
      </c>
      <c r="AC1040" s="134">
        <v>43109</v>
      </c>
      <c r="AD1040" s="126">
        <v>39088500</v>
      </c>
      <c r="AE1040" s="137">
        <f t="shared" si="100"/>
        <v>0</v>
      </c>
      <c r="AF1040" s="139">
        <v>232</v>
      </c>
      <c r="AG1040" s="134">
        <v>43119</v>
      </c>
      <c r="AH1040" s="135">
        <f t="shared" si="101"/>
        <v>39088500</v>
      </c>
      <c r="AI1040" s="136" t="s">
        <v>1146</v>
      </c>
      <c r="AJ1040" s="133">
        <v>212</v>
      </c>
      <c r="AK1040" s="97"/>
      <c r="AL1040" s="135">
        <f t="shared" si="104"/>
        <v>39088500</v>
      </c>
      <c r="AM1040" s="135">
        <v>18354600</v>
      </c>
      <c r="AN1040" s="135">
        <f t="shared" si="103"/>
        <v>20733900</v>
      </c>
      <c r="AO1040" s="136" t="s">
        <v>952</v>
      </c>
      <c r="AP1040" s="97"/>
      <c r="AQ1040" s="97"/>
      <c r="AR1040" s="97"/>
      <c r="AS1040" s="97"/>
      <c r="AT1040" s="97"/>
      <c r="AU1040" s="97"/>
    </row>
    <row r="1041" spans="1:47" ht="255" x14ac:dyDescent="0.2">
      <c r="A1041" s="128">
        <v>52</v>
      </c>
      <c r="B1041" s="128" t="s">
        <v>1147</v>
      </c>
      <c r="C1041" s="65" t="s">
        <v>941</v>
      </c>
      <c r="D1041" s="1" t="s">
        <v>942</v>
      </c>
      <c r="E1041" s="128" t="s">
        <v>971</v>
      </c>
      <c r="F1041" s="1" t="s">
        <v>511</v>
      </c>
      <c r="G1041" s="1" t="s">
        <v>512</v>
      </c>
      <c r="H1041" s="66" t="s">
        <v>944</v>
      </c>
      <c r="I1041" s="1" t="s">
        <v>54</v>
      </c>
      <c r="J1041" s="1" t="s">
        <v>55</v>
      </c>
      <c r="K1041" s="52">
        <v>801116</v>
      </c>
      <c r="L1041" s="52" t="s">
        <v>945</v>
      </c>
      <c r="M1041" s="128" t="s">
        <v>493</v>
      </c>
      <c r="N1041" s="128" t="s">
        <v>494</v>
      </c>
      <c r="O1041" s="53" t="s">
        <v>946</v>
      </c>
      <c r="P1041" s="128" t="s">
        <v>972</v>
      </c>
      <c r="Q1041" s="126">
        <v>3553500</v>
      </c>
      <c r="R1041" s="129">
        <v>1</v>
      </c>
      <c r="S1041" s="126">
        <f t="shared" si="93"/>
        <v>40865250</v>
      </c>
      <c r="T1041" s="112" t="s">
        <v>1051</v>
      </c>
      <c r="U1041" s="112" t="s">
        <v>949</v>
      </c>
      <c r="V1041" s="132" t="s">
        <v>516</v>
      </c>
      <c r="W1041" s="112">
        <v>11.5</v>
      </c>
      <c r="X1041" s="133" t="s">
        <v>1148</v>
      </c>
      <c r="Y1041" s="125">
        <v>43104</v>
      </c>
      <c r="Z1041" s="127">
        <f t="shared" si="94"/>
        <v>40865250</v>
      </c>
      <c r="AA1041" s="133"/>
      <c r="AB1041" s="133">
        <v>295</v>
      </c>
      <c r="AC1041" s="134">
        <v>43109</v>
      </c>
      <c r="AD1041" s="126">
        <v>40865250</v>
      </c>
      <c r="AE1041" s="137">
        <f t="shared" si="100"/>
        <v>0</v>
      </c>
      <c r="AF1041" s="139">
        <v>392</v>
      </c>
      <c r="AG1041" s="134">
        <v>43124</v>
      </c>
      <c r="AH1041" s="135">
        <f t="shared" si="101"/>
        <v>40865250</v>
      </c>
      <c r="AI1041" s="136" t="s">
        <v>1149</v>
      </c>
      <c r="AJ1041" s="133">
        <v>330</v>
      </c>
      <c r="AK1041" s="97"/>
      <c r="AL1041" s="135">
        <f t="shared" si="104"/>
        <v>40865250</v>
      </c>
      <c r="AM1041" s="135">
        <v>18478200</v>
      </c>
      <c r="AN1041" s="135">
        <f t="shared" si="103"/>
        <v>22387050</v>
      </c>
      <c r="AO1041" s="136" t="s">
        <v>952</v>
      </c>
      <c r="AP1041" s="97"/>
      <c r="AQ1041" s="97"/>
      <c r="AR1041" s="97"/>
      <c r="AS1041" s="97"/>
      <c r="AT1041" s="97"/>
      <c r="AU1041" s="97"/>
    </row>
    <row r="1042" spans="1:47" ht="255" x14ac:dyDescent="0.2">
      <c r="A1042" s="128">
        <v>53</v>
      </c>
      <c r="B1042" s="128" t="s">
        <v>1150</v>
      </c>
      <c r="C1042" s="65" t="s">
        <v>941</v>
      </c>
      <c r="D1042" s="1" t="s">
        <v>942</v>
      </c>
      <c r="E1042" s="128" t="s">
        <v>971</v>
      </c>
      <c r="F1042" s="1" t="s">
        <v>511</v>
      </c>
      <c r="G1042" s="1" t="s">
        <v>512</v>
      </c>
      <c r="H1042" s="66" t="s">
        <v>944</v>
      </c>
      <c r="I1042" s="1" t="s">
        <v>54</v>
      </c>
      <c r="J1042" s="1" t="s">
        <v>55</v>
      </c>
      <c r="K1042" s="52">
        <v>801116</v>
      </c>
      <c r="L1042" s="52" t="s">
        <v>945</v>
      </c>
      <c r="M1042" s="128" t="s">
        <v>493</v>
      </c>
      <c r="N1042" s="128" t="s">
        <v>494</v>
      </c>
      <c r="O1042" s="53" t="s">
        <v>946</v>
      </c>
      <c r="P1042" s="128" t="s">
        <v>972</v>
      </c>
      <c r="Q1042" s="126">
        <v>3553500</v>
      </c>
      <c r="R1042" s="129">
        <v>1</v>
      </c>
      <c r="S1042" s="126">
        <f t="shared" si="93"/>
        <v>40865250</v>
      </c>
      <c r="T1042" s="112" t="s">
        <v>1051</v>
      </c>
      <c r="U1042" s="112" t="s">
        <v>949</v>
      </c>
      <c r="V1042" s="132" t="s">
        <v>516</v>
      </c>
      <c r="W1042" s="112">
        <v>11.5</v>
      </c>
      <c r="X1042" s="133" t="s">
        <v>1151</v>
      </c>
      <c r="Y1042" s="125">
        <v>43104</v>
      </c>
      <c r="Z1042" s="127">
        <f t="shared" si="94"/>
        <v>40865250</v>
      </c>
      <c r="AA1042" s="133"/>
      <c r="AB1042" s="133">
        <v>296</v>
      </c>
      <c r="AC1042" s="134">
        <v>43109</v>
      </c>
      <c r="AD1042" s="126">
        <v>40865250</v>
      </c>
      <c r="AE1042" s="137">
        <f t="shared" si="100"/>
        <v>0</v>
      </c>
      <c r="AF1042" s="139">
        <v>395</v>
      </c>
      <c r="AG1042" s="134">
        <v>43124</v>
      </c>
      <c r="AH1042" s="135">
        <f t="shared" si="101"/>
        <v>40865250</v>
      </c>
      <c r="AI1042" s="136" t="s">
        <v>1152</v>
      </c>
      <c r="AJ1042" s="133">
        <v>331</v>
      </c>
      <c r="AK1042" s="97"/>
      <c r="AL1042" s="135">
        <f t="shared" si="104"/>
        <v>40865250</v>
      </c>
      <c r="AM1042" s="135">
        <v>18478200</v>
      </c>
      <c r="AN1042" s="135">
        <f t="shared" si="103"/>
        <v>22387050</v>
      </c>
      <c r="AO1042" s="136" t="s">
        <v>952</v>
      </c>
      <c r="AP1042" s="97"/>
      <c r="AQ1042" s="97"/>
      <c r="AR1042" s="97"/>
      <c r="AS1042" s="97"/>
      <c r="AT1042" s="97"/>
      <c r="AU1042" s="97"/>
    </row>
    <row r="1043" spans="1:47" ht="267.75" x14ac:dyDescent="0.2">
      <c r="A1043" s="128">
        <v>54</v>
      </c>
      <c r="B1043" s="128" t="s">
        <v>1153</v>
      </c>
      <c r="C1043" s="65" t="s">
        <v>941</v>
      </c>
      <c r="D1043" s="1" t="s">
        <v>942</v>
      </c>
      <c r="E1043" s="128" t="s">
        <v>943</v>
      </c>
      <c r="F1043" s="1" t="s">
        <v>511</v>
      </c>
      <c r="G1043" s="1" t="s">
        <v>512</v>
      </c>
      <c r="H1043" s="66" t="s">
        <v>944</v>
      </c>
      <c r="I1043" s="1" t="s">
        <v>54</v>
      </c>
      <c r="J1043" s="1" t="s">
        <v>55</v>
      </c>
      <c r="K1043" s="52">
        <v>801116</v>
      </c>
      <c r="L1043" s="52" t="s">
        <v>945</v>
      </c>
      <c r="M1043" s="128" t="s">
        <v>493</v>
      </c>
      <c r="N1043" s="128" t="s">
        <v>494</v>
      </c>
      <c r="O1043" s="53" t="s">
        <v>946</v>
      </c>
      <c r="P1043" s="128" t="s">
        <v>1055</v>
      </c>
      <c r="Q1043" s="126">
        <v>7210000</v>
      </c>
      <c r="R1043" s="129">
        <v>1</v>
      </c>
      <c r="S1043" s="130">
        <f t="shared" si="93"/>
        <v>82915000</v>
      </c>
      <c r="T1043" s="112" t="s">
        <v>1051</v>
      </c>
      <c r="U1043" s="112" t="s">
        <v>949</v>
      </c>
      <c r="V1043" s="132" t="s">
        <v>516</v>
      </c>
      <c r="W1043" s="112">
        <v>11.5</v>
      </c>
      <c r="X1043" s="133" t="s">
        <v>1154</v>
      </c>
      <c r="Y1043" s="125">
        <v>43104</v>
      </c>
      <c r="Z1043" s="127">
        <f t="shared" si="94"/>
        <v>82915000</v>
      </c>
      <c r="AA1043" s="133"/>
      <c r="AB1043" s="133">
        <v>297</v>
      </c>
      <c r="AC1043" s="134">
        <v>43109</v>
      </c>
      <c r="AD1043" s="126">
        <v>82915000</v>
      </c>
      <c r="AE1043" s="137">
        <f t="shared" si="100"/>
        <v>0</v>
      </c>
      <c r="AF1043" s="139">
        <v>386</v>
      </c>
      <c r="AG1043" s="134">
        <v>43124</v>
      </c>
      <c r="AH1043" s="135">
        <f t="shared" si="101"/>
        <v>82915000</v>
      </c>
      <c r="AI1043" s="136" t="s">
        <v>1155</v>
      </c>
      <c r="AJ1043" s="133">
        <v>308</v>
      </c>
      <c r="AK1043" s="97"/>
      <c r="AL1043" s="135">
        <f t="shared" si="104"/>
        <v>82915000</v>
      </c>
      <c r="AM1043" s="135">
        <v>37492000</v>
      </c>
      <c r="AN1043" s="135">
        <f t="shared" si="103"/>
        <v>45423000</v>
      </c>
      <c r="AO1043" s="136" t="s">
        <v>952</v>
      </c>
      <c r="AP1043" s="97"/>
      <c r="AQ1043" s="97"/>
      <c r="AR1043" s="97"/>
      <c r="AS1043" s="97"/>
      <c r="AT1043" s="97"/>
      <c r="AU1043" s="97"/>
    </row>
    <row r="1044" spans="1:47" ht="344.25" x14ac:dyDescent="0.2">
      <c r="A1044" s="128">
        <v>55</v>
      </c>
      <c r="B1044" s="128" t="s">
        <v>1156</v>
      </c>
      <c r="C1044" s="65" t="s">
        <v>941</v>
      </c>
      <c r="D1044" s="1" t="s">
        <v>942</v>
      </c>
      <c r="E1044" s="128" t="s">
        <v>971</v>
      </c>
      <c r="F1044" s="1" t="s">
        <v>511</v>
      </c>
      <c r="G1044" s="1" t="s">
        <v>512</v>
      </c>
      <c r="H1044" s="66" t="s">
        <v>944</v>
      </c>
      <c r="I1044" s="1" t="s">
        <v>54</v>
      </c>
      <c r="J1044" s="1" t="s">
        <v>55</v>
      </c>
      <c r="K1044" s="52">
        <v>801116</v>
      </c>
      <c r="L1044" s="52" t="s">
        <v>945</v>
      </c>
      <c r="M1044" s="128" t="s">
        <v>493</v>
      </c>
      <c r="N1044" s="128" t="s">
        <v>494</v>
      </c>
      <c r="O1044" s="53" t="s">
        <v>946</v>
      </c>
      <c r="P1044" s="128" t="s">
        <v>1157</v>
      </c>
      <c r="Q1044" s="126">
        <v>4120000</v>
      </c>
      <c r="R1044" s="129">
        <v>1</v>
      </c>
      <c r="S1044" s="126">
        <f t="shared" si="93"/>
        <v>47380000</v>
      </c>
      <c r="T1044" s="112" t="s">
        <v>1051</v>
      </c>
      <c r="U1044" s="112" t="s">
        <v>949</v>
      </c>
      <c r="V1044" s="132" t="s">
        <v>516</v>
      </c>
      <c r="W1044" s="112">
        <v>11.5</v>
      </c>
      <c r="X1044" s="133" t="s">
        <v>1158</v>
      </c>
      <c r="Y1044" s="125">
        <v>43104</v>
      </c>
      <c r="Z1044" s="127">
        <f t="shared" si="94"/>
        <v>47380000</v>
      </c>
      <c r="AA1044" s="133"/>
      <c r="AB1044" s="133">
        <v>298</v>
      </c>
      <c r="AC1044" s="134">
        <v>43109</v>
      </c>
      <c r="AD1044" s="126">
        <v>47380000</v>
      </c>
      <c r="AE1044" s="137">
        <f t="shared" si="100"/>
        <v>0</v>
      </c>
      <c r="AF1044" s="139">
        <v>304</v>
      </c>
      <c r="AG1044" s="134">
        <v>43122</v>
      </c>
      <c r="AH1044" s="135">
        <f t="shared" si="101"/>
        <v>47380000</v>
      </c>
      <c r="AI1044" s="136" t="s">
        <v>1159</v>
      </c>
      <c r="AJ1044" s="133">
        <v>278</v>
      </c>
      <c r="AK1044" s="97"/>
      <c r="AL1044" s="135">
        <f t="shared" si="104"/>
        <v>47380000</v>
      </c>
      <c r="AM1044" s="135">
        <v>21698667</v>
      </c>
      <c r="AN1044" s="135">
        <f>AL1044-AM1044</f>
        <v>25681333</v>
      </c>
      <c r="AO1044" s="136" t="s">
        <v>952</v>
      </c>
      <c r="AP1044" s="97"/>
      <c r="AQ1044" s="97"/>
      <c r="AR1044" s="97"/>
      <c r="AS1044" s="97"/>
      <c r="AT1044" s="97"/>
      <c r="AU1044" s="97"/>
    </row>
    <row r="1045" spans="1:47" ht="409.5" x14ac:dyDescent="0.2">
      <c r="A1045" s="128">
        <v>56</v>
      </c>
      <c r="B1045" s="128" t="s">
        <v>1160</v>
      </c>
      <c r="C1045" s="65" t="s">
        <v>941</v>
      </c>
      <c r="D1045" s="1" t="s">
        <v>942</v>
      </c>
      <c r="E1045" s="128" t="s">
        <v>971</v>
      </c>
      <c r="F1045" s="1" t="s">
        <v>511</v>
      </c>
      <c r="G1045" s="1" t="s">
        <v>512</v>
      </c>
      <c r="H1045" s="66" t="s">
        <v>944</v>
      </c>
      <c r="I1045" s="1" t="s">
        <v>54</v>
      </c>
      <c r="J1045" s="1" t="s">
        <v>55</v>
      </c>
      <c r="K1045" s="52">
        <v>801116</v>
      </c>
      <c r="L1045" s="52" t="s">
        <v>945</v>
      </c>
      <c r="M1045" s="128" t="s">
        <v>493</v>
      </c>
      <c r="N1045" s="128" t="s">
        <v>494</v>
      </c>
      <c r="O1045" s="53" t="s">
        <v>946</v>
      </c>
      <c r="P1045" s="128" t="s">
        <v>1096</v>
      </c>
      <c r="Q1045" s="126">
        <v>2472000</v>
      </c>
      <c r="R1045" s="129">
        <v>1</v>
      </c>
      <c r="S1045" s="126">
        <f t="shared" si="93"/>
        <v>28428000</v>
      </c>
      <c r="T1045" s="112" t="s">
        <v>1051</v>
      </c>
      <c r="U1045" s="112" t="s">
        <v>949</v>
      </c>
      <c r="V1045" s="132" t="s">
        <v>516</v>
      </c>
      <c r="W1045" s="112">
        <v>11.5</v>
      </c>
      <c r="X1045" s="133" t="s">
        <v>1161</v>
      </c>
      <c r="Y1045" s="125">
        <v>43104</v>
      </c>
      <c r="Z1045" s="127">
        <f t="shared" si="94"/>
        <v>28428000</v>
      </c>
      <c r="AA1045" s="133"/>
      <c r="AB1045" s="133">
        <v>299</v>
      </c>
      <c r="AC1045" s="134">
        <v>43109</v>
      </c>
      <c r="AD1045" s="126">
        <v>28428000</v>
      </c>
      <c r="AE1045" s="137">
        <f t="shared" si="100"/>
        <v>0</v>
      </c>
      <c r="AF1045" s="139">
        <v>195</v>
      </c>
      <c r="AG1045" s="134">
        <v>43118</v>
      </c>
      <c r="AH1045" s="135">
        <f t="shared" si="101"/>
        <v>28428000</v>
      </c>
      <c r="AI1045" s="136" t="s">
        <v>1162</v>
      </c>
      <c r="AJ1045" s="133">
        <v>183</v>
      </c>
      <c r="AK1045" s="97"/>
      <c r="AL1045" s="135">
        <f t="shared" si="104"/>
        <v>28428000</v>
      </c>
      <c r="AM1045" s="135">
        <v>13348800</v>
      </c>
      <c r="AN1045" s="135">
        <f t="shared" si="103"/>
        <v>15079200</v>
      </c>
      <c r="AO1045" s="136" t="s">
        <v>952</v>
      </c>
      <c r="AP1045" s="97"/>
      <c r="AQ1045" s="97"/>
      <c r="AR1045" s="97"/>
      <c r="AS1045" s="97"/>
      <c r="AT1045" s="97"/>
      <c r="AU1045" s="97"/>
    </row>
    <row r="1046" spans="1:47" ht="369.75" x14ac:dyDescent="0.2">
      <c r="A1046" s="128">
        <v>57</v>
      </c>
      <c r="B1046" s="128" t="s">
        <v>1163</v>
      </c>
      <c r="C1046" s="65" t="s">
        <v>941</v>
      </c>
      <c r="D1046" s="1" t="s">
        <v>942</v>
      </c>
      <c r="E1046" s="128" t="s">
        <v>971</v>
      </c>
      <c r="F1046" s="1" t="s">
        <v>511</v>
      </c>
      <c r="G1046" s="1" t="s">
        <v>512</v>
      </c>
      <c r="H1046" s="66" t="s">
        <v>944</v>
      </c>
      <c r="I1046" s="1" t="s">
        <v>54</v>
      </c>
      <c r="J1046" s="1" t="s">
        <v>55</v>
      </c>
      <c r="K1046" s="52">
        <v>801116</v>
      </c>
      <c r="L1046" s="52" t="s">
        <v>945</v>
      </c>
      <c r="M1046" s="128" t="s">
        <v>493</v>
      </c>
      <c r="N1046" s="128" t="s">
        <v>494</v>
      </c>
      <c r="O1046" s="53" t="s">
        <v>946</v>
      </c>
      <c r="P1046" s="128" t="s">
        <v>1106</v>
      </c>
      <c r="Q1046" s="126">
        <v>4120000</v>
      </c>
      <c r="R1046" s="129">
        <v>1</v>
      </c>
      <c r="S1046" s="126">
        <f t="shared" si="93"/>
        <v>47380000</v>
      </c>
      <c r="T1046" s="112" t="s">
        <v>1051</v>
      </c>
      <c r="U1046" s="112" t="s">
        <v>949</v>
      </c>
      <c r="V1046" s="132" t="s">
        <v>516</v>
      </c>
      <c r="W1046" s="112">
        <v>11.5</v>
      </c>
      <c r="X1046" s="133" t="s">
        <v>1164</v>
      </c>
      <c r="Y1046" s="125">
        <v>43104</v>
      </c>
      <c r="Z1046" s="127">
        <f t="shared" si="94"/>
        <v>47380000</v>
      </c>
      <c r="AA1046" s="133"/>
      <c r="AB1046" s="133">
        <v>300</v>
      </c>
      <c r="AC1046" s="134">
        <v>43109</v>
      </c>
      <c r="AD1046" s="126">
        <v>47380000</v>
      </c>
      <c r="AE1046" s="137">
        <f t="shared" si="100"/>
        <v>0</v>
      </c>
      <c r="AF1046" s="139">
        <v>272</v>
      </c>
      <c r="AG1046" s="134">
        <v>43122</v>
      </c>
      <c r="AH1046" s="135">
        <f t="shared" si="101"/>
        <v>47380000</v>
      </c>
      <c r="AI1046" s="136" t="s">
        <v>1165</v>
      </c>
      <c r="AJ1046" s="133">
        <v>242</v>
      </c>
      <c r="AK1046" s="97"/>
      <c r="AL1046" s="135">
        <f t="shared" si="104"/>
        <v>47380000</v>
      </c>
      <c r="AM1046" s="135">
        <v>21836000</v>
      </c>
      <c r="AN1046" s="135">
        <f t="shared" si="103"/>
        <v>25544000</v>
      </c>
      <c r="AO1046" s="136" t="s">
        <v>952</v>
      </c>
      <c r="AP1046" s="97"/>
      <c r="AQ1046" s="97"/>
      <c r="AR1046" s="97"/>
      <c r="AS1046" s="97"/>
      <c r="AT1046" s="97"/>
      <c r="AU1046" s="97"/>
    </row>
    <row r="1047" spans="1:47" ht="369.75" x14ac:dyDescent="0.2">
      <c r="A1047" s="128">
        <v>58</v>
      </c>
      <c r="B1047" s="128" t="s">
        <v>1166</v>
      </c>
      <c r="C1047" s="65" t="s">
        <v>941</v>
      </c>
      <c r="D1047" s="1" t="s">
        <v>942</v>
      </c>
      <c r="E1047" s="128" t="s">
        <v>971</v>
      </c>
      <c r="F1047" s="1" t="s">
        <v>511</v>
      </c>
      <c r="G1047" s="1" t="s">
        <v>512</v>
      </c>
      <c r="H1047" s="66" t="s">
        <v>944</v>
      </c>
      <c r="I1047" s="1" t="s">
        <v>54</v>
      </c>
      <c r="J1047" s="1" t="s">
        <v>55</v>
      </c>
      <c r="K1047" s="52">
        <v>801116</v>
      </c>
      <c r="L1047" s="52" t="s">
        <v>945</v>
      </c>
      <c r="M1047" s="128" t="s">
        <v>493</v>
      </c>
      <c r="N1047" s="128" t="s">
        <v>494</v>
      </c>
      <c r="O1047" s="53" t="s">
        <v>946</v>
      </c>
      <c r="P1047" s="128" t="s">
        <v>1106</v>
      </c>
      <c r="Q1047" s="126">
        <v>4120000</v>
      </c>
      <c r="R1047" s="129">
        <v>1</v>
      </c>
      <c r="S1047" s="126">
        <f t="shared" si="93"/>
        <v>47380000</v>
      </c>
      <c r="T1047" s="112" t="s">
        <v>1051</v>
      </c>
      <c r="U1047" s="112" t="s">
        <v>949</v>
      </c>
      <c r="V1047" s="132" t="s">
        <v>516</v>
      </c>
      <c r="W1047" s="112">
        <v>11.5</v>
      </c>
      <c r="X1047" s="133" t="s">
        <v>1167</v>
      </c>
      <c r="Y1047" s="125">
        <v>43104</v>
      </c>
      <c r="Z1047" s="127">
        <f t="shared" si="94"/>
        <v>47380000</v>
      </c>
      <c r="AA1047" s="133"/>
      <c r="AB1047" s="133">
        <v>301</v>
      </c>
      <c r="AC1047" s="134">
        <v>43109</v>
      </c>
      <c r="AD1047" s="126">
        <v>47380000</v>
      </c>
      <c r="AE1047" s="137">
        <f t="shared" si="100"/>
        <v>0</v>
      </c>
      <c r="AF1047" s="139">
        <v>276</v>
      </c>
      <c r="AG1047" s="134">
        <v>43122</v>
      </c>
      <c r="AH1047" s="135">
        <f t="shared" si="101"/>
        <v>47380000</v>
      </c>
      <c r="AI1047" s="136" t="s">
        <v>1168</v>
      </c>
      <c r="AJ1047" s="133">
        <v>246</v>
      </c>
      <c r="AK1047" s="97"/>
      <c r="AL1047" s="135">
        <f t="shared" si="104"/>
        <v>47380000</v>
      </c>
      <c r="AM1047" s="135">
        <v>21836000</v>
      </c>
      <c r="AN1047" s="135">
        <f t="shared" si="103"/>
        <v>25544000</v>
      </c>
      <c r="AO1047" s="136" t="s">
        <v>952</v>
      </c>
      <c r="AP1047" s="97"/>
      <c r="AQ1047" s="97"/>
      <c r="AR1047" s="97"/>
      <c r="AS1047" s="97"/>
      <c r="AT1047" s="97"/>
      <c r="AU1047" s="97"/>
    </row>
    <row r="1048" spans="1:47" ht="331.5" x14ac:dyDescent="0.2">
      <c r="A1048" s="128">
        <v>59</v>
      </c>
      <c r="B1048" s="128" t="s">
        <v>1169</v>
      </c>
      <c r="C1048" s="65" t="s">
        <v>941</v>
      </c>
      <c r="D1048" s="1" t="s">
        <v>942</v>
      </c>
      <c r="E1048" s="128" t="s">
        <v>971</v>
      </c>
      <c r="F1048" s="1" t="s">
        <v>511</v>
      </c>
      <c r="G1048" s="1" t="s">
        <v>512</v>
      </c>
      <c r="H1048" s="66" t="s">
        <v>944</v>
      </c>
      <c r="I1048" s="1" t="s">
        <v>54</v>
      </c>
      <c r="J1048" s="1" t="s">
        <v>55</v>
      </c>
      <c r="K1048" s="52">
        <v>801116</v>
      </c>
      <c r="L1048" s="52" t="s">
        <v>945</v>
      </c>
      <c r="M1048" s="128" t="s">
        <v>493</v>
      </c>
      <c r="N1048" s="128" t="s">
        <v>494</v>
      </c>
      <c r="O1048" s="53" t="s">
        <v>946</v>
      </c>
      <c r="P1048" s="128" t="s">
        <v>1170</v>
      </c>
      <c r="Q1048" s="126">
        <v>15420000</v>
      </c>
      <c r="R1048" s="129">
        <v>1</v>
      </c>
      <c r="S1048" s="126">
        <f t="shared" si="93"/>
        <v>177330000</v>
      </c>
      <c r="T1048" s="112" t="s">
        <v>1051</v>
      </c>
      <c r="U1048" s="112" t="s">
        <v>949</v>
      </c>
      <c r="V1048" s="132" t="s">
        <v>516</v>
      </c>
      <c r="W1048" s="112">
        <v>11.5</v>
      </c>
      <c r="X1048" s="133" t="s">
        <v>1171</v>
      </c>
      <c r="Y1048" s="125">
        <v>43104</v>
      </c>
      <c r="Z1048" s="127">
        <f t="shared" si="94"/>
        <v>177330000</v>
      </c>
      <c r="AA1048" s="133"/>
      <c r="AB1048" s="133">
        <v>302</v>
      </c>
      <c r="AC1048" s="134">
        <v>43109</v>
      </c>
      <c r="AD1048" s="126">
        <v>177330000</v>
      </c>
      <c r="AE1048" s="137">
        <f t="shared" si="100"/>
        <v>0</v>
      </c>
      <c r="AF1048" s="139">
        <v>244</v>
      </c>
      <c r="AG1048" s="134">
        <v>43119</v>
      </c>
      <c r="AH1048" s="135">
        <f t="shared" si="101"/>
        <v>177330000</v>
      </c>
      <c r="AI1048" s="136" t="s">
        <v>1172</v>
      </c>
      <c r="AJ1048" s="133">
        <v>217</v>
      </c>
      <c r="AK1048" s="97"/>
      <c r="AL1048" s="135">
        <f t="shared" si="104"/>
        <v>177330000</v>
      </c>
      <c r="AM1048" s="135">
        <v>83268000</v>
      </c>
      <c r="AN1048" s="135">
        <f t="shared" si="103"/>
        <v>94062000</v>
      </c>
      <c r="AO1048" s="136" t="s">
        <v>952</v>
      </c>
      <c r="AP1048" s="97"/>
      <c r="AQ1048" s="97"/>
      <c r="AR1048" s="97"/>
      <c r="AS1048" s="97"/>
      <c r="AT1048" s="97"/>
      <c r="AU1048" s="97"/>
    </row>
    <row r="1049" spans="1:47" ht="395.25" x14ac:dyDescent="0.2">
      <c r="A1049" s="128">
        <v>60</v>
      </c>
      <c r="B1049" s="128" t="s">
        <v>1173</v>
      </c>
      <c r="C1049" s="65" t="s">
        <v>941</v>
      </c>
      <c r="D1049" s="1" t="s">
        <v>942</v>
      </c>
      <c r="E1049" s="128" t="s">
        <v>971</v>
      </c>
      <c r="F1049" s="1" t="s">
        <v>511</v>
      </c>
      <c r="G1049" s="1" t="s">
        <v>512</v>
      </c>
      <c r="H1049" s="66" t="s">
        <v>944</v>
      </c>
      <c r="I1049" s="1" t="s">
        <v>54</v>
      </c>
      <c r="J1049" s="1" t="s">
        <v>55</v>
      </c>
      <c r="K1049" s="52">
        <v>801116</v>
      </c>
      <c r="L1049" s="52" t="s">
        <v>945</v>
      </c>
      <c r="M1049" s="128" t="s">
        <v>493</v>
      </c>
      <c r="N1049" s="128" t="s">
        <v>494</v>
      </c>
      <c r="O1049" s="53" t="s">
        <v>946</v>
      </c>
      <c r="P1049" s="128" t="s">
        <v>1174</v>
      </c>
      <c r="Q1049" s="126">
        <v>1751000</v>
      </c>
      <c r="R1049" s="129">
        <v>1</v>
      </c>
      <c r="S1049" s="126">
        <f t="shared" si="93"/>
        <v>20136500</v>
      </c>
      <c r="T1049" s="112" t="s">
        <v>1051</v>
      </c>
      <c r="U1049" s="112" t="s">
        <v>949</v>
      </c>
      <c r="V1049" s="132" t="s">
        <v>516</v>
      </c>
      <c r="W1049" s="112">
        <v>11.5</v>
      </c>
      <c r="X1049" s="133" t="s">
        <v>1175</v>
      </c>
      <c r="Y1049" s="125">
        <v>43104</v>
      </c>
      <c r="Z1049" s="127">
        <f t="shared" si="94"/>
        <v>20136500</v>
      </c>
      <c r="AA1049" s="133"/>
      <c r="AB1049" s="133">
        <v>303</v>
      </c>
      <c r="AC1049" s="134">
        <v>43109</v>
      </c>
      <c r="AD1049" s="126">
        <v>20136500</v>
      </c>
      <c r="AE1049" s="137">
        <f t="shared" si="100"/>
        <v>0</v>
      </c>
      <c r="AF1049" s="139">
        <v>388</v>
      </c>
      <c r="AG1049" s="134">
        <v>43124</v>
      </c>
      <c r="AH1049" s="135">
        <f t="shared" si="101"/>
        <v>20136500</v>
      </c>
      <c r="AI1049" s="136" t="s">
        <v>1176</v>
      </c>
      <c r="AJ1049" s="133">
        <v>311</v>
      </c>
      <c r="AK1049" s="97"/>
      <c r="AL1049" s="135">
        <f t="shared" si="104"/>
        <v>20136500</v>
      </c>
      <c r="AM1049" s="135">
        <v>9105200</v>
      </c>
      <c r="AN1049" s="135">
        <f t="shared" si="103"/>
        <v>11031300</v>
      </c>
      <c r="AO1049" s="136" t="s">
        <v>952</v>
      </c>
      <c r="AP1049" s="97"/>
      <c r="AQ1049" s="97"/>
      <c r="AR1049" s="97"/>
      <c r="AS1049" s="97"/>
      <c r="AT1049" s="97"/>
      <c r="AU1049" s="97"/>
    </row>
    <row r="1050" spans="1:47" ht="409.5" x14ac:dyDescent="0.2">
      <c r="A1050" s="128">
        <v>61</v>
      </c>
      <c r="B1050" s="128" t="s">
        <v>1177</v>
      </c>
      <c r="C1050" s="65" t="s">
        <v>941</v>
      </c>
      <c r="D1050" s="1" t="s">
        <v>942</v>
      </c>
      <c r="E1050" s="128" t="s">
        <v>971</v>
      </c>
      <c r="F1050" s="1" t="s">
        <v>511</v>
      </c>
      <c r="G1050" s="1" t="s">
        <v>512</v>
      </c>
      <c r="H1050" s="66" t="s">
        <v>944</v>
      </c>
      <c r="I1050" s="1" t="s">
        <v>54</v>
      </c>
      <c r="J1050" s="1" t="s">
        <v>55</v>
      </c>
      <c r="K1050" s="52">
        <v>801116</v>
      </c>
      <c r="L1050" s="52" t="s">
        <v>945</v>
      </c>
      <c r="M1050" s="128" t="s">
        <v>493</v>
      </c>
      <c r="N1050" s="128" t="s">
        <v>494</v>
      </c>
      <c r="O1050" s="53" t="s">
        <v>946</v>
      </c>
      <c r="P1050" s="128" t="s">
        <v>976</v>
      </c>
      <c r="Q1050" s="126">
        <v>5665000</v>
      </c>
      <c r="R1050" s="129">
        <v>1</v>
      </c>
      <c r="S1050" s="126">
        <f t="shared" si="93"/>
        <v>65147500</v>
      </c>
      <c r="T1050" s="112" t="s">
        <v>1051</v>
      </c>
      <c r="U1050" s="112" t="s">
        <v>949</v>
      </c>
      <c r="V1050" s="132" t="s">
        <v>516</v>
      </c>
      <c r="W1050" s="112">
        <v>11.5</v>
      </c>
      <c r="X1050" s="133" t="s">
        <v>1178</v>
      </c>
      <c r="Y1050" s="125">
        <v>43104</v>
      </c>
      <c r="Z1050" s="127">
        <f t="shared" si="94"/>
        <v>65147500</v>
      </c>
      <c r="AA1050" s="133"/>
      <c r="AB1050" s="133">
        <v>304</v>
      </c>
      <c r="AC1050" s="134">
        <v>43109</v>
      </c>
      <c r="AD1050" s="126">
        <v>65147500</v>
      </c>
      <c r="AE1050" s="137">
        <f t="shared" si="100"/>
        <v>0</v>
      </c>
      <c r="AF1050" s="139">
        <v>315</v>
      </c>
      <c r="AG1050" s="134">
        <v>43122</v>
      </c>
      <c r="AH1050" s="135">
        <f t="shared" si="101"/>
        <v>65147500</v>
      </c>
      <c r="AI1050" s="136" t="s">
        <v>1179</v>
      </c>
      <c r="AJ1050" s="133">
        <v>275</v>
      </c>
      <c r="AK1050" s="97"/>
      <c r="AL1050" s="135">
        <f t="shared" si="104"/>
        <v>65147500</v>
      </c>
      <c r="AM1050" s="135">
        <v>29835667</v>
      </c>
      <c r="AN1050" s="135">
        <f t="shared" si="103"/>
        <v>35311833</v>
      </c>
      <c r="AO1050" s="136" t="s">
        <v>952</v>
      </c>
      <c r="AP1050" s="97"/>
      <c r="AQ1050" s="97"/>
      <c r="AR1050" s="97"/>
      <c r="AS1050" s="97"/>
      <c r="AT1050" s="97"/>
      <c r="AU1050" s="97"/>
    </row>
    <row r="1051" spans="1:47" ht="409.5" x14ac:dyDescent="0.2">
      <c r="A1051" s="128">
        <v>62</v>
      </c>
      <c r="B1051" s="128" t="s">
        <v>1180</v>
      </c>
      <c r="C1051" s="65" t="s">
        <v>941</v>
      </c>
      <c r="D1051" s="1" t="s">
        <v>942</v>
      </c>
      <c r="E1051" s="128" t="s">
        <v>971</v>
      </c>
      <c r="F1051" s="1" t="s">
        <v>511</v>
      </c>
      <c r="G1051" s="1" t="s">
        <v>512</v>
      </c>
      <c r="H1051" s="66" t="s">
        <v>944</v>
      </c>
      <c r="I1051" s="1" t="s">
        <v>54</v>
      </c>
      <c r="J1051" s="1" t="s">
        <v>55</v>
      </c>
      <c r="K1051" s="52">
        <v>801116</v>
      </c>
      <c r="L1051" s="52" t="s">
        <v>945</v>
      </c>
      <c r="M1051" s="128" t="s">
        <v>493</v>
      </c>
      <c r="N1051" s="128" t="s">
        <v>494</v>
      </c>
      <c r="O1051" s="53" t="s">
        <v>946</v>
      </c>
      <c r="P1051" s="128" t="s">
        <v>1181</v>
      </c>
      <c r="Q1051" s="126">
        <v>5665000</v>
      </c>
      <c r="R1051" s="129">
        <v>1</v>
      </c>
      <c r="S1051" s="126">
        <f t="shared" si="93"/>
        <v>65147500</v>
      </c>
      <c r="T1051" s="112" t="s">
        <v>1051</v>
      </c>
      <c r="U1051" s="112" t="s">
        <v>949</v>
      </c>
      <c r="V1051" s="132" t="s">
        <v>516</v>
      </c>
      <c r="W1051" s="112">
        <v>11.5</v>
      </c>
      <c r="X1051" s="133" t="s">
        <v>1182</v>
      </c>
      <c r="Y1051" s="125">
        <v>43104</v>
      </c>
      <c r="Z1051" s="127">
        <f t="shared" si="94"/>
        <v>65147500</v>
      </c>
      <c r="AA1051" s="133"/>
      <c r="AB1051" s="133">
        <v>305</v>
      </c>
      <c r="AC1051" s="134">
        <v>43109</v>
      </c>
      <c r="AD1051" s="126">
        <v>65147500</v>
      </c>
      <c r="AE1051" s="137">
        <f t="shared" si="100"/>
        <v>0</v>
      </c>
      <c r="AF1051" s="139">
        <v>393</v>
      </c>
      <c r="AG1051" s="134">
        <v>43124</v>
      </c>
      <c r="AH1051" s="135">
        <f t="shared" si="101"/>
        <v>65147500</v>
      </c>
      <c r="AI1051" s="136" t="s">
        <v>1183</v>
      </c>
      <c r="AJ1051" s="133">
        <v>315</v>
      </c>
      <c r="AK1051" s="97"/>
      <c r="AL1051" s="135">
        <f t="shared" si="104"/>
        <v>65147500</v>
      </c>
      <c r="AM1051" s="135">
        <v>29458000</v>
      </c>
      <c r="AN1051" s="135">
        <f t="shared" si="103"/>
        <v>35689500</v>
      </c>
      <c r="AO1051" s="136" t="s">
        <v>952</v>
      </c>
      <c r="AP1051" s="97"/>
      <c r="AQ1051" s="97"/>
      <c r="AR1051" s="97"/>
      <c r="AS1051" s="97"/>
      <c r="AT1051" s="97"/>
      <c r="AU1051" s="97"/>
    </row>
    <row r="1052" spans="1:47" ht="409.5" x14ac:dyDescent="0.2">
      <c r="A1052" s="128">
        <v>63</v>
      </c>
      <c r="B1052" s="128" t="s">
        <v>1184</v>
      </c>
      <c r="C1052" s="65" t="s">
        <v>941</v>
      </c>
      <c r="D1052" s="1" t="s">
        <v>942</v>
      </c>
      <c r="E1052" s="128" t="s">
        <v>971</v>
      </c>
      <c r="F1052" s="1" t="s">
        <v>511</v>
      </c>
      <c r="G1052" s="1" t="s">
        <v>512</v>
      </c>
      <c r="H1052" s="66" t="s">
        <v>944</v>
      </c>
      <c r="I1052" s="1" t="s">
        <v>54</v>
      </c>
      <c r="J1052" s="1" t="s">
        <v>55</v>
      </c>
      <c r="K1052" s="52">
        <v>801116</v>
      </c>
      <c r="L1052" s="52" t="s">
        <v>945</v>
      </c>
      <c r="M1052" s="128" t="s">
        <v>493</v>
      </c>
      <c r="N1052" s="128" t="s">
        <v>494</v>
      </c>
      <c r="O1052" s="53" t="s">
        <v>946</v>
      </c>
      <c r="P1052" s="128" t="s">
        <v>1185</v>
      </c>
      <c r="Q1052" s="126">
        <v>3326900</v>
      </c>
      <c r="R1052" s="129">
        <v>1</v>
      </c>
      <c r="S1052" s="126">
        <f t="shared" si="93"/>
        <v>38259350</v>
      </c>
      <c r="T1052" s="112" t="s">
        <v>1051</v>
      </c>
      <c r="U1052" s="112" t="s">
        <v>949</v>
      </c>
      <c r="V1052" s="132" t="s">
        <v>516</v>
      </c>
      <c r="W1052" s="112">
        <v>11.5</v>
      </c>
      <c r="X1052" s="133" t="s">
        <v>1186</v>
      </c>
      <c r="Y1052" s="125">
        <v>43104</v>
      </c>
      <c r="Z1052" s="127">
        <f t="shared" si="94"/>
        <v>38259350</v>
      </c>
      <c r="AA1052" s="133"/>
      <c r="AB1052" s="133">
        <v>306</v>
      </c>
      <c r="AC1052" s="134">
        <v>43109</v>
      </c>
      <c r="AD1052" s="126">
        <v>38259350</v>
      </c>
      <c r="AE1052" s="137">
        <f t="shared" si="100"/>
        <v>0</v>
      </c>
      <c r="AF1052" s="139">
        <v>314</v>
      </c>
      <c r="AG1052" s="134">
        <v>43122</v>
      </c>
      <c r="AH1052" s="135">
        <f t="shared" si="101"/>
        <v>38259350</v>
      </c>
      <c r="AI1052" s="136" t="s">
        <v>1187</v>
      </c>
      <c r="AJ1052" s="133">
        <v>274</v>
      </c>
      <c r="AK1052" s="97"/>
      <c r="AL1052" s="135">
        <f t="shared" si="104"/>
        <v>38259350</v>
      </c>
      <c r="AM1052" s="135">
        <v>17521674</v>
      </c>
      <c r="AN1052" s="135">
        <f t="shared" si="103"/>
        <v>20737676</v>
      </c>
      <c r="AO1052" s="136" t="s">
        <v>952</v>
      </c>
      <c r="AP1052" s="97"/>
      <c r="AQ1052" s="97"/>
      <c r="AR1052" s="97"/>
      <c r="AS1052" s="97"/>
      <c r="AT1052" s="97"/>
      <c r="AU1052" s="97"/>
    </row>
    <row r="1053" spans="1:47" ht="357" x14ac:dyDescent="0.2">
      <c r="A1053" s="128">
        <v>64</v>
      </c>
      <c r="B1053" s="128" t="s">
        <v>1188</v>
      </c>
      <c r="C1053" s="65" t="s">
        <v>941</v>
      </c>
      <c r="D1053" s="1" t="s">
        <v>942</v>
      </c>
      <c r="E1053" s="128" t="s">
        <v>943</v>
      </c>
      <c r="F1053" s="1" t="s">
        <v>511</v>
      </c>
      <c r="G1053" s="1" t="s">
        <v>512</v>
      </c>
      <c r="H1053" s="66" t="s">
        <v>944</v>
      </c>
      <c r="I1053" s="1" t="s">
        <v>54</v>
      </c>
      <c r="J1053" s="1" t="s">
        <v>55</v>
      </c>
      <c r="K1053" s="52">
        <v>801116</v>
      </c>
      <c r="L1053" s="52" t="s">
        <v>945</v>
      </c>
      <c r="M1053" s="128" t="s">
        <v>493</v>
      </c>
      <c r="N1053" s="128" t="s">
        <v>494</v>
      </c>
      <c r="O1053" s="53" t="s">
        <v>946</v>
      </c>
      <c r="P1053" s="128" t="s">
        <v>1189</v>
      </c>
      <c r="Q1053" s="126">
        <v>1751000</v>
      </c>
      <c r="R1053" s="129">
        <v>1</v>
      </c>
      <c r="S1053" s="130">
        <f t="shared" si="93"/>
        <v>20136500</v>
      </c>
      <c r="T1053" s="112" t="s">
        <v>1051</v>
      </c>
      <c r="U1053" s="112" t="s">
        <v>949</v>
      </c>
      <c r="V1053" s="132" t="s">
        <v>516</v>
      </c>
      <c r="W1053" s="112">
        <v>11.5</v>
      </c>
      <c r="X1053" s="133" t="s">
        <v>1190</v>
      </c>
      <c r="Y1053" s="125">
        <v>43104</v>
      </c>
      <c r="Z1053" s="127">
        <f t="shared" si="94"/>
        <v>20136500</v>
      </c>
      <c r="AA1053" s="133"/>
      <c r="AB1053" s="133">
        <v>307</v>
      </c>
      <c r="AC1053" s="134">
        <v>43109</v>
      </c>
      <c r="AD1053" s="126">
        <v>20136500</v>
      </c>
      <c r="AE1053" s="137">
        <f t="shared" si="100"/>
        <v>0</v>
      </c>
      <c r="AF1053" s="139">
        <v>498</v>
      </c>
      <c r="AG1053" s="134">
        <v>43126</v>
      </c>
      <c r="AH1053" s="135">
        <f t="shared" si="101"/>
        <v>20136500</v>
      </c>
      <c r="AI1053" s="136" t="s">
        <v>1191</v>
      </c>
      <c r="AJ1053" s="133">
        <v>421</v>
      </c>
      <c r="AK1053" s="97"/>
      <c r="AL1053" s="135">
        <f t="shared" si="104"/>
        <v>20136500</v>
      </c>
      <c r="AM1053" s="135">
        <v>8871733</v>
      </c>
      <c r="AN1053" s="135">
        <f t="shared" si="103"/>
        <v>11264767</v>
      </c>
      <c r="AO1053" s="136" t="s">
        <v>952</v>
      </c>
      <c r="AP1053" s="97"/>
      <c r="AQ1053" s="97"/>
      <c r="AR1053" s="97"/>
      <c r="AS1053" s="97"/>
      <c r="AT1053" s="97"/>
      <c r="AU1053" s="97"/>
    </row>
    <row r="1054" spans="1:47" ht="409.5" x14ac:dyDescent="0.2">
      <c r="A1054" s="128">
        <v>65</v>
      </c>
      <c r="B1054" s="128" t="s">
        <v>1192</v>
      </c>
      <c r="C1054" s="65" t="s">
        <v>941</v>
      </c>
      <c r="D1054" s="1" t="s">
        <v>942</v>
      </c>
      <c r="E1054" s="128" t="s">
        <v>943</v>
      </c>
      <c r="F1054" s="1" t="s">
        <v>511</v>
      </c>
      <c r="G1054" s="1" t="s">
        <v>512</v>
      </c>
      <c r="H1054" s="66" t="s">
        <v>944</v>
      </c>
      <c r="I1054" s="1" t="s">
        <v>54</v>
      </c>
      <c r="J1054" s="1" t="s">
        <v>55</v>
      </c>
      <c r="K1054" s="52">
        <v>801116</v>
      </c>
      <c r="L1054" s="52" t="s">
        <v>945</v>
      </c>
      <c r="M1054" s="128" t="s">
        <v>493</v>
      </c>
      <c r="N1054" s="128" t="s">
        <v>494</v>
      </c>
      <c r="O1054" s="53" t="s">
        <v>946</v>
      </c>
      <c r="P1054" s="128" t="s">
        <v>1193</v>
      </c>
      <c r="Q1054" s="126">
        <v>8240000</v>
      </c>
      <c r="R1054" s="129">
        <v>1</v>
      </c>
      <c r="S1054" s="130">
        <f t="shared" si="93"/>
        <v>94760000</v>
      </c>
      <c r="T1054" s="112" t="s">
        <v>1051</v>
      </c>
      <c r="U1054" s="112" t="s">
        <v>949</v>
      </c>
      <c r="V1054" s="132" t="s">
        <v>516</v>
      </c>
      <c r="W1054" s="112">
        <v>11.5</v>
      </c>
      <c r="X1054" s="133" t="s">
        <v>1194</v>
      </c>
      <c r="Y1054" s="125">
        <v>43104</v>
      </c>
      <c r="Z1054" s="127">
        <f t="shared" si="94"/>
        <v>94760000</v>
      </c>
      <c r="AA1054" s="133"/>
      <c r="AB1054" s="133">
        <v>308</v>
      </c>
      <c r="AC1054" s="134">
        <v>43109</v>
      </c>
      <c r="AD1054" s="126">
        <v>94760000</v>
      </c>
      <c r="AE1054" s="137">
        <f t="shared" si="100"/>
        <v>0</v>
      </c>
      <c r="AF1054" s="139">
        <v>463</v>
      </c>
      <c r="AG1054" s="134">
        <v>43126</v>
      </c>
      <c r="AH1054" s="135">
        <f t="shared" si="101"/>
        <v>94760000</v>
      </c>
      <c r="AI1054" s="136" t="s">
        <v>1195</v>
      </c>
      <c r="AJ1054" s="133">
        <v>390</v>
      </c>
      <c r="AK1054" s="97"/>
      <c r="AL1054" s="135">
        <f t="shared" si="104"/>
        <v>94760000</v>
      </c>
      <c r="AM1054" s="135">
        <v>41749334</v>
      </c>
      <c r="AN1054" s="135">
        <f t="shared" si="103"/>
        <v>53010666</v>
      </c>
      <c r="AO1054" s="136" t="s">
        <v>952</v>
      </c>
      <c r="AP1054" s="97"/>
      <c r="AQ1054" s="97"/>
      <c r="AR1054" s="97"/>
      <c r="AS1054" s="97"/>
      <c r="AT1054" s="97"/>
      <c r="AU1054" s="97"/>
    </row>
    <row r="1055" spans="1:47" ht="229.5" x14ac:dyDescent="0.2">
      <c r="A1055" s="128">
        <v>66</v>
      </c>
      <c r="B1055" s="128" t="s">
        <v>1196</v>
      </c>
      <c r="C1055" s="65" t="s">
        <v>941</v>
      </c>
      <c r="D1055" s="1" t="s">
        <v>942</v>
      </c>
      <c r="E1055" s="128" t="s">
        <v>971</v>
      </c>
      <c r="F1055" s="1" t="s">
        <v>511</v>
      </c>
      <c r="G1055" s="1" t="s">
        <v>512</v>
      </c>
      <c r="H1055" s="66" t="s">
        <v>944</v>
      </c>
      <c r="I1055" s="1" t="s">
        <v>54</v>
      </c>
      <c r="J1055" s="1" t="s">
        <v>55</v>
      </c>
      <c r="K1055" s="52">
        <v>801116</v>
      </c>
      <c r="L1055" s="52" t="s">
        <v>945</v>
      </c>
      <c r="M1055" s="128" t="s">
        <v>493</v>
      </c>
      <c r="N1055" s="128" t="s">
        <v>494</v>
      </c>
      <c r="O1055" s="53" t="s">
        <v>946</v>
      </c>
      <c r="P1055" s="128" t="s">
        <v>1197</v>
      </c>
      <c r="Q1055" s="126">
        <v>2472000</v>
      </c>
      <c r="R1055" s="129">
        <v>1</v>
      </c>
      <c r="S1055" s="126">
        <f t="shared" ref="S1055:S1078" si="105">+Q1055*R1055*W1055</f>
        <v>28428000</v>
      </c>
      <c r="T1055" s="112" t="s">
        <v>1051</v>
      </c>
      <c r="U1055" s="112" t="s">
        <v>949</v>
      </c>
      <c r="V1055" s="132" t="s">
        <v>516</v>
      </c>
      <c r="W1055" s="112">
        <v>11.5</v>
      </c>
      <c r="X1055" s="133" t="s">
        <v>1198</v>
      </c>
      <c r="Y1055" s="125">
        <v>43104</v>
      </c>
      <c r="Z1055" s="127">
        <f t="shared" ref="Z1055:Z1095" si="106">S1055</f>
        <v>28428000</v>
      </c>
      <c r="AA1055" s="133"/>
      <c r="AB1055" s="133">
        <v>309</v>
      </c>
      <c r="AC1055" s="134">
        <v>43109</v>
      </c>
      <c r="AD1055" s="126">
        <v>28428000</v>
      </c>
      <c r="AE1055" s="137">
        <f t="shared" si="100"/>
        <v>0</v>
      </c>
      <c r="AF1055" s="139">
        <v>491</v>
      </c>
      <c r="AG1055" s="134">
        <v>43126</v>
      </c>
      <c r="AH1055" s="135">
        <f t="shared" si="101"/>
        <v>28428000</v>
      </c>
      <c r="AI1055" s="136" t="s">
        <v>1199</v>
      </c>
      <c r="AJ1055" s="133">
        <v>422</v>
      </c>
      <c r="AK1055" s="97"/>
      <c r="AL1055" s="135">
        <f t="shared" si="104"/>
        <v>28428000</v>
      </c>
      <c r="AM1055" s="135">
        <v>12360000</v>
      </c>
      <c r="AN1055" s="135">
        <f t="shared" si="103"/>
        <v>16068000</v>
      </c>
      <c r="AO1055" s="136" t="s">
        <v>952</v>
      </c>
      <c r="AP1055" s="97"/>
      <c r="AQ1055" s="97"/>
      <c r="AR1055" s="97"/>
      <c r="AS1055" s="97"/>
      <c r="AT1055" s="97"/>
      <c r="AU1055" s="97"/>
    </row>
    <row r="1056" spans="1:47" ht="357" x14ac:dyDescent="0.2">
      <c r="A1056" s="128">
        <v>67</v>
      </c>
      <c r="B1056" s="128" t="s">
        <v>1200</v>
      </c>
      <c r="C1056" s="65" t="s">
        <v>941</v>
      </c>
      <c r="D1056" s="1" t="s">
        <v>942</v>
      </c>
      <c r="E1056" s="128" t="s">
        <v>971</v>
      </c>
      <c r="F1056" s="1" t="s">
        <v>511</v>
      </c>
      <c r="G1056" s="1" t="s">
        <v>512</v>
      </c>
      <c r="H1056" s="66" t="s">
        <v>944</v>
      </c>
      <c r="I1056" s="1" t="s">
        <v>54</v>
      </c>
      <c r="J1056" s="1" t="s">
        <v>55</v>
      </c>
      <c r="K1056" s="52">
        <v>801116</v>
      </c>
      <c r="L1056" s="52" t="s">
        <v>945</v>
      </c>
      <c r="M1056" s="128" t="s">
        <v>493</v>
      </c>
      <c r="N1056" s="128" t="s">
        <v>494</v>
      </c>
      <c r="O1056" s="53" t="s">
        <v>946</v>
      </c>
      <c r="P1056" s="128" t="s">
        <v>1201</v>
      </c>
      <c r="Q1056" s="126">
        <v>6695000</v>
      </c>
      <c r="R1056" s="129">
        <v>1</v>
      </c>
      <c r="S1056" s="126">
        <f t="shared" si="105"/>
        <v>76992500</v>
      </c>
      <c r="T1056" s="112" t="s">
        <v>1051</v>
      </c>
      <c r="U1056" s="112" t="s">
        <v>949</v>
      </c>
      <c r="V1056" s="132" t="s">
        <v>516</v>
      </c>
      <c r="W1056" s="112">
        <v>11.5</v>
      </c>
      <c r="X1056" s="133" t="s">
        <v>1202</v>
      </c>
      <c r="Y1056" s="125">
        <v>43104</v>
      </c>
      <c r="Z1056" s="127">
        <f t="shared" si="106"/>
        <v>76992500</v>
      </c>
      <c r="AA1056" s="133"/>
      <c r="AB1056" s="133">
        <v>259</v>
      </c>
      <c r="AC1056" s="134">
        <v>43105</v>
      </c>
      <c r="AD1056" s="126">
        <v>76992500</v>
      </c>
      <c r="AE1056" s="137">
        <f t="shared" si="100"/>
        <v>0</v>
      </c>
      <c r="AF1056" s="139">
        <v>492</v>
      </c>
      <c r="AG1056" s="134">
        <v>43126</v>
      </c>
      <c r="AH1056" s="135">
        <f t="shared" si="101"/>
        <v>76992500</v>
      </c>
      <c r="AI1056" s="136" t="s">
        <v>1203</v>
      </c>
      <c r="AJ1056" s="133">
        <v>417</v>
      </c>
      <c r="AK1056" s="97"/>
      <c r="AL1056" s="135">
        <f t="shared" si="104"/>
        <v>76992500</v>
      </c>
      <c r="AM1056" s="135">
        <v>33921333</v>
      </c>
      <c r="AN1056" s="135">
        <f t="shared" si="103"/>
        <v>43071167</v>
      </c>
      <c r="AO1056" s="136" t="s">
        <v>952</v>
      </c>
      <c r="AP1056" s="97"/>
      <c r="AQ1056" s="97"/>
      <c r="AR1056" s="97"/>
      <c r="AS1056" s="97"/>
      <c r="AT1056" s="97"/>
      <c r="AU1056" s="97"/>
    </row>
    <row r="1057" spans="1:47" ht="255" x14ac:dyDescent="0.2">
      <c r="A1057" s="128">
        <v>68</v>
      </c>
      <c r="B1057" s="128" t="s">
        <v>1204</v>
      </c>
      <c r="C1057" s="65" t="s">
        <v>941</v>
      </c>
      <c r="D1057" s="1" t="s">
        <v>942</v>
      </c>
      <c r="E1057" s="128" t="s">
        <v>971</v>
      </c>
      <c r="F1057" s="1" t="s">
        <v>511</v>
      </c>
      <c r="G1057" s="1" t="s">
        <v>512</v>
      </c>
      <c r="H1057" s="66" t="s">
        <v>944</v>
      </c>
      <c r="I1057" s="1" t="s">
        <v>54</v>
      </c>
      <c r="J1057" s="1" t="s">
        <v>55</v>
      </c>
      <c r="K1057" s="52">
        <v>801116</v>
      </c>
      <c r="L1057" s="52" t="s">
        <v>945</v>
      </c>
      <c r="M1057" s="128" t="s">
        <v>493</v>
      </c>
      <c r="N1057" s="128" t="s">
        <v>494</v>
      </c>
      <c r="O1057" s="53" t="s">
        <v>946</v>
      </c>
      <c r="P1057" s="128" t="s">
        <v>1205</v>
      </c>
      <c r="Q1057" s="126">
        <v>2060000</v>
      </c>
      <c r="R1057" s="129">
        <v>1</v>
      </c>
      <c r="S1057" s="126">
        <f t="shared" si="105"/>
        <v>23690000</v>
      </c>
      <c r="T1057" s="112" t="s">
        <v>1051</v>
      </c>
      <c r="U1057" s="112" t="s">
        <v>949</v>
      </c>
      <c r="V1057" s="132" t="s">
        <v>516</v>
      </c>
      <c r="W1057" s="112">
        <v>11.5</v>
      </c>
      <c r="X1057" s="133" t="s">
        <v>1206</v>
      </c>
      <c r="Y1057" s="125">
        <v>43104</v>
      </c>
      <c r="Z1057" s="127">
        <f t="shared" si="106"/>
        <v>23690000</v>
      </c>
      <c r="AA1057" s="133"/>
      <c r="AB1057" s="133">
        <v>260</v>
      </c>
      <c r="AC1057" s="134">
        <v>43105</v>
      </c>
      <c r="AD1057" s="126">
        <v>23690000</v>
      </c>
      <c r="AE1057" s="137">
        <f t="shared" si="100"/>
        <v>0</v>
      </c>
      <c r="AF1057" s="139">
        <v>149</v>
      </c>
      <c r="AG1057" s="134">
        <v>43117</v>
      </c>
      <c r="AH1057" s="135">
        <f t="shared" si="101"/>
        <v>23690000</v>
      </c>
      <c r="AI1057" s="136" t="s">
        <v>614</v>
      </c>
      <c r="AJ1057" s="133">
        <v>155</v>
      </c>
      <c r="AK1057" s="97"/>
      <c r="AL1057" s="135">
        <f t="shared" si="104"/>
        <v>23690000</v>
      </c>
      <c r="AM1057" s="135">
        <v>11192666</v>
      </c>
      <c r="AN1057" s="135">
        <f t="shared" si="103"/>
        <v>12497334</v>
      </c>
      <c r="AO1057" s="136" t="s">
        <v>952</v>
      </c>
      <c r="AP1057" s="97"/>
      <c r="AQ1057" s="97"/>
      <c r="AR1057" s="97"/>
      <c r="AS1057" s="97"/>
      <c r="AT1057" s="97"/>
      <c r="AU1057" s="97"/>
    </row>
    <row r="1058" spans="1:47" ht="242.25" x14ac:dyDescent="0.2">
      <c r="A1058" s="128">
        <v>69</v>
      </c>
      <c r="B1058" s="128" t="s">
        <v>1207</v>
      </c>
      <c r="C1058" s="65" t="s">
        <v>941</v>
      </c>
      <c r="D1058" s="1" t="s">
        <v>942</v>
      </c>
      <c r="E1058" s="128" t="s">
        <v>943</v>
      </c>
      <c r="F1058" s="1" t="s">
        <v>511</v>
      </c>
      <c r="G1058" s="1" t="s">
        <v>512</v>
      </c>
      <c r="H1058" s="66" t="s">
        <v>944</v>
      </c>
      <c r="I1058" s="1" t="s">
        <v>54</v>
      </c>
      <c r="J1058" s="1" t="s">
        <v>55</v>
      </c>
      <c r="K1058" s="52">
        <v>801116</v>
      </c>
      <c r="L1058" s="52" t="s">
        <v>945</v>
      </c>
      <c r="M1058" s="128" t="s">
        <v>493</v>
      </c>
      <c r="N1058" s="128" t="s">
        <v>494</v>
      </c>
      <c r="O1058" s="53" t="s">
        <v>946</v>
      </c>
      <c r="P1058" s="128" t="s">
        <v>1208</v>
      </c>
      <c r="Q1058" s="126">
        <v>4532000</v>
      </c>
      <c r="R1058" s="129">
        <v>1</v>
      </c>
      <c r="S1058" s="130">
        <f t="shared" si="105"/>
        <v>52118000</v>
      </c>
      <c r="T1058" s="112" t="s">
        <v>1051</v>
      </c>
      <c r="U1058" s="112" t="s">
        <v>949</v>
      </c>
      <c r="V1058" s="132" t="s">
        <v>516</v>
      </c>
      <c r="W1058" s="112">
        <v>11.5</v>
      </c>
      <c r="X1058" s="133" t="s">
        <v>1209</v>
      </c>
      <c r="Y1058" s="125">
        <v>43104</v>
      </c>
      <c r="Z1058" s="127">
        <f t="shared" si="106"/>
        <v>52118000</v>
      </c>
      <c r="AA1058" s="133"/>
      <c r="AB1058" s="133">
        <v>261</v>
      </c>
      <c r="AC1058" s="134">
        <v>43109</v>
      </c>
      <c r="AD1058" s="126">
        <v>52118000</v>
      </c>
      <c r="AE1058" s="137">
        <f t="shared" si="100"/>
        <v>0</v>
      </c>
      <c r="AF1058" s="139">
        <v>354</v>
      </c>
      <c r="AG1058" s="134">
        <v>43123</v>
      </c>
      <c r="AH1058" s="135">
        <f t="shared" si="101"/>
        <v>52118000</v>
      </c>
      <c r="AI1058" s="136" t="s">
        <v>1210</v>
      </c>
      <c r="AJ1058" s="133">
        <v>299</v>
      </c>
      <c r="AK1058" s="97"/>
      <c r="AL1058" s="135">
        <f t="shared" si="104"/>
        <v>52118000</v>
      </c>
      <c r="AM1058" s="135">
        <v>23566400</v>
      </c>
      <c r="AN1058" s="135">
        <f t="shared" si="103"/>
        <v>28551600</v>
      </c>
      <c r="AO1058" s="136" t="s">
        <v>952</v>
      </c>
      <c r="AP1058" s="97"/>
      <c r="AQ1058" s="97"/>
      <c r="AR1058" s="97"/>
      <c r="AS1058" s="97"/>
      <c r="AT1058" s="97"/>
      <c r="AU1058" s="97"/>
    </row>
    <row r="1059" spans="1:47" ht="382.5" x14ac:dyDescent="0.2">
      <c r="A1059" s="128">
        <v>70</v>
      </c>
      <c r="B1059" s="128" t="s">
        <v>1211</v>
      </c>
      <c r="C1059" s="65" t="s">
        <v>941</v>
      </c>
      <c r="D1059" s="1" t="s">
        <v>942</v>
      </c>
      <c r="E1059" s="128" t="s">
        <v>971</v>
      </c>
      <c r="F1059" s="1" t="s">
        <v>511</v>
      </c>
      <c r="G1059" s="1" t="s">
        <v>512</v>
      </c>
      <c r="H1059" s="66" t="s">
        <v>944</v>
      </c>
      <c r="I1059" s="1" t="s">
        <v>54</v>
      </c>
      <c r="J1059" s="1" t="s">
        <v>55</v>
      </c>
      <c r="K1059" s="52">
        <v>801116</v>
      </c>
      <c r="L1059" s="52" t="s">
        <v>945</v>
      </c>
      <c r="M1059" s="128" t="s">
        <v>493</v>
      </c>
      <c r="N1059" s="128" t="s">
        <v>494</v>
      </c>
      <c r="O1059" s="53" t="s">
        <v>946</v>
      </c>
      <c r="P1059" s="128" t="s">
        <v>1212</v>
      </c>
      <c r="Q1059" s="126">
        <v>6180000</v>
      </c>
      <c r="R1059" s="129">
        <v>1</v>
      </c>
      <c r="S1059" s="126">
        <f t="shared" si="105"/>
        <v>71070000</v>
      </c>
      <c r="T1059" s="112" t="s">
        <v>1051</v>
      </c>
      <c r="U1059" s="112" t="s">
        <v>949</v>
      </c>
      <c r="V1059" s="132" t="s">
        <v>516</v>
      </c>
      <c r="W1059" s="112">
        <v>11.5</v>
      </c>
      <c r="X1059" s="133" t="s">
        <v>1213</v>
      </c>
      <c r="Y1059" s="125">
        <v>43104</v>
      </c>
      <c r="Z1059" s="127">
        <f t="shared" si="106"/>
        <v>71070000</v>
      </c>
      <c r="AA1059" s="133"/>
      <c r="AB1059" s="133">
        <v>262</v>
      </c>
      <c r="AC1059" s="134">
        <v>43109</v>
      </c>
      <c r="AD1059" s="126">
        <v>71070000</v>
      </c>
      <c r="AE1059" s="137">
        <f t="shared" si="100"/>
        <v>0</v>
      </c>
      <c r="AF1059" s="139">
        <v>252</v>
      </c>
      <c r="AG1059" s="134">
        <v>43119</v>
      </c>
      <c r="AH1059" s="135">
        <f t="shared" si="101"/>
        <v>71070000</v>
      </c>
      <c r="AI1059" s="136" t="s">
        <v>1214</v>
      </c>
      <c r="AJ1059" s="133">
        <v>203</v>
      </c>
      <c r="AK1059" s="97"/>
      <c r="AL1059" s="135">
        <f t="shared" si="104"/>
        <v>71070000</v>
      </c>
      <c r="AM1059" s="135">
        <v>33372000</v>
      </c>
      <c r="AN1059" s="135">
        <f t="shared" si="103"/>
        <v>37698000</v>
      </c>
      <c r="AO1059" s="136" t="s">
        <v>952</v>
      </c>
      <c r="AP1059" s="97"/>
      <c r="AQ1059" s="97"/>
      <c r="AR1059" s="97"/>
      <c r="AS1059" s="97"/>
      <c r="AT1059" s="97"/>
      <c r="AU1059" s="97"/>
    </row>
    <row r="1060" spans="1:47" ht="318.75" x14ac:dyDescent="0.2">
      <c r="A1060" s="128">
        <v>71</v>
      </c>
      <c r="B1060" s="128" t="s">
        <v>1215</v>
      </c>
      <c r="C1060" s="65" t="s">
        <v>941</v>
      </c>
      <c r="D1060" s="1" t="s">
        <v>942</v>
      </c>
      <c r="E1060" s="128" t="s">
        <v>971</v>
      </c>
      <c r="F1060" s="1" t="s">
        <v>511</v>
      </c>
      <c r="G1060" s="1" t="s">
        <v>512</v>
      </c>
      <c r="H1060" s="66" t="s">
        <v>944</v>
      </c>
      <c r="I1060" s="1" t="s">
        <v>54</v>
      </c>
      <c r="J1060" s="1" t="s">
        <v>55</v>
      </c>
      <c r="K1060" s="52">
        <v>801116</v>
      </c>
      <c r="L1060" s="52" t="s">
        <v>945</v>
      </c>
      <c r="M1060" s="128" t="s">
        <v>493</v>
      </c>
      <c r="N1060" s="128" t="s">
        <v>494</v>
      </c>
      <c r="O1060" s="53" t="s">
        <v>946</v>
      </c>
      <c r="P1060" s="128" t="s">
        <v>1216</v>
      </c>
      <c r="Q1060" s="126">
        <v>5036700</v>
      </c>
      <c r="R1060" s="129">
        <v>1</v>
      </c>
      <c r="S1060" s="126">
        <f t="shared" si="105"/>
        <v>57922050</v>
      </c>
      <c r="T1060" s="112" t="s">
        <v>1051</v>
      </c>
      <c r="U1060" s="112" t="s">
        <v>949</v>
      </c>
      <c r="V1060" s="132" t="s">
        <v>516</v>
      </c>
      <c r="W1060" s="112">
        <v>11.5</v>
      </c>
      <c r="X1060" s="133" t="s">
        <v>1217</v>
      </c>
      <c r="Y1060" s="125">
        <v>43104</v>
      </c>
      <c r="Z1060" s="127">
        <f t="shared" si="106"/>
        <v>57922050</v>
      </c>
      <c r="AA1060" s="133"/>
      <c r="AB1060" s="133">
        <v>263</v>
      </c>
      <c r="AC1060" s="134">
        <v>43109</v>
      </c>
      <c r="AD1060" s="126">
        <v>57922050</v>
      </c>
      <c r="AE1060" s="137">
        <f t="shared" si="100"/>
        <v>0</v>
      </c>
      <c r="AF1060" s="139">
        <v>273</v>
      </c>
      <c r="AG1060" s="134">
        <v>43122</v>
      </c>
      <c r="AH1060" s="135">
        <f t="shared" si="101"/>
        <v>57922050</v>
      </c>
      <c r="AI1060" s="136" t="s">
        <v>1218</v>
      </c>
      <c r="AJ1060" s="133">
        <v>243</v>
      </c>
      <c r="AK1060" s="97"/>
      <c r="AL1060" s="135">
        <f t="shared" si="104"/>
        <v>57922050</v>
      </c>
      <c r="AM1060" s="135">
        <v>26694510</v>
      </c>
      <c r="AN1060" s="135">
        <f t="shared" si="103"/>
        <v>31227540</v>
      </c>
      <c r="AO1060" s="136" t="s">
        <v>952</v>
      </c>
      <c r="AP1060" s="97"/>
      <c r="AQ1060" s="97"/>
      <c r="AR1060" s="97"/>
      <c r="AS1060" s="97"/>
      <c r="AT1060" s="97"/>
      <c r="AU1060" s="97"/>
    </row>
    <row r="1061" spans="1:47" ht="409.5" x14ac:dyDescent="0.2">
      <c r="A1061" s="128">
        <v>72</v>
      </c>
      <c r="B1061" s="128" t="s">
        <v>1219</v>
      </c>
      <c r="C1061" s="65" t="s">
        <v>941</v>
      </c>
      <c r="D1061" s="1" t="s">
        <v>942</v>
      </c>
      <c r="E1061" s="128" t="s">
        <v>971</v>
      </c>
      <c r="F1061" s="1" t="s">
        <v>511</v>
      </c>
      <c r="G1061" s="1" t="s">
        <v>512</v>
      </c>
      <c r="H1061" s="66" t="s">
        <v>944</v>
      </c>
      <c r="I1061" s="1" t="s">
        <v>54</v>
      </c>
      <c r="J1061" s="1" t="s">
        <v>55</v>
      </c>
      <c r="K1061" s="52">
        <v>801116</v>
      </c>
      <c r="L1061" s="52" t="s">
        <v>945</v>
      </c>
      <c r="M1061" s="128" t="s">
        <v>493</v>
      </c>
      <c r="N1061" s="128" t="s">
        <v>494</v>
      </c>
      <c r="O1061" s="53" t="s">
        <v>946</v>
      </c>
      <c r="P1061" s="128" t="s">
        <v>1220</v>
      </c>
      <c r="Q1061" s="126">
        <v>2472000</v>
      </c>
      <c r="R1061" s="129">
        <v>1</v>
      </c>
      <c r="S1061" s="126">
        <f t="shared" si="105"/>
        <v>28428000</v>
      </c>
      <c r="T1061" s="112" t="s">
        <v>1051</v>
      </c>
      <c r="U1061" s="112" t="s">
        <v>949</v>
      </c>
      <c r="V1061" s="132" t="s">
        <v>516</v>
      </c>
      <c r="W1061" s="112">
        <v>11.5</v>
      </c>
      <c r="X1061" s="133" t="s">
        <v>1221</v>
      </c>
      <c r="Y1061" s="125">
        <v>43104</v>
      </c>
      <c r="Z1061" s="127">
        <f t="shared" si="106"/>
        <v>28428000</v>
      </c>
      <c r="AA1061" s="133"/>
      <c r="AB1061" s="133">
        <v>264</v>
      </c>
      <c r="AC1061" s="134">
        <v>43109</v>
      </c>
      <c r="AD1061" s="126">
        <v>28428000</v>
      </c>
      <c r="AE1061" s="137">
        <f t="shared" si="100"/>
        <v>0</v>
      </c>
      <c r="AF1061" s="139">
        <v>161</v>
      </c>
      <c r="AG1061" s="134">
        <v>43118</v>
      </c>
      <c r="AH1061" s="135">
        <f t="shared" si="101"/>
        <v>28428000</v>
      </c>
      <c r="AI1061" s="136" t="s">
        <v>1222</v>
      </c>
      <c r="AJ1061" s="133">
        <v>125</v>
      </c>
      <c r="AK1061" s="97"/>
      <c r="AL1061" s="135">
        <f t="shared" si="104"/>
        <v>28428000</v>
      </c>
      <c r="AM1061" s="135">
        <v>13431200</v>
      </c>
      <c r="AN1061" s="135">
        <f t="shared" si="103"/>
        <v>14996800</v>
      </c>
      <c r="AO1061" s="136" t="s">
        <v>952</v>
      </c>
      <c r="AP1061" s="97"/>
      <c r="AQ1061" s="97"/>
      <c r="AR1061" s="97"/>
      <c r="AS1061" s="97"/>
      <c r="AT1061" s="97"/>
      <c r="AU1061" s="97"/>
    </row>
    <row r="1062" spans="1:47" ht="395.25" x14ac:dyDescent="0.2">
      <c r="A1062" s="128">
        <v>73</v>
      </c>
      <c r="B1062" s="128" t="s">
        <v>1223</v>
      </c>
      <c r="C1062" s="65" t="s">
        <v>941</v>
      </c>
      <c r="D1062" s="1" t="s">
        <v>942</v>
      </c>
      <c r="E1062" s="128" t="s">
        <v>971</v>
      </c>
      <c r="F1062" s="1" t="s">
        <v>511</v>
      </c>
      <c r="G1062" s="1" t="s">
        <v>512</v>
      </c>
      <c r="H1062" s="66" t="s">
        <v>944</v>
      </c>
      <c r="I1062" s="1" t="s">
        <v>54</v>
      </c>
      <c r="J1062" s="1" t="s">
        <v>55</v>
      </c>
      <c r="K1062" s="52">
        <v>801116</v>
      </c>
      <c r="L1062" s="52" t="s">
        <v>945</v>
      </c>
      <c r="M1062" s="128" t="s">
        <v>493</v>
      </c>
      <c r="N1062" s="128" t="s">
        <v>494</v>
      </c>
      <c r="O1062" s="53" t="s">
        <v>946</v>
      </c>
      <c r="P1062" s="128" t="s">
        <v>604</v>
      </c>
      <c r="Q1062" s="126">
        <v>1259176</v>
      </c>
      <c r="R1062" s="129">
        <v>1</v>
      </c>
      <c r="S1062" s="126">
        <f t="shared" si="105"/>
        <v>14480524</v>
      </c>
      <c r="T1062" s="112" t="s">
        <v>1051</v>
      </c>
      <c r="U1062" s="112" t="s">
        <v>949</v>
      </c>
      <c r="V1062" s="132" t="s">
        <v>516</v>
      </c>
      <c r="W1062" s="112">
        <v>11.5</v>
      </c>
      <c r="X1062" s="133" t="s">
        <v>1224</v>
      </c>
      <c r="Y1062" s="125">
        <v>43104</v>
      </c>
      <c r="Z1062" s="127">
        <f t="shared" si="106"/>
        <v>14480524</v>
      </c>
      <c r="AA1062" s="133"/>
      <c r="AB1062" s="133">
        <v>265</v>
      </c>
      <c r="AC1062" s="134">
        <v>43109</v>
      </c>
      <c r="AD1062" s="126">
        <v>14480524</v>
      </c>
      <c r="AE1062" s="137">
        <f t="shared" si="100"/>
        <v>629599</v>
      </c>
      <c r="AF1062" s="139">
        <v>178</v>
      </c>
      <c r="AG1062" s="134">
        <v>43118</v>
      </c>
      <c r="AH1062" s="126">
        <v>13850925</v>
      </c>
      <c r="AI1062" s="136" t="s">
        <v>605</v>
      </c>
      <c r="AJ1062" s="133">
        <v>160</v>
      </c>
      <c r="AK1062" s="97"/>
      <c r="AL1062" s="135">
        <f t="shared" si="104"/>
        <v>13850925</v>
      </c>
      <c r="AM1062" s="135">
        <v>6841517</v>
      </c>
      <c r="AN1062" s="135">
        <f t="shared" si="103"/>
        <v>7009408</v>
      </c>
      <c r="AO1062" s="136" t="s">
        <v>952</v>
      </c>
      <c r="AP1062" s="97"/>
      <c r="AQ1062" s="97"/>
      <c r="AR1062" s="97"/>
      <c r="AS1062" s="97"/>
      <c r="AT1062" s="97"/>
      <c r="AU1062" s="97"/>
    </row>
    <row r="1063" spans="1:47" ht="318.75" x14ac:dyDescent="0.2">
      <c r="A1063" s="128">
        <v>74</v>
      </c>
      <c r="B1063" s="128" t="s">
        <v>1225</v>
      </c>
      <c r="C1063" s="65" t="s">
        <v>941</v>
      </c>
      <c r="D1063" s="1" t="s">
        <v>942</v>
      </c>
      <c r="E1063" s="128" t="s">
        <v>971</v>
      </c>
      <c r="F1063" s="1" t="s">
        <v>511</v>
      </c>
      <c r="G1063" s="1" t="s">
        <v>512</v>
      </c>
      <c r="H1063" s="66" t="s">
        <v>944</v>
      </c>
      <c r="I1063" s="1" t="s">
        <v>54</v>
      </c>
      <c r="J1063" s="1" t="s">
        <v>55</v>
      </c>
      <c r="K1063" s="52">
        <v>801116</v>
      </c>
      <c r="L1063" s="52" t="s">
        <v>945</v>
      </c>
      <c r="M1063" s="128" t="s">
        <v>493</v>
      </c>
      <c r="N1063" s="128" t="s">
        <v>494</v>
      </c>
      <c r="O1063" s="53" t="s">
        <v>946</v>
      </c>
      <c r="P1063" s="128" t="s">
        <v>1226</v>
      </c>
      <c r="Q1063" s="126">
        <v>1030000</v>
      </c>
      <c r="R1063" s="129">
        <v>1</v>
      </c>
      <c r="S1063" s="126">
        <f t="shared" si="105"/>
        <v>11845000</v>
      </c>
      <c r="T1063" s="112" t="s">
        <v>1051</v>
      </c>
      <c r="U1063" s="112" t="s">
        <v>949</v>
      </c>
      <c r="V1063" s="132" t="s">
        <v>516</v>
      </c>
      <c r="W1063" s="112">
        <v>11.5</v>
      </c>
      <c r="X1063" s="133" t="s">
        <v>1227</v>
      </c>
      <c r="Y1063" s="125">
        <v>43104</v>
      </c>
      <c r="Z1063" s="127">
        <f t="shared" si="106"/>
        <v>11845000</v>
      </c>
      <c r="AA1063" s="133"/>
      <c r="AB1063" s="133">
        <v>266</v>
      </c>
      <c r="AC1063" s="134">
        <v>43109</v>
      </c>
      <c r="AD1063" s="126">
        <v>11845000</v>
      </c>
      <c r="AE1063" s="137">
        <f t="shared" si="100"/>
        <v>515000</v>
      </c>
      <c r="AF1063" s="139">
        <v>370</v>
      </c>
      <c r="AG1063" s="134">
        <v>43124</v>
      </c>
      <c r="AH1063" s="126">
        <v>11330000</v>
      </c>
      <c r="AI1063" s="136" t="s">
        <v>608</v>
      </c>
      <c r="AJ1063" s="133">
        <v>304</v>
      </c>
      <c r="AK1063" s="97"/>
      <c r="AL1063" s="135">
        <f t="shared" si="104"/>
        <v>11330000</v>
      </c>
      <c r="AM1063" s="135">
        <v>5390333</v>
      </c>
      <c r="AN1063" s="135">
        <f t="shared" si="103"/>
        <v>5939667</v>
      </c>
      <c r="AO1063" s="136" t="s">
        <v>952</v>
      </c>
      <c r="AP1063" s="97"/>
      <c r="AQ1063" s="97"/>
      <c r="AR1063" s="97"/>
      <c r="AS1063" s="97"/>
      <c r="AT1063" s="97"/>
      <c r="AU1063" s="97"/>
    </row>
    <row r="1064" spans="1:47" ht="409.5" x14ac:dyDescent="0.2">
      <c r="A1064" s="128">
        <v>75</v>
      </c>
      <c r="B1064" s="128" t="s">
        <v>1228</v>
      </c>
      <c r="C1064" s="65" t="s">
        <v>941</v>
      </c>
      <c r="D1064" s="1" t="s">
        <v>942</v>
      </c>
      <c r="E1064" s="128" t="s">
        <v>971</v>
      </c>
      <c r="F1064" s="1" t="s">
        <v>511</v>
      </c>
      <c r="G1064" s="1" t="s">
        <v>512</v>
      </c>
      <c r="H1064" s="66" t="s">
        <v>944</v>
      </c>
      <c r="I1064" s="1" t="s">
        <v>54</v>
      </c>
      <c r="J1064" s="1" t="s">
        <v>55</v>
      </c>
      <c r="K1064" s="52">
        <v>801116</v>
      </c>
      <c r="L1064" s="52" t="s">
        <v>945</v>
      </c>
      <c r="M1064" s="128" t="s">
        <v>493</v>
      </c>
      <c r="N1064" s="128" t="s">
        <v>494</v>
      </c>
      <c r="O1064" s="53" t="s">
        <v>946</v>
      </c>
      <c r="P1064" s="128" t="s">
        <v>1024</v>
      </c>
      <c r="Q1064" s="126">
        <v>5253000</v>
      </c>
      <c r="R1064" s="129">
        <v>1</v>
      </c>
      <c r="S1064" s="126">
        <f t="shared" si="105"/>
        <v>60409500</v>
      </c>
      <c r="T1064" s="112" t="s">
        <v>1051</v>
      </c>
      <c r="U1064" s="112" t="s">
        <v>949</v>
      </c>
      <c r="V1064" s="132" t="s">
        <v>516</v>
      </c>
      <c r="W1064" s="112">
        <v>11.5</v>
      </c>
      <c r="X1064" s="133" t="s">
        <v>1229</v>
      </c>
      <c r="Y1064" s="125">
        <v>43104</v>
      </c>
      <c r="Z1064" s="127">
        <f t="shared" si="106"/>
        <v>60409500</v>
      </c>
      <c r="AA1064" s="133"/>
      <c r="AB1064" s="133">
        <v>267</v>
      </c>
      <c r="AC1064" s="134">
        <v>43109</v>
      </c>
      <c r="AD1064" s="126">
        <v>60409500</v>
      </c>
      <c r="AE1064" s="137">
        <f t="shared" si="100"/>
        <v>0</v>
      </c>
      <c r="AF1064" s="139">
        <v>352</v>
      </c>
      <c r="AG1064" s="134">
        <v>43123</v>
      </c>
      <c r="AH1064" s="135">
        <f>AD1064</f>
        <v>60409500</v>
      </c>
      <c r="AI1064" s="136" t="s">
        <v>1230</v>
      </c>
      <c r="AJ1064" s="133">
        <v>298</v>
      </c>
      <c r="AK1064" s="97"/>
      <c r="AL1064" s="135">
        <f t="shared" si="104"/>
        <v>60409500</v>
      </c>
      <c r="AM1064" s="135">
        <v>27315600</v>
      </c>
      <c r="AN1064" s="135">
        <f t="shared" si="103"/>
        <v>33093900</v>
      </c>
      <c r="AO1064" s="136" t="s">
        <v>952</v>
      </c>
      <c r="AP1064" s="97"/>
      <c r="AQ1064" s="97"/>
      <c r="AR1064" s="97"/>
      <c r="AS1064" s="97"/>
      <c r="AT1064" s="97"/>
      <c r="AU1064" s="97"/>
    </row>
    <row r="1065" spans="1:47" ht="267.75" x14ac:dyDescent="0.2">
      <c r="A1065" s="128">
        <v>76</v>
      </c>
      <c r="B1065" s="128" t="s">
        <v>1231</v>
      </c>
      <c r="C1065" s="65" t="s">
        <v>941</v>
      </c>
      <c r="D1065" s="1" t="s">
        <v>942</v>
      </c>
      <c r="E1065" s="128" t="s">
        <v>971</v>
      </c>
      <c r="F1065" s="1" t="s">
        <v>511</v>
      </c>
      <c r="G1065" s="1" t="s">
        <v>512</v>
      </c>
      <c r="H1065" s="66" t="s">
        <v>944</v>
      </c>
      <c r="I1065" s="1" t="s">
        <v>54</v>
      </c>
      <c r="J1065" s="1" t="s">
        <v>55</v>
      </c>
      <c r="K1065" s="52">
        <v>801116</v>
      </c>
      <c r="L1065" s="52" t="s">
        <v>945</v>
      </c>
      <c r="M1065" s="128" t="s">
        <v>493</v>
      </c>
      <c r="N1065" s="128" t="s">
        <v>494</v>
      </c>
      <c r="O1065" s="53" t="s">
        <v>946</v>
      </c>
      <c r="P1065" s="128" t="s">
        <v>1232</v>
      </c>
      <c r="Q1065" s="126">
        <v>3326900</v>
      </c>
      <c r="R1065" s="129">
        <v>1</v>
      </c>
      <c r="S1065" s="126">
        <f t="shared" si="105"/>
        <v>38259350</v>
      </c>
      <c r="T1065" s="112" t="s">
        <v>1051</v>
      </c>
      <c r="U1065" s="112" t="s">
        <v>949</v>
      </c>
      <c r="V1065" s="132" t="s">
        <v>516</v>
      </c>
      <c r="W1065" s="112">
        <v>11.5</v>
      </c>
      <c r="X1065" s="133" t="s">
        <v>1233</v>
      </c>
      <c r="Y1065" s="125">
        <v>43104</v>
      </c>
      <c r="Z1065" s="127">
        <f t="shared" si="106"/>
        <v>38259350</v>
      </c>
      <c r="AA1065" s="133"/>
      <c r="AB1065" s="133">
        <v>268</v>
      </c>
      <c r="AC1065" s="134">
        <v>43109</v>
      </c>
      <c r="AD1065" s="126">
        <v>38259350</v>
      </c>
      <c r="AE1065" s="137">
        <f t="shared" si="100"/>
        <v>0</v>
      </c>
      <c r="AF1065" s="139">
        <v>140</v>
      </c>
      <c r="AG1065" s="134">
        <v>43117</v>
      </c>
      <c r="AH1065" s="135">
        <f>AD1065</f>
        <v>38259350</v>
      </c>
      <c r="AI1065" s="136" t="s">
        <v>1234</v>
      </c>
      <c r="AJ1065" s="133">
        <v>150</v>
      </c>
      <c r="AK1065" s="97"/>
      <c r="AL1065" s="135">
        <f t="shared" si="104"/>
        <v>38259350</v>
      </c>
      <c r="AM1065" s="135">
        <v>18076157</v>
      </c>
      <c r="AN1065" s="135">
        <f t="shared" si="103"/>
        <v>20183193</v>
      </c>
      <c r="AO1065" s="136" t="s">
        <v>952</v>
      </c>
      <c r="AP1065" s="97"/>
      <c r="AQ1065" s="97"/>
      <c r="AR1065" s="97"/>
      <c r="AS1065" s="97"/>
      <c r="AT1065" s="97"/>
      <c r="AU1065" s="97"/>
    </row>
    <row r="1066" spans="1:47" ht="369.75" x14ac:dyDescent="0.2">
      <c r="A1066" s="128">
        <v>77</v>
      </c>
      <c r="B1066" s="128" t="s">
        <v>1235</v>
      </c>
      <c r="C1066" s="65" t="s">
        <v>941</v>
      </c>
      <c r="D1066" s="1" t="s">
        <v>942</v>
      </c>
      <c r="E1066" s="128" t="s">
        <v>971</v>
      </c>
      <c r="F1066" s="1" t="s">
        <v>511</v>
      </c>
      <c r="G1066" s="1" t="s">
        <v>512</v>
      </c>
      <c r="H1066" s="66" t="s">
        <v>944</v>
      </c>
      <c r="I1066" s="1" t="s">
        <v>54</v>
      </c>
      <c r="J1066" s="1" t="s">
        <v>55</v>
      </c>
      <c r="K1066" s="52">
        <v>801116</v>
      </c>
      <c r="L1066" s="52" t="s">
        <v>945</v>
      </c>
      <c r="M1066" s="128" t="s">
        <v>493</v>
      </c>
      <c r="N1066" s="128" t="s">
        <v>494</v>
      </c>
      <c r="O1066" s="53" t="s">
        <v>946</v>
      </c>
      <c r="P1066" s="128" t="s">
        <v>1106</v>
      </c>
      <c r="Q1066" s="126">
        <v>4120000</v>
      </c>
      <c r="R1066" s="129">
        <v>1</v>
      </c>
      <c r="S1066" s="126">
        <f t="shared" si="105"/>
        <v>47380000</v>
      </c>
      <c r="T1066" s="112" t="s">
        <v>1051</v>
      </c>
      <c r="U1066" s="112" t="s">
        <v>949</v>
      </c>
      <c r="V1066" s="132" t="s">
        <v>516</v>
      </c>
      <c r="W1066" s="112">
        <v>11.5</v>
      </c>
      <c r="X1066" s="133" t="s">
        <v>1236</v>
      </c>
      <c r="Y1066" s="125">
        <v>43104</v>
      </c>
      <c r="Z1066" s="127">
        <f t="shared" si="106"/>
        <v>47380000</v>
      </c>
      <c r="AA1066" s="133"/>
      <c r="AB1066" s="133">
        <v>269</v>
      </c>
      <c r="AC1066" s="134">
        <v>43109</v>
      </c>
      <c r="AD1066" s="126">
        <v>47380000</v>
      </c>
      <c r="AE1066" s="137">
        <f t="shared" si="100"/>
        <v>0</v>
      </c>
      <c r="AF1066" s="139">
        <v>85</v>
      </c>
      <c r="AG1066" s="134">
        <v>43116</v>
      </c>
      <c r="AH1066" s="135">
        <f>AD1066</f>
        <v>47380000</v>
      </c>
      <c r="AI1066" s="136" t="s">
        <v>1237</v>
      </c>
      <c r="AJ1066" s="133">
        <v>81</v>
      </c>
      <c r="AK1066" s="97"/>
      <c r="AL1066" s="135">
        <f t="shared" si="104"/>
        <v>47380000</v>
      </c>
      <c r="AM1066" s="135">
        <v>22522667</v>
      </c>
      <c r="AN1066" s="135">
        <f t="shared" si="103"/>
        <v>24857333</v>
      </c>
      <c r="AO1066" s="136" t="s">
        <v>952</v>
      </c>
      <c r="AP1066" s="97"/>
      <c r="AQ1066" s="97"/>
      <c r="AR1066" s="97"/>
      <c r="AS1066" s="97"/>
      <c r="AT1066" s="97"/>
      <c r="AU1066" s="97"/>
    </row>
    <row r="1067" spans="1:47" ht="409.5" x14ac:dyDescent="0.2">
      <c r="A1067" s="128">
        <v>78</v>
      </c>
      <c r="B1067" s="128" t="s">
        <v>1238</v>
      </c>
      <c r="C1067" s="65" t="s">
        <v>941</v>
      </c>
      <c r="D1067" s="1" t="s">
        <v>942</v>
      </c>
      <c r="E1067" s="128" t="s">
        <v>971</v>
      </c>
      <c r="F1067" s="1" t="s">
        <v>511</v>
      </c>
      <c r="G1067" s="1" t="s">
        <v>512</v>
      </c>
      <c r="H1067" s="66" t="s">
        <v>944</v>
      </c>
      <c r="I1067" s="1" t="s">
        <v>54</v>
      </c>
      <c r="J1067" s="1" t="s">
        <v>55</v>
      </c>
      <c r="K1067" s="52">
        <v>801116</v>
      </c>
      <c r="L1067" s="52" t="s">
        <v>945</v>
      </c>
      <c r="M1067" s="128" t="s">
        <v>493</v>
      </c>
      <c r="N1067" s="128" t="s">
        <v>494</v>
      </c>
      <c r="O1067" s="53" t="s">
        <v>946</v>
      </c>
      <c r="P1067" s="128" t="s">
        <v>1239</v>
      </c>
      <c r="Q1067" s="126">
        <v>5253000</v>
      </c>
      <c r="R1067" s="129">
        <v>1</v>
      </c>
      <c r="S1067" s="126">
        <f t="shared" si="105"/>
        <v>60409500</v>
      </c>
      <c r="T1067" s="112" t="s">
        <v>1051</v>
      </c>
      <c r="U1067" s="112" t="s">
        <v>949</v>
      </c>
      <c r="V1067" s="132" t="s">
        <v>516</v>
      </c>
      <c r="W1067" s="112">
        <v>11.5</v>
      </c>
      <c r="X1067" s="133" t="s">
        <v>1240</v>
      </c>
      <c r="Y1067" s="125">
        <v>43104</v>
      </c>
      <c r="Z1067" s="127">
        <f t="shared" si="106"/>
        <v>60409500</v>
      </c>
      <c r="AA1067" s="133"/>
      <c r="AB1067" s="133">
        <v>270</v>
      </c>
      <c r="AC1067" s="134">
        <v>43109</v>
      </c>
      <c r="AD1067" s="126">
        <v>60409500</v>
      </c>
      <c r="AE1067" s="137">
        <f t="shared" si="100"/>
        <v>0</v>
      </c>
      <c r="AF1067" s="139">
        <v>231</v>
      </c>
      <c r="AG1067" s="134">
        <v>43118</v>
      </c>
      <c r="AH1067" s="135">
        <f>AD1067</f>
        <v>60409500</v>
      </c>
      <c r="AI1067" s="136" t="s">
        <v>1241</v>
      </c>
      <c r="AJ1067" s="133">
        <v>199</v>
      </c>
      <c r="AK1067" s="97"/>
      <c r="AL1067" s="135">
        <f t="shared" si="104"/>
        <v>60409500</v>
      </c>
      <c r="AM1067" s="135">
        <v>28366200</v>
      </c>
      <c r="AN1067" s="135">
        <f t="shared" si="103"/>
        <v>32043300</v>
      </c>
      <c r="AO1067" s="136" t="s">
        <v>952</v>
      </c>
      <c r="AP1067" s="97"/>
      <c r="AQ1067" s="97"/>
      <c r="AR1067" s="97"/>
      <c r="AS1067" s="97"/>
      <c r="AT1067" s="97"/>
      <c r="AU1067" s="97"/>
    </row>
    <row r="1068" spans="1:47" ht="409.5" x14ac:dyDescent="0.2">
      <c r="A1068" s="128">
        <v>79</v>
      </c>
      <c r="B1068" s="128" t="s">
        <v>1242</v>
      </c>
      <c r="C1068" s="65" t="s">
        <v>941</v>
      </c>
      <c r="D1068" s="1" t="s">
        <v>942</v>
      </c>
      <c r="E1068" s="128" t="s">
        <v>943</v>
      </c>
      <c r="F1068" s="1" t="s">
        <v>511</v>
      </c>
      <c r="G1068" s="1" t="s">
        <v>512</v>
      </c>
      <c r="H1068" s="66" t="s">
        <v>944</v>
      </c>
      <c r="I1068" s="1" t="s">
        <v>54</v>
      </c>
      <c r="J1068" s="1" t="s">
        <v>55</v>
      </c>
      <c r="K1068" s="52">
        <v>801116</v>
      </c>
      <c r="L1068" s="52" t="s">
        <v>945</v>
      </c>
      <c r="M1068" s="128" t="s">
        <v>493</v>
      </c>
      <c r="N1068" s="128" t="s">
        <v>494</v>
      </c>
      <c r="O1068" s="53" t="s">
        <v>946</v>
      </c>
      <c r="P1068" s="128" t="s">
        <v>1243</v>
      </c>
      <c r="Q1068" s="126">
        <v>8384200</v>
      </c>
      <c r="R1068" s="129">
        <v>1</v>
      </c>
      <c r="S1068" s="130">
        <f t="shared" si="105"/>
        <v>96418300</v>
      </c>
      <c r="T1068" s="112" t="s">
        <v>1051</v>
      </c>
      <c r="U1068" s="112" t="s">
        <v>949</v>
      </c>
      <c r="V1068" s="132" t="s">
        <v>516</v>
      </c>
      <c r="W1068" s="112">
        <v>11.5</v>
      </c>
      <c r="X1068" s="133" t="s">
        <v>1244</v>
      </c>
      <c r="Y1068" s="125">
        <v>43104</v>
      </c>
      <c r="Z1068" s="127">
        <f t="shared" si="106"/>
        <v>96418300</v>
      </c>
      <c r="AA1068" s="133"/>
      <c r="AB1068" s="133">
        <v>271</v>
      </c>
      <c r="AC1068" s="134">
        <v>43109</v>
      </c>
      <c r="AD1068" s="126">
        <v>96418300</v>
      </c>
      <c r="AE1068" s="135">
        <f t="shared" si="100"/>
        <v>4516050</v>
      </c>
      <c r="AF1068" s="139">
        <v>410</v>
      </c>
      <c r="AG1068" s="134">
        <v>43124</v>
      </c>
      <c r="AH1068" s="135">
        <v>91902250</v>
      </c>
      <c r="AI1068" s="136" t="s">
        <v>1245</v>
      </c>
      <c r="AJ1068" s="133">
        <v>314</v>
      </c>
      <c r="AK1068" s="97"/>
      <c r="AL1068" s="135">
        <f t="shared" si="104"/>
        <v>91902250</v>
      </c>
      <c r="AM1068" s="135">
        <v>26180000</v>
      </c>
      <c r="AN1068" s="135">
        <f t="shared" si="103"/>
        <v>65722250</v>
      </c>
      <c r="AO1068" s="136" t="s">
        <v>952</v>
      </c>
      <c r="AP1068" s="97"/>
      <c r="AQ1068" s="97"/>
      <c r="AR1068" s="97"/>
      <c r="AS1068" s="97"/>
      <c r="AT1068" s="97"/>
      <c r="AU1068" s="97"/>
    </row>
    <row r="1069" spans="1:47" ht="293.25" x14ac:dyDescent="0.2">
      <c r="A1069" s="128">
        <v>80</v>
      </c>
      <c r="B1069" s="128" t="s">
        <v>1246</v>
      </c>
      <c r="C1069" s="65" t="s">
        <v>941</v>
      </c>
      <c r="D1069" s="1" t="s">
        <v>942</v>
      </c>
      <c r="E1069" s="8" t="s">
        <v>971</v>
      </c>
      <c r="F1069" s="1" t="s">
        <v>511</v>
      </c>
      <c r="G1069" s="1" t="s">
        <v>512</v>
      </c>
      <c r="H1069" s="66" t="s">
        <v>944</v>
      </c>
      <c r="I1069" s="1" t="s">
        <v>54</v>
      </c>
      <c r="J1069" s="1" t="s">
        <v>55</v>
      </c>
      <c r="K1069" s="52">
        <v>801116</v>
      </c>
      <c r="L1069" s="52" t="s">
        <v>945</v>
      </c>
      <c r="M1069" s="128" t="s">
        <v>493</v>
      </c>
      <c r="N1069" s="128" t="s">
        <v>494</v>
      </c>
      <c r="O1069" s="53" t="s">
        <v>946</v>
      </c>
      <c r="P1069" s="128" t="s">
        <v>1247</v>
      </c>
      <c r="Q1069" s="126">
        <v>8240000</v>
      </c>
      <c r="R1069" s="129">
        <v>1</v>
      </c>
      <c r="S1069" s="126">
        <f t="shared" si="105"/>
        <v>94760000</v>
      </c>
      <c r="T1069" s="112" t="s">
        <v>1051</v>
      </c>
      <c r="U1069" s="112" t="s">
        <v>949</v>
      </c>
      <c r="V1069" s="132" t="s">
        <v>516</v>
      </c>
      <c r="W1069" s="1">
        <v>11.5</v>
      </c>
      <c r="X1069" s="133" t="s">
        <v>1248</v>
      </c>
      <c r="Y1069" s="125">
        <v>43104</v>
      </c>
      <c r="Z1069" s="127">
        <f t="shared" si="106"/>
        <v>94760000</v>
      </c>
      <c r="AA1069" s="133"/>
      <c r="AB1069" s="133">
        <v>272</v>
      </c>
      <c r="AC1069" s="134">
        <v>43109</v>
      </c>
      <c r="AD1069" s="126">
        <v>94760000</v>
      </c>
      <c r="AE1069" s="135">
        <f t="shared" si="100"/>
        <v>0</v>
      </c>
      <c r="AF1069" s="139">
        <v>394</v>
      </c>
      <c r="AG1069" s="134">
        <v>43124</v>
      </c>
      <c r="AH1069" s="135">
        <f>AD1069</f>
        <v>94760000</v>
      </c>
      <c r="AI1069" s="136" t="s">
        <v>1249</v>
      </c>
      <c r="AJ1069" s="133">
        <v>316</v>
      </c>
      <c r="AK1069" s="97"/>
      <c r="AL1069" s="135">
        <f t="shared" si="104"/>
        <v>94760000</v>
      </c>
      <c r="AM1069" s="135">
        <v>42848000</v>
      </c>
      <c r="AN1069" s="135">
        <f>AL1069-AM1069</f>
        <v>51912000</v>
      </c>
      <c r="AO1069" s="136" t="s">
        <v>952</v>
      </c>
      <c r="AP1069" s="97"/>
      <c r="AQ1069" s="97"/>
      <c r="AR1069" s="97"/>
      <c r="AS1069" s="97"/>
      <c r="AT1069" s="97"/>
      <c r="AU1069" s="97"/>
    </row>
    <row r="1070" spans="1:47" ht="409.5" x14ac:dyDescent="0.2">
      <c r="A1070" s="128">
        <v>81</v>
      </c>
      <c r="B1070" s="128" t="s">
        <v>1250</v>
      </c>
      <c r="C1070" s="65" t="s">
        <v>941</v>
      </c>
      <c r="D1070" s="1" t="s">
        <v>942</v>
      </c>
      <c r="E1070" s="8" t="s">
        <v>971</v>
      </c>
      <c r="F1070" s="1" t="s">
        <v>511</v>
      </c>
      <c r="G1070" s="1" t="s">
        <v>512</v>
      </c>
      <c r="H1070" s="66" t="s">
        <v>944</v>
      </c>
      <c r="I1070" s="1" t="s">
        <v>54</v>
      </c>
      <c r="J1070" s="1" t="s">
        <v>55</v>
      </c>
      <c r="K1070" s="52">
        <v>801116</v>
      </c>
      <c r="L1070" s="52" t="s">
        <v>945</v>
      </c>
      <c r="M1070" s="128" t="s">
        <v>493</v>
      </c>
      <c r="N1070" s="128" t="s">
        <v>494</v>
      </c>
      <c r="O1070" s="53" t="s">
        <v>946</v>
      </c>
      <c r="P1070" s="128" t="s">
        <v>976</v>
      </c>
      <c r="Q1070" s="126">
        <v>5665000</v>
      </c>
      <c r="R1070" s="129">
        <v>1</v>
      </c>
      <c r="S1070" s="126">
        <f t="shared" si="105"/>
        <v>65147500</v>
      </c>
      <c r="T1070" s="112" t="s">
        <v>1051</v>
      </c>
      <c r="U1070" s="112" t="s">
        <v>949</v>
      </c>
      <c r="V1070" s="132" t="s">
        <v>516</v>
      </c>
      <c r="W1070" s="1">
        <v>11.5</v>
      </c>
      <c r="X1070" s="133" t="s">
        <v>1251</v>
      </c>
      <c r="Y1070" s="125">
        <v>43104</v>
      </c>
      <c r="Z1070" s="127">
        <f t="shared" si="106"/>
        <v>65147500</v>
      </c>
      <c r="AA1070" s="133"/>
      <c r="AB1070" s="133">
        <v>273</v>
      </c>
      <c r="AC1070" s="134">
        <v>43109</v>
      </c>
      <c r="AD1070" s="126">
        <v>65147500</v>
      </c>
      <c r="AE1070" s="135">
        <f t="shared" si="100"/>
        <v>0</v>
      </c>
      <c r="AF1070" s="139">
        <v>453</v>
      </c>
      <c r="AG1070" s="134">
        <v>43125</v>
      </c>
      <c r="AH1070" s="135">
        <f>AD1070</f>
        <v>65147500</v>
      </c>
      <c r="AI1070" s="136" t="s">
        <v>1252</v>
      </c>
      <c r="AJ1070" s="133">
        <v>383</v>
      </c>
      <c r="AK1070" s="97"/>
      <c r="AL1070" s="135">
        <f t="shared" si="104"/>
        <v>65147500</v>
      </c>
      <c r="AM1070" s="135">
        <v>26269167</v>
      </c>
      <c r="AN1070" s="135">
        <f>AL1070-AM1070</f>
        <v>38878333</v>
      </c>
      <c r="AO1070" s="136" t="s">
        <v>952</v>
      </c>
      <c r="AP1070" s="97"/>
      <c r="AQ1070" s="97"/>
      <c r="AR1070" s="97"/>
      <c r="AS1070" s="97"/>
      <c r="AT1070" s="97"/>
      <c r="AU1070" s="97"/>
    </row>
    <row r="1071" spans="1:47" ht="267.75" x14ac:dyDescent="0.2">
      <c r="A1071" s="128">
        <v>82</v>
      </c>
      <c r="B1071" s="128" t="s">
        <v>1253</v>
      </c>
      <c r="C1071" s="65" t="s">
        <v>941</v>
      </c>
      <c r="D1071" s="1" t="s">
        <v>942</v>
      </c>
      <c r="E1071" s="8" t="s">
        <v>943</v>
      </c>
      <c r="F1071" s="1" t="s">
        <v>511</v>
      </c>
      <c r="G1071" s="1" t="s">
        <v>512</v>
      </c>
      <c r="H1071" s="66" t="s">
        <v>944</v>
      </c>
      <c r="I1071" s="1" t="s">
        <v>54</v>
      </c>
      <c r="J1071" s="1" t="s">
        <v>55</v>
      </c>
      <c r="K1071" s="52">
        <v>801116</v>
      </c>
      <c r="L1071" s="52" t="s">
        <v>945</v>
      </c>
      <c r="M1071" s="128" t="s">
        <v>493</v>
      </c>
      <c r="N1071" s="128" t="s">
        <v>494</v>
      </c>
      <c r="O1071" s="53" t="s">
        <v>946</v>
      </c>
      <c r="P1071" s="128" t="s">
        <v>1055</v>
      </c>
      <c r="Q1071" s="126">
        <v>7210000</v>
      </c>
      <c r="R1071" s="129">
        <v>1</v>
      </c>
      <c r="S1071" s="130">
        <f t="shared" si="105"/>
        <v>82915000</v>
      </c>
      <c r="T1071" s="112" t="s">
        <v>1051</v>
      </c>
      <c r="U1071" s="112" t="s">
        <v>949</v>
      </c>
      <c r="V1071" s="132" t="s">
        <v>516</v>
      </c>
      <c r="W1071" s="1">
        <v>11.5</v>
      </c>
      <c r="X1071" s="133" t="s">
        <v>1254</v>
      </c>
      <c r="Y1071" s="125">
        <v>43104</v>
      </c>
      <c r="Z1071" s="127">
        <f t="shared" si="106"/>
        <v>82915000</v>
      </c>
      <c r="AA1071" s="133"/>
      <c r="AB1071" s="133">
        <v>274</v>
      </c>
      <c r="AC1071" s="134">
        <v>43109</v>
      </c>
      <c r="AD1071" s="126">
        <f>Z1071</f>
        <v>82915000</v>
      </c>
      <c r="AE1071" s="135">
        <f t="shared" si="100"/>
        <v>0</v>
      </c>
      <c r="AF1071" s="139">
        <v>151</v>
      </c>
      <c r="AG1071" s="134">
        <v>43117</v>
      </c>
      <c r="AH1071" s="135">
        <f>AD1071</f>
        <v>82915000</v>
      </c>
      <c r="AI1071" s="136" t="s">
        <v>1255</v>
      </c>
      <c r="AJ1071" s="133">
        <v>158</v>
      </c>
      <c r="AK1071" s="97"/>
      <c r="AL1071" s="135">
        <f t="shared" si="104"/>
        <v>82915000</v>
      </c>
      <c r="AM1071" s="135">
        <v>39174339</v>
      </c>
      <c r="AN1071" s="135">
        <f>AL1071-AM1071</f>
        <v>43740661</v>
      </c>
      <c r="AO1071" s="136" t="s">
        <v>952</v>
      </c>
      <c r="AP1071" s="97"/>
      <c r="AQ1071" s="97"/>
      <c r="AR1071" s="97"/>
      <c r="AS1071" s="97"/>
      <c r="AT1071" s="97"/>
      <c r="AU1071" s="97"/>
    </row>
    <row r="1072" spans="1:47" ht="357" x14ac:dyDescent="0.2">
      <c r="A1072" s="128">
        <v>83</v>
      </c>
      <c r="B1072" s="128" t="s">
        <v>1256</v>
      </c>
      <c r="C1072" s="65" t="s">
        <v>941</v>
      </c>
      <c r="D1072" s="1" t="s">
        <v>942</v>
      </c>
      <c r="E1072" s="8" t="s">
        <v>943</v>
      </c>
      <c r="F1072" s="1" t="s">
        <v>511</v>
      </c>
      <c r="G1072" s="1" t="s">
        <v>512</v>
      </c>
      <c r="H1072" s="66" t="s">
        <v>944</v>
      </c>
      <c r="I1072" s="1" t="s">
        <v>54</v>
      </c>
      <c r="J1072" s="1" t="s">
        <v>55</v>
      </c>
      <c r="K1072" s="52">
        <v>801116</v>
      </c>
      <c r="L1072" s="52" t="s">
        <v>945</v>
      </c>
      <c r="M1072" s="128" t="s">
        <v>493</v>
      </c>
      <c r="N1072" s="128" t="s">
        <v>494</v>
      </c>
      <c r="O1072" s="53" t="s">
        <v>946</v>
      </c>
      <c r="P1072" s="128" t="s">
        <v>1257</v>
      </c>
      <c r="Q1072" s="126">
        <v>4120000</v>
      </c>
      <c r="R1072" s="129">
        <v>1</v>
      </c>
      <c r="S1072" s="130">
        <f t="shared" si="105"/>
        <v>47380000</v>
      </c>
      <c r="T1072" s="112" t="s">
        <v>1051</v>
      </c>
      <c r="U1072" s="112" t="s">
        <v>949</v>
      </c>
      <c r="V1072" s="132" t="s">
        <v>516</v>
      </c>
      <c r="W1072" s="1">
        <v>11.5</v>
      </c>
      <c r="X1072" s="133" t="s">
        <v>1258</v>
      </c>
      <c r="Y1072" s="125">
        <v>43104</v>
      </c>
      <c r="Z1072" s="127">
        <f t="shared" si="106"/>
        <v>47380000</v>
      </c>
      <c r="AA1072" s="133"/>
      <c r="AB1072" s="133">
        <v>275</v>
      </c>
      <c r="AC1072" s="134">
        <v>43109</v>
      </c>
      <c r="AD1072" s="126">
        <v>47380000</v>
      </c>
      <c r="AE1072" s="135">
        <f t="shared" si="100"/>
        <v>0</v>
      </c>
      <c r="AF1072" s="139">
        <v>363</v>
      </c>
      <c r="AG1072" s="134">
        <v>43123</v>
      </c>
      <c r="AH1072" s="135">
        <f>AD1072</f>
        <v>47380000</v>
      </c>
      <c r="AI1072" s="136" t="s">
        <v>1259</v>
      </c>
      <c r="AJ1072" s="133">
        <v>303</v>
      </c>
      <c r="AK1072" s="97"/>
      <c r="AL1072" s="135">
        <f t="shared" si="104"/>
        <v>47380000</v>
      </c>
      <c r="AM1072" s="135">
        <v>11690500</v>
      </c>
      <c r="AN1072" s="135">
        <f t="shared" ref="AN1072:AN1079" si="107">AL1072-AM1072</f>
        <v>35689500</v>
      </c>
      <c r="AO1072" s="136" t="s">
        <v>952</v>
      </c>
      <c r="AP1072" s="97"/>
      <c r="AQ1072" s="97"/>
      <c r="AR1072" s="97"/>
      <c r="AS1072" s="97"/>
      <c r="AT1072" s="97"/>
      <c r="AU1072" s="97"/>
    </row>
    <row r="1073" spans="1:47" ht="369.75" x14ac:dyDescent="0.2">
      <c r="A1073" s="128">
        <v>84</v>
      </c>
      <c r="B1073" s="128" t="s">
        <v>1260</v>
      </c>
      <c r="C1073" s="65" t="s">
        <v>941</v>
      </c>
      <c r="D1073" s="1" t="s">
        <v>942</v>
      </c>
      <c r="E1073" s="8" t="s">
        <v>971</v>
      </c>
      <c r="F1073" s="1" t="s">
        <v>511</v>
      </c>
      <c r="G1073" s="1" t="s">
        <v>512</v>
      </c>
      <c r="H1073" s="66" t="s">
        <v>944</v>
      </c>
      <c r="I1073" s="1" t="s">
        <v>54</v>
      </c>
      <c r="J1073" s="1" t="s">
        <v>55</v>
      </c>
      <c r="K1073" s="52">
        <v>801116</v>
      </c>
      <c r="L1073" s="52" t="s">
        <v>945</v>
      </c>
      <c r="M1073" s="128" t="s">
        <v>493</v>
      </c>
      <c r="N1073" s="128" t="s">
        <v>494</v>
      </c>
      <c r="O1073" s="53" t="s">
        <v>946</v>
      </c>
      <c r="P1073" s="128" t="s">
        <v>1261</v>
      </c>
      <c r="Q1073" s="126">
        <v>2472000</v>
      </c>
      <c r="R1073" s="129">
        <v>1</v>
      </c>
      <c r="S1073" s="126">
        <f t="shared" si="105"/>
        <v>28428000</v>
      </c>
      <c r="T1073" s="112" t="s">
        <v>1051</v>
      </c>
      <c r="U1073" s="112" t="s">
        <v>949</v>
      </c>
      <c r="V1073" s="132" t="s">
        <v>516</v>
      </c>
      <c r="W1073" s="1">
        <v>11.5</v>
      </c>
      <c r="X1073" s="133" t="s">
        <v>1262</v>
      </c>
      <c r="Y1073" s="125">
        <v>43104</v>
      </c>
      <c r="Z1073" s="127">
        <f t="shared" si="106"/>
        <v>28428000</v>
      </c>
      <c r="AA1073" s="133"/>
      <c r="AB1073" s="133">
        <v>276</v>
      </c>
      <c r="AC1073" s="134">
        <v>43109</v>
      </c>
      <c r="AD1073" s="126">
        <v>28428000</v>
      </c>
      <c r="AE1073" s="135">
        <f t="shared" si="100"/>
        <v>0</v>
      </c>
      <c r="AF1073" s="139">
        <v>494</v>
      </c>
      <c r="AG1073" s="134">
        <v>43126</v>
      </c>
      <c r="AH1073" s="135">
        <f>AD1073</f>
        <v>28428000</v>
      </c>
      <c r="AI1073" s="136" t="s">
        <v>1263</v>
      </c>
      <c r="AJ1073" s="133">
        <v>420</v>
      </c>
      <c r="AK1073" s="97"/>
      <c r="AL1073" s="135">
        <f t="shared" si="104"/>
        <v>28428000</v>
      </c>
      <c r="AM1073" s="135">
        <v>12360000</v>
      </c>
      <c r="AN1073" s="135">
        <f t="shared" si="107"/>
        <v>16068000</v>
      </c>
      <c r="AO1073" s="136" t="s">
        <v>952</v>
      </c>
      <c r="AP1073" s="97"/>
      <c r="AQ1073" s="97"/>
      <c r="AR1073" s="97"/>
      <c r="AS1073" s="97"/>
      <c r="AT1073" s="97"/>
      <c r="AU1073" s="97"/>
    </row>
    <row r="1074" spans="1:47" ht="409.5" x14ac:dyDescent="0.2">
      <c r="A1074" s="128">
        <v>85</v>
      </c>
      <c r="B1074" s="128" t="s">
        <v>1264</v>
      </c>
      <c r="C1074" s="65" t="s">
        <v>941</v>
      </c>
      <c r="D1074" s="1" t="s">
        <v>942</v>
      </c>
      <c r="E1074" s="128" t="s">
        <v>943</v>
      </c>
      <c r="F1074" s="1" t="s">
        <v>511</v>
      </c>
      <c r="G1074" s="1" t="s">
        <v>512</v>
      </c>
      <c r="H1074" s="66" t="s">
        <v>944</v>
      </c>
      <c r="I1074" s="1" t="s">
        <v>54</v>
      </c>
      <c r="J1074" s="1" t="s">
        <v>55</v>
      </c>
      <c r="K1074" s="52">
        <v>801116</v>
      </c>
      <c r="L1074" s="52" t="s">
        <v>945</v>
      </c>
      <c r="M1074" s="128" t="s">
        <v>493</v>
      </c>
      <c r="N1074" s="128" t="s">
        <v>494</v>
      </c>
      <c r="O1074" s="53" t="s">
        <v>946</v>
      </c>
      <c r="P1074" s="128" t="s">
        <v>611</v>
      </c>
      <c r="Q1074" s="126">
        <v>888376</v>
      </c>
      <c r="R1074" s="129">
        <v>1</v>
      </c>
      <c r="S1074" s="130">
        <f t="shared" si="105"/>
        <v>10216324</v>
      </c>
      <c r="T1074" s="112" t="s">
        <v>1051</v>
      </c>
      <c r="U1074" s="112" t="s">
        <v>949</v>
      </c>
      <c r="V1074" s="132" t="s">
        <v>516</v>
      </c>
      <c r="W1074" s="112">
        <v>11.5</v>
      </c>
      <c r="X1074" s="133" t="s">
        <v>1265</v>
      </c>
      <c r="Y1074" s="125">
        <v>43104</v>
      </c>
      <c r="Z1074" s="127">
        <f t="shared" si="106"/>
        <v>10216324</v>
      </c>
      <c r="AA1074" s="133"/>
      <c r="AB1074" s="133">
        <v>277</v>
      </c>
      <c r="AC1074" s="134">
        <v>43109</v>
      </c>
      <c r="AD1074" s="126">
        <v>10216324</v>
      </c>
      <c r="AE1074" s="135">
        <f t="shared" si="100"/>
        <v>444199</v>
      </c>
      <c r="AF1074" s="139">
        <v>291</v>
      </c>
      <c r="AG1074" s="134">
        <v>43122</v>
      </c>
      <c r="AH1074" s="126">
        <v>9772125</v>
      </c>
      <c r="AI1074" s="136" t="s">
        <v>612</v>
      </c>
      <c r="AJ1074" s="133">
        <v>261</v>
      </c>
      <c r="AK1074" s="97"/>
      <c r="AL1074" s="135">
        <f t="shared" si="104"/>
        <v>9772125</v>
      </c>
      <c r="AM1074" s="135">
        <v>4708387</v>
      </c>
      <c r="AN1074" s="135">
        <f t="shared" si="107"/>
        <v>5063738</v>
      </c>
      <c r="AO1074" s="136" t="s">
        <v>952</v>
      </c>
      <c r="AP1074" s="97"/>
      <c r="AQ1074" s="97"/>
      <c r="AR1074" s="97"/>
      <c r="AS1074" s="97"/>
      <c r="AT1074" s="97"/>
      <c r="AU1074" s="97"/>
    </row>
    <row r="1075" spans="1:47" ht="357" x14ac:dyDescent="0.2">
      <c r="A1075" s="128">
        <v>86</v>
      </c>
      <c r="B1075" s="128" t="s">
        <v>1266</v>
      </c>
      <c r="C1075" s="65" t="s">
        <v>941</v>
      </c>
      <c r="D1075" s="1" t="s">
        <v>942</v>
      </c>
      <c r="E1075" s="1" t="s">
        <v>1267</v>
      </c>
      <c r="F1075" s="1" t="s">
        <v>511</v>
      </c>
      <c r="G1075" s="1" t="s">
        <v>512</v>
      </c>
      <c r="H1075" s="66" t="s">
        <v>944</v>
      </c>
      <c r="I1075" s="1" t="s">
        <v>54</v>
      </c>
      <c r="J1075" s="1" t="s">
        <v>55</v>
      </c>
      <c r="K1075" s="52">
        <v>801116</v>
      </c>
      <c r="L1075" s="52" t="s">
        <v>945</v>
      </c>
      <c r="M1075" s="128" t="s">
        <v>493</v>
      </c>
      <c r="N1075" s="128" t="s">
        <v>494</v>
      </c>
      <c r="O1075" s="53" t="s">
        <v>946</v>
      </c>
      <c r="P1075" s="128" t="s">
        <v>1268</v>
      </c>
      <c r="Q1075" s="126">
        <v>6695000</v>
      </c>
      <c r="R1075" s="129">
        <v>1</v>
      </c>
      <c r="S1075" s="126">
        <f t="shared" si="105"/>
        <v>76992500</v>
      </c>
      <c r="T1075" s="112" t="s">
        <v>1051</v>
      </c>
      <c r="U1075" s="112" t="s">
        <v>949</v>
      </c>
      <c r="V1075" s="132" t="s">
        <v>516</v>
      </c>
      <c r="W1075" s="112">
        <v>11.5</v>
      </c>
      <c r="X1075" s="133" t="s">
        <v>1269</v>
      </c>
      <c r="Y1075" s="125">
        <v>43104</v>
      </c>
      <c r="Z1075" s="127">
        <f t="shared" si="106"/>
        <v>76992500</v>
      </c>
      <c r="AA1075" s="133"/>
      <c r="AB1075" s="133">
        <v>278</v>
      </c>
      <c r="AC1075" s="134">
        <v>43109</v>
      </c>
      <c r="AD1075" s="126">
        <v>76992500</v>
      </c>
      <c r="AE1075" s="135">
        <f>AD1075-AL1075</f>
        <v>0</v>
      </c>
      <c r="AF1075" s="139">
        <v>318</v>
      </c>
      <c r="AG1075" s="134">
        <v>43122</v>
      </c>
      <c r="AH1075" s="135">
        <f>AD1075</f>
        <v>76992500</v>
      </c>
      <c r="AI1075" s="136" t="s">
        <v>1270</v>
      </c>
      <c r="AJ1075" s="133">
        <v>277</v>
      </c>
      <c r="AK1075" s="97"/>
      <c r="AL1075" s="135">
        <f t="shared" si="104"/>
        <v>76992500</v>
      </c>
      <c r="AM1075" s="135">
        <v>35260333</v>
      </c>
      <c r="AN1075" s="135">
        <f t="shared" si="107"/>
        <v>41732167</v>
      </c>
      <c r="AO1075" s="136" t="s">
        <v>952</v>
      </c>
      <c r="AP1075" s="97"/>
      <c r="AQ1075" s="97"/>
      <c r="AR1075" s="97"/>
      <c r="AS1075" s="97"/>
      <c r="AT1075" s="97"/>
      <c r="AU1075" s="97"/>
    </row>
    <row r="1076" spans="1:47" ht="409.5" x14ac:dyDescent="0.2">
      <c r="A1076" s="128">
        <v>87</v>
      </c>
      <c r="B1076" s="128" t="s">
        <v>1271</v>
      </c>
      <c r="C1076" s="65" t="s">
        <v>941</v>
      </c>
      <c r="D1076" s="1" t="s">
        <v>942</v>
      </c>
      <c r="E1076" s="128" t="s">
        <v>971</v>
      </c>
      <c r="F1076" s="1" t="s">
        <v>511</v>
      </c>
      <c r="G1076" s="1" t="s">
        <v>512</v>
      </c>
      <c r="H1076" s="66" t="s">
        <v>944</v>
      </c>
      <c r="I1076" s="1" t="s">
        <v>54</v>
      </c>
      <c r="J1076" s="1" t="s">
        <v>55</v>
      </c>
      <c r="K1076" s="52">
        <v>801116</v>
      </c>
      <c r="L1076" s="52" t="s">
        <v>945</v>
      </c>
      <c r="M1076" s="128" t="s">
        <v>493</v>
      </c>
      <c r="N1076" s="128" t="s">
        <v>494</v>
      </c>
      <c r="O1076" s="53" t="s">
        <v>946</v>
      </c>
      <c r="P1076" s="128" t="s">
        <v>1272</v>
      </c>
      <c r="Q1076" s="126">
        <v>5036700</v>
      </c>
      <c r="R1076" s="129">
        <v>1</v>
      </c>
      <c r="S1076" s="126">
        <f t="shared" si="105"/>
        <v>57922050</v>
      </c>
      <c r="T1076" s="112" t="s">
        <v>1051</v>
      </c>
      <c r="U1076" s="112" t="s">
        <v>949</v>
      </c>
      <c r="V1076" s="132" t="s">
        <v>516</v>
      </c>
      <c r="W1076" s="112">
        <v>11.5</v>
      </c>
      <c r="X1076" s="133" t="s">
        <v>1273</v>
      </c>
      <c r="Y1076" s="125">
        <v>43104</v>
      </c>
      <c r="Z1076" s="127">
        <f t="shared" si="106"/>
        <v>57922050</v>
      </c>
      <c r="AA1076" s="133"/>
      <c r="AB1076" s="133">
        <v>279</v>
      </c>
      <c r="AC1076" s="134">
        <v>43109</v>
      </c>
      <c r="AD1076" s="126">
        <v>57922050</v>
      </c>
      <c r="AE1076" s="135">
        <f>AD1076-AL1076</f>
        <v>0</v>
      </c>
      <c r="AF1076" s="139">
        <v>493</v>
      </c>
      <c r="AG1076" s="134">
        <v>43126</v>
      </c>
      <c r="AH1076" s="135">
        <f>AD1076</f>
        <v>57922050</v>
      </c>
      <c r="AI1076" s="136" t="s">
        <v>1274</v>
      </c>
      <c r="AJ1076" s="133">
        <v>423</v>
      </c>
      <c r="AK1076" s="97"/>
      <c r="AL1076" s="135">
        <f t="shared" si="104"/>
        <v>57922050</v>
      </c>
      <c r="AM1076" s="135">
        <v>25519280</v>
      </c>
      <c r="AN1076" s="135">
        <f t="shared" si="107"/>
        <v>32402770</v>
      </c>
      <c r="AO1076" s="136" t="s">
        <v>952</v>
      </c>
      <c r="AP1076" s="97"/>
      <c r="AQ1076" s="97"/>
      <c r="AR1076" s="97"/>
      <c r="AS1076" s="97"/>
      <c r="AT1076" s="97"/>
      <c r="AU1076" s="97"/>
    </row>
    <row r="1077" spans="1:47" ht="369.75" x14ac:dyDescent="0.2">
      <c r="A1077" s="128">
        <v>88</v>
      </c>
      <c r="B1077" s="128" t="s">
        <v>1275</v>
      </c>
      <c r="C1077" s="65" t="s">
        <v>941</v>
      </c>
      <c r="D1077" s="1" t="s">
        <v>942</v>
      </c>
      <c r="E1077" s="128" t="s">
        <v>971</v>
      </c>
      <c r="F1077" s="1" t="s">
        <v>511</v>
      </c>
      <c r="G1077" s="1" t="s">
        <v>512</v>
      </c>
      <c r="H1077" s="66" t="s">
        <v>944</v>
      </c>
      <c r="I1077" s="1" t="s">
        <v>54</v>
      </c>
      <c r="J1077" s="1" t="s">
        <v>55</v>
      </c>
      <c r="K1077" s="52">
        <v>801116</v>
      </c>
      <c r="L1077" s="52" t="s">
        <v>945</v>
      </c>
      <c r="M1077" s="128" t="s">
        <v>493</v>
      </c>
      <c r="N1077" s="128" t="s">
        <v>494</v>
      </c>
      <c r="O1077" s="53" t="s">
        <v>946</v>
      </c>
      <c r="P1077" s="128" t="s">
        <v>1106</v>
      </c>
      <c r="Q1077" s="126">
        <v>4120000</v>
      </c>
      <c r="R1077" s="129">
        <v>1</v>
      </c>
      <c r="S1077" s="126">
        <f t="shared" si="105"/>
        <v>47380000</v>
      </c>
      <c r="T1077" s="112" t="s">
        <v>1051</v>
      </c>
      <c r="U1077" s="112" t="s">
        <v>949</v>
      </c>
      <c r="V1077" s="132" t="s">
        <v>516</v>
      </c>
      <c r="W1077" s="112">
        <v>11.5</v>
      </c>
      <c r="X1077" s="133" t="s">
        <v>1276</v>
      </c>
      <c r="Y1077" s="125">
        <v>43104</v>
      </c>
      <c r="Z1077" s="127">
        <f t="shared" si="106"/>
        <v>47380000</v>
      </c>
      <c r="AA1077" s="133"/>
      <c r="AB1077" s="133">
        <v>280</v>
      </c>
      <c r="AC1077" s="134">
        <v>43109</v>
      </c>
      <c r="AD1077" s="126">
        <v>47380000</v>
      </c>
      <c r="AE1077" s="135">
        <f>AD1077-AL1077</f>
        <v>0</v>
      </c>
      <c r="AF1077" s="139">
        <v>480</v>
      </c>
      <c r="AG1077" s="134">
        <v>43126</v>
      </c>
      <c r="AH1077" s="135">
        <f>AD1077</f>
        <v>47380000</v>
      </c>
      <c r="AI1077" s="136" t="s">
        <v>1277</v>
      </c>
      <c r="AJ1077" s="133">
        <v>402</v>
      </c>
      <c r="AK1077" s="97"/>
      <c r="AL1077" s="135">
        <f t="shared" si="104"/>
        <v>47380000</v>
      </c>
      <c r="AM1077" s="135">
        <v>20874667</v>
      </c>
      <c r="AN1077" s="135">
        <f t="shared" si="107"/>
        <v>26505333</v>
      </c>
      <c r="AO1077" s="136" t="s">
        <v>952</v>
      </c>
      <c r="AP1077" s="97"/>
      <c r="AQ1077" s="97"/>
      <c r="AR1077" s="97"/>
      <c r="AS1077" s="97"/>
      <c r="AT1077" s="97"/>
      <c r="AU1077" s="97"/>
    </row>
    <row r="1078" spans="1:47" ht="267.75" x14ac:dyDescent="0.2">
      <c r="A1078" s="128">
        <v>89</v>
      </c>
      <c r="B1078" s="128" t="s">
        <v>1278</v>
      </c>
      <c r="C1078" s="65" t="s">
        <v>941</v>
      </c>
      <c r="D1078" s="1" t="s">
        <v>942</v>
      </c>
      <c r="E1078" s="128" t="s">
        <v>971</v>
      </c>
      <c r="F1078" s="1" t="s">
        <v>511</v>
      </c>
      <c r="G1078" s="1" t="s">
        <v>512</v>
      </c>
      <c r="H1078" s="66" t="s">
        <v>944</v>
      </c>
      <c r="I1078" s="1" t="s">
        <v>54</v>
      </c>
      <c r="J1078" s="1" t="s">
        <v>55</v>
      </c>
      <c r="K1078" s="52">
        <v>801116</v>
      </c>
      <c r="L1078" s="52" t="s">
        <v>945</v>
      </c>
      <c r="M1078" s="128" t="s">
        <v>493</v>
      </c>
      <c r="N1078" s="128" t="s">
        <v>494</v>
      </c>
      <c r="O1078" s="53" t="s">
        <v>946</v>
      </c>
      <c r="P1078" s="128" t="s">
        <v>1279</v>
      </c>
      <c r="Q1078" s="126">
        <v>1545000</v>
      </c>
      <c r="R1078" s="129">
        <v>1</v>
      </c>
      <c r="S1078" s="126">
        <f t="shared" si="105"/>
        <v>17767500</v>
      </c>
      <c r="T1078" s="112" t="s">
        <v>1051</v>
      </c>
      <c r="U1078" s="112" t="s">
        <v>949</v>
      </c>
      <c r="V1078" s="132" t="s">
        <v>516</v>
      </c>
      <c r="W1078" s="112">
        <v>11.5</v>
      </c>
      <c r="X1078" s="133" t="s">
        <v>1280</v>
      </c>
      <c r="Y1078" s="125">
        <v>43104</v>
      </c>
      <c r="Z1078" s="127">
        <f t="shared" si="106"/>
        <v>17767500</v>
      </c>
      <c r="AA1078" s="133"/>
      <c r="AB1078" s="133">
        <v>281</v>
      </c>
      <c r="AC1078" s="134">
        <v>43109</v>
      </c>
      <c r="AD1078" s="126">
        <v>17767500</v>
      </c>
      <c r="AE1078" s="135">
        <f>AD1078-AL1078</f>
        <v>0</v>
      </c>
      <c r="AF1078" s="139">
        <v>296</v>
      </c>
      <c r="AG1078" s="134">
        <v>43122</v>
      </c>
      <c r="AH1078" s="135">
        <f>AD1078</f>
        <v>17767500</v>
      </c>
      <c r="AI1078" s="136" t="s">
        <v>1281</v>
      </c>
      <c r="AJ1078" s="133">
        <v>264</v>
      </c>
      <c r="AK1078" s="97"/>
      <c r="AL1078" s="135">
        <f t="shared" si="104"/>
        <v>17767500</v>
      </c>
      <c r="AM1078" s="135">
        <v>8188500</v>
      </c>
      <c r="AN1078" s="135">
        <f t="shared" si="107"/>
        <v>9579000</v>
      </c>
      <c r="AO1078" s="136" t="s">
        <v>952</v>
      </c>
      <c r="AP1078" s="97"/>
      <c r="AQ1078" s="97"/>
      <c r="AR1078" s="97"/>
      <c r="AS1078" s="97"/>
      <c r="AT1078" s="97"/>
      <c r="AU1078" s="97"/>
    </row>
    <row r="1079" spans="1:47" ht="409.5" x14ac:dyDescent="0.2">
      <c r="A1079" s="128">
        <v>90</v>
      </c>
      <c r="B1079" s="128" t="s">
        <v>1282</v>
      </c>
      <c r="C1079" s="65" t="s">
        <v>941</v>
      </c>
      <c r="D1079" s="1" t="s">
        <v>942</v>
      </c>
      <c r="E1079" s="128" t="s">
        <v>943</v>
      </c>
      <c r="F1079" s="1" t="s">
        <v>511</v>
      </c>
      <c r="G1079" s="1" t="s">
        <v>512</v>
      </c>
      <c r="H1079" s="66" t="s">
        <v>944</v>
      </c>
      <c r="I1079" s="1" t="s">
        <v>54</v>
      </c>
      <c r="J1079" s="1" t="s">
        <v>55</v>
      </c>
      <c r="K1079" s="52">
        <v>801116</v>
      </c>
      <c r="L1079" s="54" t="s">
        <v>945</v>
      </c>
      <c r="M1079" s="128" t="s">
        <v>493</v>
      </c>
      <c r="N1079" s="128" t="s">
        <v>494</v>
      </c>
      <c r="O1079" s="53" t="s">
        <v>946</v>
      </c>
      <c r="P1079" s="128" t="s">
        <v>1283</v>
      </c>
      <c r="Q1079" s="126">
        <v>7210000</v>
      </c>
      <c r="R1079" s="131">
        <v>1</v>
      </c>
      <c r="S1079" s="130">
        <f>+Q1079*R1079*W1079-82915000</f>
        <v>0</v>
      </c>
      <c r="T1079" s="112" t="s">
        <v>1051</v>
      </c>
      <c r="U1079" s="112" t="s">
        <v>949</v>
      </c>
      <c r="V1079" s="132" t="s">
        <v>516</v>
      </c>
      <c r="W1079" s="112">
        <v>11.5</v>
      </c>
      <c r="X1079" s="133" t="s">
        <v>1284</v>
      </c>
      <c r="Y1079" s="138">
        <v>43104</v>
      </c>
      <c r="Z1079" s="126">
        <f t="shared" si="106"/>
        <v>0</v>
      </c>
      <c r="AA1079" s="97"/>
      <c r="AB1079" s="112" t="s">
        <v>1285</v>
      </c>
      <c r="AC1079" s="138">
        <v>43109</v>
      </c>
      <c r="AD1079" s="126">
        <v>82915000</v>
      </c>
      <c r="AE1079" s="97"/>
      <c r="AF1079" s="139"/>
      <c r="AG1079" s="97"/>
      <c r="AH1079" s="97"/>
      <c r="AI1079" s="136"/>
      <c r="AJ1079" s="97"/>
      <c r="AK1079" s="97"/>
      <c r="AL1079" s="97"/>
      <c r="AM1079" s="97"/>
      <c r="AN1079" s="137">
        <f t="shared" si="107"/>
        <v>0</v>
      </c>
      <c r="AO1079" s="136" t="s">
        <v>952</v>
      </c>
      <c r="AP1079" s="97"/>
      <c r="AQ1079" s="140" t="s">
        <v>1286</v>
      </c>
      <c r="AR1079" s="141">
        <v>43150</v>
      </c>
      <c r="AS1079" s="136" t="s">
        <v>962</v>
      </c>
      <c r="AT1079" s="97"/>
      <c r="AU1079" s="140" t="s">
        <v>963</v>
      </c>
    </row>
    <row r="1080" spans="1:47" ht="229.5" x14ac:dyDescent="0.2">
      <c r="A1080" s="128">
        <v>91</v>
      </c>
      <c r="B1080" s="128" t="s">
        <v>1287</v>
      </c>
      <c r="C1080" s="65" t="s">
        <v>941</v>
      </c>
      <c r="D1080" s="1" t="s">
        <v>942</v>
      </c>
      <c r="E1080" s="1" t="s">
        <v>1267</v>
      </c>
      <c r="F1080" s="1" t="s">
        <v>511</v>
      </c>
      <c r="G1080" s="1" t="s">
        <v>512</v>
      </c>
      <c r="H1080" s="66" t="s">
        <v>944</v>
      </c>
      <c r="I1080" s="1" t="s">
        <v>54</v>
      </c>
      <c r="J1080" s="1" t="s">
        <v>55</v>
      </c>
      <c r="K1080" s="52">
        <v>801116</v>
      </c>
      <c r="L1080" s="54" t="s">
        <v>945</v>
      </c>
      <c r="M1080" s="128" t="s">
        <v>493</v>
      </c>
      <c r="N1080" s="128" t="s">
        <v>494</v>
      </c>
      <c r="O1080" s="53" t="s">
        <v>946</v>
      </c>
      <c r="P1080" s="128" t="s">
        <v>1288</v>
      </c>
      <c r="Q1080" s="126">
        <f>+S1080/10</f>
        <v>-100214</v>
      </c>
      <c r="R1080" s="131">
        <v>1</v>
      </c>
      <c r="S1080" s="126">
        <f>119000000-24457140-14280000-55000000-26265000</f>
        <v>-1002140</v>
      </c>
      <c r="T1080" s="112" t="s">
        <v>1051</v>
      </c>
      <c r="U1080" s="112" t="s">
        <v>949</v>
      </c>
      <c r="V1080" s="132" t="s">
        <v>507</v>
      </c>
      <c r="W1080" s="112">
        <v>10</v>
      </c>
      <c r="X1080" s="133"/>
      <c r="Y1080" s="138">
        <v>43102</v>
      </c>
      <c r="Z1080" s="126">
        <f t="shared" si="106"/>
        <v>-1002140</v>
      </c>
      <c r="AA1080" s="97"/>
      <c r="AB1080" s="133"/>
      <c r="AC1080" s="139"/>
      <c r="AD1080" s="126"/>
      <c r="AE1080" s="97"/>
      <c r="AF1080" s="139"/>
      <c r="AG1080" s="97"/>
      <c r="AH1080" s="97"/>
      <c r="AI1080" s="136"/>
      <c r="AJ1080" s="97"/>
      <c r="AK1080" s="97"/>
      <c r="AL1080" s="97"/>
      <c r="AM1080" s="97"/>
      <c r="AN1080" s="97"/>
      <c r="AO1080" s="136" t="s">
        <v>952</v>
      </c>
      <c r="AP1080" s="97"/>
      <c r="AQ1080" s="97"/>
      <c r="AR1080" s="97"/>
      <c r="AS1080" s="97"/>
      <c r="AT1080" s="97"/>
      <c r="AU1080" s="97"/>
    </row>
    <row r="1081" spans="1:47" ht="204" x14ac:dyDescent="0.2">
      <c r="A1081" s="128">
        <v>92</v>
      </c>
      <c r="B1081" s="128" t="s">
        <v>1289</v>
      </c>
      <c r="C1081" s="65" t="s">
        <v>941</v>
      </c>
      <c r="D1081" s="1" t="s">
        <v>942</v>
      </c>
      <c r="E1081" s="128" t="s">
        <v>943</v>
      </c>
      <c r="F1081" s="1" t="s">
        <v>511</v>
      </c>
      <c r="G1081" s="1" t="s">
        <v>512</v>
      </c>
      <c r="H1081" s="66" t="s">
        <v>944</v>
      </c>
      <c r="I1081" s="1" t="s">
        <v>54</v>
      </c>
      <c r="J1081" s="1" t="s">
        <v>55</v>
      </c>
      <c r="K1081" s="55">
        <v>801116</v>
      </c>
      <c r="L1081" s="56" t="s">
        <v>945</v>
      </c>
      <c r="M1081" s="131" t="s">
        <v>493</v>
      </c>
      <c r="N1081" s="128" t="s">
        <v>494</v>
      </c>
      <c r="O1081" s="53" t="s">
        <v>946</v>
      </c>
      <c r="P1081" s="131" t="s">
        <v>1290</v>
      </c>
      <c r="Q1081" s="126">
        <f>+S1081/10/R1081</f>
        <v>168470.1</v>
      </c>
      <c r="R1081" s="131">
        <v>2</v>
      </c>
      <c r="S1081" s="130">
        <f>293177807-38259350-38259350-17767500-27192000-37389000-60000000-39088500+38455195+65147500+82915000-90000000-11611000-30000000-6798000-19961400-60000000</f>
        <v>3369402</v>
      </c>
      <c r="T1081" s="112" t="s">
        <v>1051</v>
      </c>
      <c r="U1081" s="112" t="s">
        <v>949</v>
      </c>
      <c r="V1081" s="132" t="s">
        <v>507</v>
      </c>
      <c r="W1081" s="112">
        <v>10</v>
      </c>
      <c r="X1081" s="133"/>
      <c r="Y1081" s="138">
        <v>43102</v>
      </c>
      <c r="Z1081" s="126">
        <f t="shared" si="106"/>
        <v>3369402</v>
      </c>
      <c r="AA1081" s="97"/>
      <c r="AB1081" s="133"/>
      <c r="AC1081" s="139"/>
      <c r="AD1081" s="126"/>
      <c r="AE1081" s="97"/>
      <c r="AF1081" s="139"/>
      <c r="AG1081" s="97"/>
      <c r="AH1081" s="97"/>
      <c r="AI1081" s="136"/>
      <c r="AJ1081" s="97"/>
      <c r="AK1081" s="97"/>
      <c r="AL1081" s="97"/>
      <c r="AM1081" s="97"/>
      <c r="AN1081" s="97"/>
      <c r="AO1081" s="136" t="s">
        <v>952</v>
      </c>
      <c r="AP1081" s="97"/>
      <c r="AQ1081" s="140" t="s">
        <v>1291</v>
      </c>
      <c r="AR1081" s="138">
        <v>43150</v>
      </c>
      <c r="AS1081" s="140" t="s">
        <v>1292</v>
      </c>
      <c r="AT1081" s="97"/>
      <c r="AU1081" s="140" t="s">
        <v>1293</v>
      </c>
    </row>
    <row r="1082" spans="1:47" ht="114.75" x14ac:dyDescent="0.2">
      <c r="A1082" s="128">
        <v>93</v>
      </c>
      <c r="B1082" s="128" t="s">
        <v>1294</v>
      </c>
      <c r="C1082" s="65" t="s">
        <v>941</v>
      </c>
      <c r="D1082" s="1" t="s">
        <v>942</v>
      </c>
      <c r="E1082" s="128" t="s">
        <v>971</v>
      </c>
      <c r="F1082" s="1" t="s">
        <v>511</v>
      </c>
      <c r="G1082" s="1" t="s">
        <v>512</v>
      </c>
      <c r="H1082" s="66" t="s">
        <v>944</v>
      </c>
      <c r="I1082" s="1" t="s">
        <v>54</v>
      </c>
      <c r="J1082" s="1" t="s">
        <v>55</v>
      </c>
      <c r="K1082" s="52">
        <v>801116</v>
      </c>
      <c r="L1082" s="54" t="s">
        <v>945</v>
      </c>
      <c r="M1082" s="128" t="s">
        <v>493</v>
      </c>
      <c r="N1082" s="128" t="s">
        <v>494</v>
      </c>
      <c r="O1082" s="53" t="s">
        <v>946</v>
      </c>
      <c r="P1082" s="131" t="s">
        <v>1295</v>
      </c>
      <c r="Q1082" s="126">
        <f>+S1082/R1082/W1082</f>
        <v>9786770.833333334</v>
      </c>
      <c r="R1082" s="131">
        <v>8</v>
      </c>
      <c r="S1082" s="126">
        <v>939530000</v>
      </c>
      <c r="T1082" s="112" t="s">
        <v>1296</v>
      </c>
      <c r="U1082" s="112" t="s">
        <v>1296</v>
      </c>
      <c r="V1082" s="132" t="s">
        <v>516</v>
      </c>
      <c r="W1082" s="112">
        <v>12</v>
      </c>
      <c r="X1082" s="133" t="s">
        <v>1297</v>
      </c>
      <c r="Y1082" s="138">
        <v>43110</v>
      </c>
      <c r="Z1082" s="126">
        <f t="shared" si="106"/>
        <v>939530000</v>
      </c>
      <c r="AA1082" s="97"/>
      <c r="AB1082" s="142">
        <v>541</v>
      </c>
      <c r="AC1082" s="139"/>
      <c r="AD1082" s="126"/>
      <c r="AE1082" s="97"/>
      <c r="AF1082" s="139"/>
      <c r="AG1082" s="97"/>
      <c r="AH1082" s="97"/>
      <c r="AI1082" s="136"/>
      <c r="AJ1082" s="97"/>
      <c r="AK1082" s="97"/>
      <c r="AL1082" s="97"/>
      <c r="AM1082" s="97"/>
      <c r="AN1082" s="97"/>
      <c r="AO1082" s="136" t="s">
        <v>952</v>
      </c>
      <c r="AP1082" s="97"/>
      <c r="AQ1082" s="97"/>
      <c r="AR1082" s="97"/>
      <c r="AS1082" s="97"/>
      <c r="AT1082" s="97"/>
      <c r="AU1082" s="97"/>
    </row>
    <row r="1083" spans="1:47" ht="114.75" x14ac:dyDescent="0.2">
      <c r="A1083" s="128">
        <v>94</v>
      </c>
      <c r="B1083" s="128" t="s">
        <v>1298</v>
      </c>
      <c r="C1083" s="65" t="s">
        <v>941</v>
      </c>
      <c r="D1083" s="1" t="s">
        <v>942</v>
      </c>
      <c r="E1083" s="128" t="s">
        <v>943</v>
      </c>
      <c r="F1083" s="1" t="s">
        <v>511</v>
      </c>
      <c r="G1083" s="1" t="s">
        <v>512</v>
      </c>
      <c r="H1083" s="66" t="s">
        <v>944</v>
      </c>
      <c r="I1083" s="1" t="s">
        <v>54</v>
      </c>
      <c r="J1083" s="1" t="s">
        <v>55</v>
      </c>
      <c r="K1083" s="52">
        <v>801116</v>
      </c>
      <c r="L1083" s="54" t="s">
        <v>945</v>
      </c>
      <c r="M1083" s="128" t="s">
        <v>493</v>
      </c>
      <c r="N1083" s="128" t="s">
        <v>494</v>
      </c>
      <c r="O1083" s="53" t="s">
        <v>946</v>
      </c>
      <c r="P1083" s="131" t="s">
        <v>1295</v>
      </c>
      <c r="Q1083" s="126">
        <f>+S1083/W1083/R1083</f>
        <v>11323916.666666666</v>
      </c>
      <c r="R1083" s="131">
        <v>4</v>
      </c>
      <c r="S1083" s="130">
        <v>543548000</v>
      </c>
      <c r="T1083" s="112" t="s">
        <v>1296</v>
      </c>
      <c r="U1083" s="112" t="s">
        <v>1296</v>
      </c>
      <c r="V1083" s="132" t="s">
        <v>516</v>
      </c>
      <c r="W1083" s="112">
        <v>12</v>
      </c>
      <c r="X1083" s="133" t="s">
        <v>1299</v>
      </c>
      <c r="Y1083" s="138">
        <v>43110</v>
      </c>
      <c r="Z1083" s="126">
        <f t="shared" si="106"/>
        <v>543548000</v>
      </c>
      <c r="AA1083" s="97"/>
      <c r="AB1083" s="143"/>
      <c r="AC1083" s="139"/>
      <c r="AD1083" s="126"/>
      <c r="AE1083" s="97"/>
      <c r="AF1083" s="139"/>
      <c r="AG1083" s="97"/>
      <c r="AH1083" s="97"/>
      <c r="AI1083" s="136"/>
      <c r="AJ1083" s="97"/>
      <c r="AK1083" s="97"/>
      <c r="AL1083" s="97"/>
      <c r="AM1083" s="97"/>
      <c r="AN1083" s="97"/>
      <c r="AO1083" s="136" t="s">
        <v>952</v>
      </c>
      <c r="AP1083" s="97"/>
      <c r="AQ1083" s="97"/>
      <c r="AR1083" s="97"/>
      <c r="AS1083" s="97"/>
      <c r="AT1083" s="97"/>
      <c r="AU1083" s="97"/>
    </row>
    <row r="1084" spans="1:47" ht="357" x14ac:dyDescent="0.2">
      <c r="A1084" s="128">
        <v>95</v>
      </c>
      <c r="B1084" s="128" t="s">
        <v>1300</v>
      </c>
      <c r="C1084" s="128" t="s">
        <v>941</v>
      </c>
      <c r="D1084" s="128" t="s">
        <v>942</v>
      </c>
      <c r="E1084" s="128" t="s">
        <v>971</v>
      </c>
      <c r="F1084" s="128" t="s">
        <v>501</v>
      </c>
      <c r="G1084" s="128" t="s">
        <v>1301</v>
      </c>
      <c r="H1084" s="128" t="s">
        <v>503</v>
      </c>
      <c r="I1084" s="128" t="s">
        <v>54</v>
      </c>
      <c r="J1084" s="128" t="s">
        <v>55</v>
      </c>
      <c r="K1084" s="1">
        <v>82101600</v>
      </c>
      <c r="L1084" s="1" t="s">
        <v>945</v>
      </c>
      <c r="M1084" s="1" t="s">
        <v>493</v>
      </c>
      <c r="N1084" s="1" t="s">
        <v>494</v>
      </c>
      <c r="O1084" s="53" t="s">
        <v>946</v>
      </c>
      <c r="P1084" s="128" t="s">
        <v>1302</v>
      </c>
      <c r="Q1084" s="126">
        <f>+S1084/W1084/R1084</f>
        <v>5078125</v>
      </c>
      <c r="R1084" s="131">
        <v>1</v>
      </c>
      <c r="S1084" s="126">
        <f>81250000/2</f>
        <v>40625000</v>
      </c>
      <c r="T1084" s="112" t="s">
        <v>1303</v>
      </c>
      <c r="U1084" s="112" t="s">
        <v>1303</v>
      </c>
      <c r="V1084" s="132" t="s">
        <v>507</v>
      </c>
      <c r="W1084" s="112">
        <v>8</v>
      </c>
      <c r="X1084" s="133"/>
      <c r="Y1084" s="139"/>
      <c r="Z1084" s="126">
        <f t="shared" si="106"/>
        <v>40625000</v>
      </c>
      <c r="AA1084" s="97"/>
      <c r="AB1084" s="133"/>
      <c r="AC1084" s="139"/>
      <c r="AD1084" s="126"/>
      <c r="AE1084" s="97"/>
      <c r="AF1084" s="139"/>
      <c r="AG1084" s="97"/>
      <c r="AH1084" s="97"/>
      <c r="AI1084" s="136"/>
      <c r="AJ1084" s="97"/>
      <c r="AK1084" s="97"/>
      <c r="AL1084" s="97"/>
      <c r="AM1084" s="97"/>
      <c r="AN1084" s="97"/>
      <c r="AO1084" s="136" t="s">
        <v>952</v>
      </c>
      <c r="AP1084" s="97"/>
      <c r="AQ1084" s="97"/>
      <c r="AR1084" s="97"/>
      <c r="AS1084" s="97"/>
      <c r="AT1084" s="97"/>
      <c r="AU1084" s="97"/>
    </row>
    <row r="1085" spans="1:47" ht="357" x14ac:dyDescent="0.2">
      <c r="A1085" s="128">
        <v>96</v>
      </c>
      <c r="B1085" s="128" t="s">
        <v>1304</v>
      </c>
      <c r="C1085" s="131" t="s">
        <v>941</v>
      </c>
      <c r="D1085" s="131" t="s">
        <v>942</v>
      </c>
      <c r="E1085" s="131" t="s">
        <v>971</v>
      </c>
      <c r="F1085" s="131" t="s">
        <v>501</v>
      </c>
      <c r="G1085" s="131" t="s">
        <v>1301</v>
      </c>
      <c r="H1085" s="131" t="s">
        <v>503</v>
      </c>
      <c r="I1085" s="131" t="s">
        <v>54</v>
      </c>
      <c r="J1085" s="131" t="s">
        <v>55</v>
      </c>
      <c r="K1085" s="1">
        <v>82101600</v>
      </c>
      <c r="L1085" s="1" t="s">
        <v>945</v>
      </c>
      <c r="M1085" s="1" t="s">
        <v>493</v>
      </c>
      <c r="N1085" s="1" t="s">
        <v>494</v>
      </c>
      <c r="O1085" s="53" t="s">
        <v>946</v>
      </c>
      <c r="P1085" s="128" t="s">
        <v>1302</v>
      </c>
      <c r="Q1085" s="126">
        <f>+S1085/W1085/R1085</f>
        <v>10156250</v>
      </c>
      <c r="R1085" s="131">
        <v>1</v>
      </c>
      <c r="S1085" s="126">
        <f>81250000/2</f>
        <v>40625000</v>
      </c>
      <c r="T1085" s="112" t="s">
        <v>1303</v>
      </c>
      <c r="U1085" s="112" t="s">
        <v>1303</v>
      </c>
      <c r="V1085" s="132" t="s">
        <v>510</v>
      </c>
      <c r="W1085" s="112">
        <v>4</v>
      </c>
      <c r="X1085" s="133"/>
      <c r="Y1085" s="139"/>
      <c r="Z1085" s="126">
        <f t="shared" si="106"/>
        <v>40625000</v>
      </c>
      <c r="AA1085" s="97"/>
      <c r="AB1085" s="133"/>
      <c r="AC1085" s="139"/>
      <c r="AD1085" s="126"/>
      <c r="AE1085" s="97"/>
      <c r="AF1085" s="139"/>
      <c r="AG1085" s="97"/>
      <c r="AH1085" s="97"/>
      <c r="AI1085" s="136"/>
      <c r="AJ1085" s="97"/>
      <c r="AK1085" s="97"/>
      <c r="AL1085" s="97"/>
      <c r="AM1085" s="97"/>
      <c r="AN1085" s="97"/>
      <c r="AO1085" s="136" t="s">
        <v>952</v>
      </c>
      <c r="AP1085" s="97"/>
      <c r="AQ1085" s="97"/>
      <c r="AR1085" s="97"/>
      <c r="AS1085" s="97"/>
      <c r="AT1085" s="97"/>
      <c r="AU1085" s="97"/>
    </row>
    <row r="1086" spans="1:47" ht="357" x14ac:dyDescent="0.2">
      <c r="A1086" s="128">
        <v>97</v>
      </c>
      <c r="B1086" s="128" t="s">
        <v>1305</v>
      </c>
      <c r="C1086" s="128" t="s">
        <v>941</v>
      </c>
      <c r="D1086" s="128" t="s">
        <v>942</v>
      </c>
      <c r="E1086" s="128" t="s">
        <v>943</v>
      </c>
      <c r="F1086" s="128" t="s">
        <v>501</v>
      </c>
      <c r="G1086" s="128" t="s">
        <v>1301</v>
      </c>
      <c r="H1086" s="128" t="s">
        <v>503</v>
      </c>
      <c r="I1086" s="128" t="s">
        <v>54</v>
      </c>
      <c r="J1086" s="128" t="s">
        <v>55</v>
      </c>
      <c r="K1086" s="1">
        <v>82101600</v>
      </c>
      <c r="L1086" s="1" t="s">
        <v>945</v>
      </c>
      <c r="M1086" s="1" t="s">
        <v>493</v>
      </c>
      <c r="N1086" s="1" t="s">
        <v>494</v>
      </c>
      <c r="O1086" s="53" t="s">
        <v>946</v>
      </c>
      <c r="P1086" s="128" t="s">
        <v>1302</v>
      </c>
      <c r="Q1086" s="126">
        <f>+S1086/W1086/R1086</f>
        <v>5078125</v>
      </c>
      <c r="R1086" s="131">
        <v>1</v>
      </c>
      <c r="S1086" s="130">
        <f>81250000/2</f>
        <v>40625000</v>
      </c>
      <c r="T1086" s="112" t="s">
        <v>1303</v>
      </c>
      <c r="U1086" s="112" t="s">
        <v>1303</v>
      </c>
      <c r="V1086" s="132" t="s">
        <v>507</v>
      </c>
      <c r="W1086" s="112">
        <v>8</v>
      </c>
      <c r="X1086" s="133"/>
      <c r="Y1086" s="139"/>
      <c r="Z1086" s="126">
        <f t="shared" si="106"/>
        <v>40625000</v>
      </c>
      <c r="AA1086" s="97"/>
      <c r="AB1086" s="133"/>
      <c r="AC1086" s="139"/>
      <c r="AD1086" s="126"/>
      <c r="AE1086" s="97"/>
      <c r="AF1086" s="139"/>
      <c r="AG1086" s="97"/>
      <c r="AH1086" s="97"/>
      <c r="AI1086" s="136"/>
      <c r="AJ1086" s="97"/>
      <c r="AK1086" s="97"/>
      <c r="AL1086" s="97"/>
      <c r="AM1086" s="97"/>
      <c r="AN1086" s="97"/>
      <c r="AO1086" s="136" t="s">
        <v>952</v>
      </c>
      <c r="AP1086" s="97"/>
      <c r="AQ1086" s="97"/>
      <c r="AR1086" s="97"/>
      <c r="AS1086" s="97"/>
      <c r="AT1086" s="97"/>
      <c r="AU1086" s="97"/>
    </row>
    <row r="1087" spans="1:47" ht="306" x14ac:dyDescent="0.2">
      <c r="A1087" s="128">
        <v>98</v>
      </c>
      <c r="B1087" s="128" t="s">
        <v>1306</v>
      </c>
      <c r="C1087" s="131" t="s">
        <v>941</v>
      </c>
      <c r="D1087" s="131" t="s">
        <v>942</v>
      </c>
      <c r="E1087" s="131" t="s">
        <v>943</v>
      </c>
      <c r="F1087" s="131" t="s">
        <v>501</v>
      </c>
      <c r="G1087" s="131" t="s">
        <v>1301</v>
      </c>
      <c r="H1087" s="131" t="s">
        <v>503</v>
      </c>
      <c r="I1087" s="131" t="s">
        <v>54</v>
      </c>
      <c r="J1087" s="131" t="s">
        <v>55</v>
      </c>
      <c r="K1087" s="1">
        <v>82101600</v>
      </c>
      <c r="L1087" s="1" t="s">
        <v>945</v>
      </c>
      <c r="M1087" s="1" t="s">
        <v>493</v>
      </c>
      <c r="N1087" s="1" t="s">
        <v>494</v>
      </c>
      <c r="O1087" s="53" t="s">
        <v>946</v>
      </c>
      <c r="P1087" s="131" t="s">
        <v>1307</v>
      </c>
      <c r="Q1087" s="126">
        <f>+S1087/W1087/R1087</f>
        <v>10156250</v>
      </c>
      <c r="R1087" s="131">
        <v>1</v>
      </c>
      <c r="S1087" s="130">
        <f>81250000/2</f>
        <v>40625000</v>
      </c>
      <c r="T1087" s="112" t="s">
        <v>1303</v>
      </c>
      <c r="U1087" s="112" t="s">
        <v>1303</v>
      </c>
      <c r="V1087" s="132" t="s">
        <v>510</v>
      </c>
      <c r="W1087" s="112">
        <v>4</v>
      </c>
      <c r="X1087" s="133"/>
      <c r="Y1087" s="139"/>
      <c r="Z1087" s="126">
        <f t="shared" si="106"/>
        <v>40625000</v>
      </c>
      <c r="AA1087" s="97"/>
      <c r="AB1087" s="133"/>
      <c r="AC1087" s="139"/>
      <c r="AD1087" s="126"/>
      <c r="AE1087" s="97"/>
      <c r="AF1087" s="139"/>
      <c r="AG1087" s="97"/>
      <c r="AH1087" s="97"/>
      <c r="AI1087" s="136"/>
      <c r="AJ1087" s="97"/>
      <c r="AK1087" s="97"/>
      <c r="AL1087" s="97"/>
      <c r="AM1087" s="97"/>
      <c r="AN1087" s="97"/>
      <c r="AO1087" s="136" t="s">
        <v>952</v>
      </c>
      <c r="AP1087" s="97"/>
      <c r="AQ1087" s="97"/>
      <c r="AR1087" s="97"/>
      <c r="AS1087" s="97"/>
      <c r="AT1087" s="97"/>
      <c r="AU1087" s="97"/>
    </row>
    <row r="1088" spans="1:47" ht="357" x14ac:dyDescent="0.2">
      <c r="A1088" s="128">
        <v>99</v>
      </c>
      <c r="B1088" s="128" t="s">
        <v>1308</v>
      </c>
      <c r="C1088" s="128" t="s">
        <v>941</v>
      </c>
      <c r="D1088" s="128" t="s">
        <v>942</v>
      </c>
      <c r="E1088" s="128" t="s">
        <v>971</v>
      </c>
      <c r="F1088" s="128" t="s">
        <v>1309</v>
      </c>
      <c r="G1088" s="128" t="s">
        <v>1310</v>
      </c>
      <c r="H1088" s="128" t="s">
        <v>1311</v>
      </c>
      <c r="I1088" s="128" t="s">
        <v>54</v>
      </c>
      <c r="J1088" s="128" t="s">
        <v>55</v>
      </c>
      <c r="K1088" s="128" t="s">
        <v>50</v>
      </c>
      <c r="L1088" s="144"/>
      <c r="M1088" s="128"/>
      <c r="N1088" s="128"/>
      <c r="O1088" s="53" t="s">
        <v>946</v>
      </c>
      <c r="P1088" s="67" t="s">
        <v>1312</v>
      </c>
      <c r="Q1088" s="126">
        <f>+S1088/R1088</f>
        <v>56210.25</v>
      </c>
      <c r="R1088" s="131">
        <v>1200</v>
      </c>
      <c r="S1088" s="126">
        <f>80040000-583400-2004300-10000000</f>
        <v>67452300</v>
      </c>
      <c r="T1088" s="112" t="s">
        <v>1296</v>
      </c>
      <c r="U1088" s="112" t="s">
        <v>1296</v>
      </c>
      <c r="V1088" s="132" t="s">
        <v>1313</v>
      </c>
      <c r="W1088" s="112">
        <v>12</v>
      </c>
      <c r="X1088" s="133"/>
      <c r="Y1088" s="139"/>
      <c r="Z1088" s="126">
        <f t="shared" si="106"/>
        <v>67452300</v>
      </c>
      <c r="AA1088" s="97"/>
      <c r="AB1088" s="133"/>
      <c r="AC1088" s="139"/>
      <c r="AD1088" s="126"/>
      <c r="AE1088" s="97"/>
      <c r="AF1088" s="139"/>
      <c r="AG1088" s="97"/>
      <c r="AH1088" s="97"/>
      <c r="AI1088" s="136"/>
      <c r="AJ1088" s="97"/>
      <c r="AK1088" s="97"/>
      <c r="AL1088" s="97"/>
      <c r="AM1088" s="97"/>
      <c r="AN1088" s="97"/>
      <c r="AO1088" s="136" t="s">
        <v>952</v>
      </c>
      <c r="AP1088" s="97"/>
      <c r="AQ1088" s="97"/>
      <c r="AR1088" s="97"/>
      <c r="AS1088" s="97"/>
      <c r="AT1088" s="97"/>
      <c r="AU1088" s="97"/>
    </row>
    <row r="1089" spans="1:47" ht="331.5" x14ac:dyDescent="0.2">
      <c r="A1089" s="128">
        <v>100</v>
      </c>
      <c r="B1089" s="128" t="s">
        <v>1314</v>
      </c>
      <c r="C1089" s="65" t="s">
        <v>941</v>
      </c>
      <c r="D1089" s="1" t="s">
        <v>942</v>
      </c>
      <c r="E1089" s="131" t="s">
        <v>971</v>
      </c>
      <c r="F1089" s="1" t="s">
        <v>511</v>
      </c>
      <c r="G1089" s="1" t="s">
        <v>512</v>
      </c>
      <c r="H1089" s="66" t="s">
        <v>944</v>
      </c>
      <c r="I1089" s="1" t="s">
        <v>54</v>
      </c>
      <c r="J1089" s="1" t="s">
        <v>55</v>
      </c>
      <c r="K1089" s="52">
        <v>801116</v>
      </c>
      <c r="L1089" s="52" t="s">
        <v>945</v>
      </c>
      <c r="M1089" s="128" t="s">
        <v>493</v>
      </c>
      <c r="N1089" s="128" t="s">
        <v>494</v>
      </c>
      <c r="O1089" s="53" t="s">
        <v>946</v>
      </c>
      <c r="P1089" s="145" t="s">
        <v>1315</v>
      </c>
      <c r="Q1089" s="126">
        <v>3326900</v>
      </c>
      <c r="R1089" s="129">
        <v>1</v>
      </c>
      <c r="S1089" s="126">
        <f>Q1089*11.5</f>
        <v>38259350</v>
      </c>
      <c r="T1089" s="112" t="s">
        <v>1316</v>
      </c>
      <c r="U1089" s="112" t="s">
        <v>58</v>
      </c>
      <c r="V1089" s="132" t="s">
        <v>516</v>
      </c>
      <c r="W1089" s="112">
        <v>11.5</v>
      </c>
      <c r="X1089" s="133" t="s">
        <v>1317</v>
      </c>
      <c r="Y1089" s="125">
        <v>43115</v>
      </c>
      <c r="Z1089" s="127">
        <f t="shared" si="106"/>
        <v>38259350</v>
      </c>
      <c r="AA1089" s="133"/>
      <c r="AB1089" s="133">
        <v>507</v>
      </c>
      <c r="AC1089" s="134">
        <v>43116</v>
      </c>
      <c r="AD1089" s="126">
        <f>Z1089</f>
        <v>38259350</v>
      </c>
      <c r="AE1089" s="135">
        <f t="shared" ref="AE1089:AE1095" si="108">AD1089-AL1089</f>
        <v>0</v>
      </c>
      <c r="AF1089" s="139">
        <v>437</v>
      </c>
      <c r="AG1089" s="134">
        <v>43125</v>
      </c>
      <c r="AH1089" s="135">
        <f>AD1089</f>
        <v>38259350</v>
      </c>
      <c r="AI1089" s="136" t="s">
        <v>1318</v>
      </c>
      <c r="AJ1089" s="133">
        <v>310</v>
      </c>
      <c r="AK1089" s="97"/>
      <c r="AL1089" s="135">
        <f t="shared" ref="AL1089:AL1095" si="109">AH1089</f>
        <v>38259350</v>
      </c>
      <c r="AM1089" s="135">
        <v>17188983</v>
      </c>
      <c r="AN1089" s="135">
        <f t="shared" ref="AN1089:AN1097" si="110">AL1089-AM1089</f>
        <v>21070367</v>
      </c>
      <c r="AO1089" s="136" t="s">
        <v>952</v>
      </c>
      <c r="AP1089" s="97"/>
      <c r="AQ1089" s="97"/>
      <c r="AR1089" s="97"/>
      <c r="AS1089" s="97"/>
      <c r="AT1089" s="97"/>
      <c r="AU1089" s="97"/>
    </row>
    <row r="1090" spans="1:47" ht="409.5" x14ac:dyDescent="0.2">
      <c r="A1090" s="146">
        <f t="shared" ref="A1090:A1146" si="111">A1089+1</f>
        <v>101</v>
      </c>
      <c r="B1090" s="128" t="s">
        <v>1319</v>
      </c>
      <c r="C1090" s="65" t="s">
        <v>941</v>
      </c>
      <c r="D1090" s="1" t="s">
        <v>942</v>
      </c>
      <c r="E1090" s="131" t="s">
        <v>971</v>
      </c>
      <c r="F1090" s="1" t="s">
        <v>511</v>
      </c>
      <c r="G1090" s="1" t="s">
        <v>512</v>
      </c>
      <c r="H1090" s="66" t="s">
        <v>944</v>
      </c>
      <c r="I1090" s="1" t="s">
        <v>54</v>
      </c>
      <c r="J1090" s="1" t="s">
        <v>55</v>
      </c>
      <c r="K1090" s="52">
        <v>801117</v>
      </c>
      <c r="L1090" s="52" t="s">
        <v>945</v>
      </c>
      <c r="M1090" s="128" t="s">
        <v>705</v>
      </c>
      <c r="N1090" s="128" t="s">
        <v>706</v>
      </c>
      <c r="O1090" s="53" t="s">
        <v>1320</v>
      </c>
      <c r="P1090" s="145" t="s">
        <v>1321</v>
      </c>
      <c r="Q1090" s="126">
        <v>3326900</v>
      </c>
      <c r="R1090" s="129">
        <v>1</v>
      </c>
      <c r="S1090" s="126">
        <v>38259350</v>
      </c>
      <c r="T1090" s="112" t="s">
        <v>1316</v>
      </c>
      <c r="U1090" s="112" t="s">
        <v>58</v>
      </c>
      <c r="V1090" s="132" t="s">
        <v>516</v>
      </c>
      <c r="W1090" s="112">
        <v>11.5</v>
      </c>
      <c r="X1090" s="133" t="s">
        <v>1322</v>
      </c>
      <c r="Y1090" s="125">
        <v>43115</v>
      </c>
      <c r="Z1090" s="127">
        <f t="shared" si="106"/>
        <v>38259350</v>
      </c>
      <c r="AA1090" s="133"/>
      <c r="AB1090" s="133">
        <v>506</v>
      </c>
      <c r="AC1090" s="134">
        <v>43116</v>
      </c>
      <c r="AD1090" s="126">
        <v>38259350</v>
      </c>
      <c r="AE1090" s="135">
        <f t="shared" si="108"/>
        <v>0</v>
      </c>
      <c r="AF1090" s="139">
        <v>324</v>
      </c>
      <c r="AG1090" s="134">
        <v>43123</v>
      </c>
      <c r="AH1090" s="135">
        <f>AD1090</f>
        <v>38259350</v>
      </c>
      <c r="AI1090" s="136" t="s">
        <v>1323</v>
      </c>
      <c r="AJ1090" s="133">
        <v>285</v>
      </c>
      <c r="AK1090" s="97"/>
      <c r="AL1090" s="135">
        <f t="shared" si="109"/>
        <v>38259350</v>
      </c>
      <c r="AM1090" s="135">
        <v>17521673</v>
      </c>
      <c r="AN1090" s="135">
        <f t="shared" si="110"/>
        <v>20737677</v>
      </c>
      <c r="AO1090" s="136" t="s">
        <v>952</v>
      </c>
      <c r="AP1090" s="97"/>
      <c r="AQ1090" s="97"/>
      <c r="AR1090" s="97"/>
      <c r="AS1090" s="97"/>
      <c r="AT1090" s="97"/>
      <c r="AU1090" s="97"/>
    </row>
    <row r="1091" spans="1:47" ht="357" x14ac:dyDescent="0.2">
      <c r="A1091" s="146">
        <f t="shared" si="111"/>
        <v>102</v>
      </c>
      <c r="B1091" s="128" t="s">
        <v>1324</v>
      </c>
      <c r="C1091" s="65" t="s">
        <v>941</v>
      </c>
      <c r="D1091" s="1" t="s">
        <v>942</v>
      </c>
      <c r="E1091" s="128" t="s">
        <v>943</v>
      </c>
      <c r="F1091" s="1" t="s">
        <v>511</v>
      </c>
      <c r="G1091" s="1" t="s">
        <v>512</v>
      </c>
      <c r="H1091" s="66" t="s">
        <v>944</v>
      </c>
      <c r="I1091" s="1" t="s">
        <v>54</v>
      </c>
      <c r="J1091" s="1" t="s">
        <v>55</v>
      </c>
      <c r="K1091" s="52">
        <v>801116</v>
      </c>
      <c r="L1091" s="52" t="s">
        <v>945</v>
      </c>
      <c r="M1091" s="128" t="s">
        <v>493</v>
      </c>
      <c r="N1091" s="128" t="s">
        <v>494</v>
      </c>
      <c r="O1091" s="53" t="s">
        <v>946</v>
      </c>
      <c r="P1091" s="145" t="s">
        <v>1257</v>
      </c>
      <c r="Q1091" s="126">
        <v>5665000</v>
      </c>
      <c r="R1091" s="129">
        <v>1</v>
      </c>
      <c r="S1091" s="130">
        <v>17767500</v>
      </c>
      <c r="T1091" s="112" t="s">
        <v>1316</v>
      </c>
      <c r="U1091" s="112" t="s">
        <v>949</v>
      </c>
      <c r="V1091" s="132" t="s">
        <v>516</v>
      </c>
      <c r="W1091" s="112">
        <v>11.5</v>
      </c>
      <c r="X1091" s="133" t="s">
        <v>1325</v>
      </c>
      <c r="Y1091" s="125">
        <v>43115</v>
      </c>
      <c r="Z1091" s="127">
        <f t="shared" si="106"/>
        <v>17767500</v>
      </c>
      <c r="AA1091" s="133" t="s">
        <v>1326</v>
      </c>
      <c r="AB1091" s="133">
        <v>501</v>
      </c>
      <c r="AC1091" s="134">
        <v>43116</v>
      </c>
      <c r="AD1091" s="126">
        <v>17767500</v>
      </c>
      <c r="AE1091" s="135">
        <f t="shared" si="108"/>
        <v>0</v>
      </c>
      <c r="AF1091" s="139">
        <v>362</v>
      </c>
      <c r="AG1091" s="134">
        <v>43123</v>
      </c>
      <c r="AH1091" s="135">
        <f>AD1091</f>
        <v>17767500</v>
      </c>
      <c r="AI1091" s="136" t="s">
        <v>1259</v>
      </c>
      <c r="AJ1091" s="133">
        <v>303</v>
      </c>
      <c r="AK1091" s="97"/>
      <c r="AL1091" s="135">
        <f t="shared" si="109"/>
        <v>17767500</v>
      </c>
      <c r="AM1091" s="135">
        <v>17767500</v>
      </c>
      <c r="AN1091" s="135">
        <f t="shared" si="110"/>
        <v>0</v>
      </c>
      <c r="AO1091" s="136" t="s">
        <v>952</v>
      </c>
      <c r="AP1091" s="97"/>
      <c r="AQ1091" s="97"/>
      <c r="AR1091" s="97"/>
      <c r="AS1091" s="97"/>
      <c r="AT1091" s="97"/>
      <c r="AU1091" s="97"/>
    </row>
    <row r="1092" spans="1:47" ht="409.5" x14ac:dyDescent="0.2">
      <c r="A1092" s="97">
        <f t="shared" si="111"/>
        <v>103</v>
      </c>
      <c r="B1092" s="128" t="s">
        <v>1327</v>
      </c>
      <c r="C1092" s="65" t="s">
        <v>941</v>
      </c>
      <c r="D1092" s="1" t="s">
        <v>942</v>
      </c>
      <c r="E1092" s="128" t="s">
        <v>971</v>
      </c>
      <c r="F1092" s="1" t="s">
        <v>511</v>
      </c>
      <c r="G1092" s="1" t="s">
        <v>512</v>
      </c>
      <c r="H1092" s="66" t="s">
        <v>944</v>
      </c>
      <c r="I1092" s="1" t="s">
        <v>54</v>
      </c>
      <c r="J1092" s="1" t="s">
        <v>55</v>
      </c>
      <c r="K1092" s="52">
        <v>801116</v>
      </c>
      <c r="L1092" s="52" t="s">
        <v>945</v>
      </c>
      <c r="M1092" s="128" t="s">
        <v>493</v>
      </c>
      <c r="N1092" s="128" t="s">
        <v>494</v>
      </c>
      <c r="O1092" s="53" t="s">
        <v>946</v>
      </c>
      <c r="P1092" s="145" t="s">
        <v>1328</v>
      </c>
      <c r="Q1092" s="126">
        <v>2472000</v>
      </c>
      <c r="R1092" s="129">
        <v>1</v>
      </c>
      <c r="S1092" s="126">
        <v>27192000</v>
      </c>
      <c r="T1092" s="112" t="s">
        <v>1316</v>
      </c>
      <c r="U1092" s="112" t="s">
        <v>949</v>
      </c>
      <c r="V1092" s="132" t="s">
        <v>516</v>
      </c>
      <c r="W1092" s="112">
        <v>11</v>
      </c>
      <c r="X1092" s="133" t="s">
        <v>1329</v>
      </c>
      <c r="Y1092" s="125">
        <v>43122</v>
      </c>
      <c r="Z1092" s="127">
        <f t="shared" si="106"/>
        <v>27192000</v>
      </c>
      <c r="AA1092" s="133" t="s">
        <v>1289</v>
      </c>
      <c r="AB1092" s="133">
        <v>555</v>
      </c>
      <c r="AC1092" s="134">
        <v>43122</v>
      </c>
      <c r="AD1092" s="126">
        <v>27192000</v>
      </c>
      <c r="AE1092" s="135">
        <f t="shared" si="108"/>
        <v>7931000</v>
      </c>
      <c r="AF1092" s="139">
        <v>464</v>
      </c>
      <c r="AG1092" s="134">
        <v>43126</v>
      </c>
      <c r="AH1092" s="126">
        <v>19261000</v>
      </c>
      <c r="AI1092" s="136" t="s">
        <v>164</v>
      </c>
      <c r="AJ1092" s="133">
        <v>391</v>
      </c>
      <c r="AK1092" s="97"/>
      <c r="AL1092" s="135">
        <f t="shared" si="109"/>
        <v>19261000</v>
      </c>
      <c r="AM1092" s="135">
        <v>8871734</v>
      </c>
      <c r="AN1092" s="135">
        <f t="shared" si="110"/>
        <v>10389266</v>
      </c>
      <c r="AO1092" s="136" t="s">
        <v>952</v>
      </c>
      <c r="AP1092" s="97"/>
      <c r="AQ1092" s="97"/>
      <c r="AR1092" s="97"/>
      <c r="AS1092" s="97"/>
      <c r="AT1092" s="97"/>
      <c r="AU1092" s="97"/>
    </row>
    <row r="1093" spans="1:47" ht="280.5" x14ac:dyDescent="0.2">
      <c r="A1093" s="97">
        <f t="shared" si="111"/>
        <v>104</v>
      </c>
      <c r="B1093" s="128" t="s">
        <v>1330</v>
      </c>
      <c r="C1093" s="65" t="s">
        <v>941</v>
      </c>
      <c r="D1093" s="1" t="s">
        <v>942</v>
      </c>
      <c r="E1093" s="131" t="s">
        <v>971</v>
      </c>
      <c r="F1093" s="1" t="s">
        <v>511</v>
      </c>
      <c r="G1093" s="1" t="s">
        <v>512</v>
      </c>
      <c r="H1093" s="66" t="s">
        <v>944</v>
      </c>
      <c r="I1093" s="1" t="s">
        <v>54</v>
      </c>
      <c r="J1093" s="1" t="s">
        <v>55</v>
      </c>
      <c r="K1093" s="52">
        <v>801116</v>
      </c>
      <c r="L1093" s="52" t="s">
        <v>945</v>
      </c>
      <c r="M1093" s="128" t="s">
        <v>493</v>
      </c>
      <c r="N1093" s="128" t="s">
        <v>494</v>
      </c>
      <c r="O1093" s="53" t="s">
        <v>946</v>
      </c>
      <c r="P1093" s="145" t="s">
        <v>1331</v>
      </c>
      <c r="Q1093" s="126">
        <v>3399000</v>
      </c>
      <c r="R1093" s="129">
        <v>1</v>
      </c>
      <c r="S1093" s="126">
        <v>37389000</v>
      </c>
      <c r="T1093" s="112" t="s">
        <v>1051</v>
      </c>
      <c r="U1093" s="112" t="s">
        <v>949</v>
      </c>
      <c r="V1093" s="132" t="s">
        <v>516</v>
      </c>
      <c r="W1093" s="112">
        <v>11</v>
      </c>
      <c r="X1093" s="133" t="s">
        <v>1332</v>
      </c>
      <c r="Y1093" s="125">
        <v>43122</v>
      </c>
      <c r="Z1093" s="127">
        <f t="shared" si="106"/>
        <v>37389000</v>
      </c>
      <c r="AA1093" s="133" t="s">
        <v>1289</v>
      </c>
      <c r="AB1093" s="133">
        <v>556</v>
      </c>
      <c r="AC1093" s="134">
        <v>43122</v>
      </c>
      <c r="AD1093" s="126">
        <v>37389000</v>
      </c>
      <c r="AE1093" s="135">
        <f t="shared" si="108"/>
        <v>0</v>
      </c>
      <c r="AF1093" s="139">
        <v>475</v>
      </c>
      <c r="AG1093" s="134">
        <v>43126</v>
      </c>
      <c r="AH1093" s="147">
        <f>Z1093</f>
        <v>37389000</v>
      </c>
      <c r="AI1093" s="136" t="s">
        <v>1333</v>
      </c>
      <c r="AJ1093" s="133">
        <v>401</v>
      </c>
      <c r="AK1093" s="97"/>
      <c r="AL1093" s="135">
        <f t="shared" si="109"/>
        <v>37389000</v>
      </c>
      <c r="AM1093" s="135">
        <v>17221600</v>
      </c>
      <c r="AN1093" s="135">
        <f t="shared" si="110"/>
        <v>20167400</v>
      </c>
      <c r="AO1093" s="136" t="s">
        <v>952</v>
      </c>
      <c r="AP1093" s="97"/>
      <c r="AQ1093" s="97"/>
      <c r="AR1093" s="97"/>
      <c r="AS1093" s="97"/>
      <c r="AT1093" s="97"/>
      <c r="AU1093" s="97"/>
    </row>
    <row r="1094" spans="1:47" ht="409.5" x14ac:dyDescent="0.2">
      <c r="A1094" s="97">
        <f t="shared" si="111"/>
        <v>105</v>
      </c>
      <c r="B1094" s="128" t="s">
        <v>1334</v>
      </c>
      <c r="C1094" s="128" t="s">
        <v>941</v>
      </c>
      <c r="D1094" s="128" t="s">
        <v>942</v>
      </c>
      <c r="E1094" s="128" t="s">
        <v>943</v>
      </c>
      <c r="F1094" s="128" t="s">
        <v>511</v>
      </c>
      <c r="G1094" s="1" t="s">
        <v>512</v>
      </c>
      <c r="H1094" s="66" t="s">
        <v>944</v>
      </c>
      <c r="I1094" s="128" t="s">
        <v>54</v>
      </c>
      <c r="J1094" s="128" t="s">
        <v>55</v>
      </c>
      <c r="K1094" s="1">
        <v>82101600</v>
      </c>
      <c r="L1094" s="1" t="s">
        <v>945</v>
      </c>
      <c r="M1094" s="1" t="s">
        <v>493</v>
      </c>
      <c r="N1094" s="1" t="s">
        <v>494</v>
      </c>
      <c r="O1094" s="53" t="s">
        <v>946</v>
      </c>
      <c r="P1094" s="145" t="s">
        <v>1335</v>
      </c>
      <c r="Q1094" s="126">
        <v>10000000</v>
      </c>
      <c r="R1094" s="129">
        <v>1</v>
      </c>
      <c r="S1094" s="130">
        <v>60000000</v>
      </c>
      <c r="T1094" s="112" t="s">
        <v>948</v>
      </c>
      <c r="U1094" s="112" t="s">
        <v>949</v>
      </c>
      <c r="V1094" s="132" t="s">
        <v>516</v>
      </c>
      <c r="W1094" s="112">
        <v>6</v>
      </c>
      <c r="X1094" s="133" t="s">
        <v>1336</v>
      </c>
      <c r="Y1094" s="125">
        <v>43126</v>
      </c>
      <c r="Z1094" s="127">
        <f t="shared" si="106"/>
        <v>60000000</v>
      </c>
      <c r="AA1094" s="133" t="s">
        <v>1289</v>
      </c>
      <c r="AB1094" s="133">
        <v>571</v>
      </c>
      <c r="AC1094" s="134">
        <v>43126</v>
      </c>
      <c r="AD1094" s="126">
        <v>60000000</v>
      </c>
      <c r="AE1094" s="135">
        <f t="shared" si="108"/>
        <v>0</v>
      </c>
      <c r="AF1094" s="139">
        <v>508</v>
      </c>
      <c r="AG1094" s="134">
        <v>43129</v>
      </c>
      <c r="AH1094" s="135">
        <f>AD1094</f>
        <v>60000000</v>
      </c>
      <c r="AI1094" s="136" t="s">
        <v>1337</v>
      </c>
      <c r="AJ1094" s="133">
        <v>427</v>
      </c>
      <c r="AK1094" s="97"/>
      <c r="AL1094" s="135">
        <f t="shared" si="109"/>
        <v>60000000</v>
      </c>
      <c r="AM1094" s="135">
        <v>50000000</v>
      </c>
      <c r="AN1094" s="135">
        <f t="shared" si="110"/>
        <v>10000000</v>
      </c>
      <c r="AO1094" s="136" t="s">
        <v>952</v>
      </c>
      <c r="AP1094" s="97"/>
      <c r="AQ1094" s="97"/>
      <c r="AR1094" s="97"/>
      <c r="AS1094" s="97"/>
      <c r="AT1094" s="97"/>
      <c r="AU1094" s="97"/>
    </row>
    <row r="1095" spans="1:47" ht="331.5" x14ac:dyDescent="0.2">
      <c r="A1095" s="97">
        <f t="shared" si="111"/>
        <v>106</v>
      </c>
      <c r="B1095" s="128" t="s">
        <v>1338</v>
      </c>
      <c r="C1095" s="128" t="s">
        <v>941</v>
      </c>
      <c r="D1095" s="128" t="s">
        <v>942</v>
      </c>
      <c r="E1095" s="128" t="s">
        <v>971</v>
      </c>
      <c r="F1095" s="128" t="s">
        <v>511</v>
      </c>
      <c r="G1095" s="1" t="s">
        <v>512</v>
      </c>
      <c r="H1095" s="66" t="s">
        <v>944</v>
      </c>
      <c r="I1095" s="128" t="s">
        <v>54</v>
      </c>
      <c r="J1095" s="128" t="s">
        <v>55</v>
      </c>
      <c r="K1095" s="1">
        <v>82101600</v>
      </c>
      <c r="L1095" s="1" t="s">
        <v>945</v>
      </c>
      <c r="M1095" s="1" t="s">
        <v>493</v>
      </c>
      <c r="N1095" s="1" t="s">
        <v>494</v>
      </c>
      <c r="O1095" s="53" t="s">
        <v>946</v>
      </c>
      <c r="P1095" s="145" t="s">
        <v>1339</v>
      </c>
      <c r="Q1095" s="126">
        <v>3553500</v>
      </c>
      <c r="R1095" s="129">
        <v>1</v>
      </c>
      <c r="S1095" s="126">
        <f>Q1095*11</f>
        <v>39088500</v>
      </c>
      <c r="T1095" s="112" t="s">
        <v>1316</v>
      </c>
      <c r="U1095" s="112" t="s">
        <v>949</v>
      </c>
      <c r="V1095" s="132" t="s">
        <v>516</v>
      </c>
      <c r="W1095" s="112">
        <v>11</v>
      </c>
      <c r="X1095" s="133" t="s">
        <v>1340</v>
      </c>
      <c r="Y1095" s="125">
        <v>43106</v>
      </c>
      <c r="Z1095" s="127">
        <f t="shared" si="106"/>
        <v>39088500</v>
      </c>
      <c r="AA1095" s="133" t="s">
        <v>1289</v>
      </c>
      <c r="AB1095" s="133">
        <v>588</v>
      </c>
      <c r="AC1095" s="134">
        <v>43126</v>
      </c>
      <c r="AD1095" s="126">
        <v>39088500</v>
      </c>
      <c r="AE1095" s="135">
        <f t="shared" si="108"/>
        <v>0</v>
      </c>
      <c r="AF1095" s="139">
        <v>507</v>
      </c>
      <c r="AG1095" s="134">
        <v>43126</v>
      </c>
      <c r="AH1095" s="135">
        <f>AD1095</f>
        <v>39088500</v>
      </c>
      <c r="AI1095" s="136" t="s">
        <v>1341</v>
      </c>
      <c r="AJ1095" s="133">
        <v>428</v>
      </c>
      <c r="AK1095" s="97"/>
      <c r="AL1095" s="135">
        <f t="shared" si="109"/>
        <v>39088500</v>
      </c>
      <c r="AM1095" s="135">
        <v>17767500</v>
      </c>
      <c r="AN1095" s="135">
        <f t="shared" si="110"/>
        <v>21321000</v>
      </c>
      <c r="AO1095" s="136" t="s">
        <v>952</v>
      </c>
      <c r="AP1095" s="97"/>
      <c r="AQ1095" s="97"/>
      <c r="AR1095" s="97"/>
      <c r="AS1095" s="97"/>
      <c r="AT1095" s="97"/>
      <c r="AU1095" s="97"/>
    </row>
    <row r="1096" spans="1:47" ht="382.5" x14ac:dyDescent="0.2">
      <c r="A1096" s="97">
        <f t="shared" si="111"/>
        <v>107</v>
      </c>
      <c r="B1096" s="128" t="s">
        <v>1342</v>
      </c>
      <c r="C1096" s="128" t="s">
        <v>941</v>
      </c>
      <c r="D1096" s="128" t="s">
        <v>942</v>
      </c>
      <c r="E1096" s="128" t="s">
        <v>971</v>
      </c>
      <c r="F1096" s="128" t="s">
        <v>1309</v>
      </c>
      <c r="G1096" s="128" t="s">
        <v>1310</v>
      </c>
      <c r="H1096" s="128" t="s">
        <v>1311</v>
      </c>
      <c r="I1096" s="128" t="s">
        <v>54</v>
      </c>
      <c r="J1096" s="128" t="s">
        <v>55</v>
      </c>
      <c r="K1096" s="128" t="s">
        <v>50</v>
      </c>
      <c r="L1096" s="148"/>
      <c r="M1096" s="128"/>
      <c r="N1096" s="128"/>
      <c r="O1096" s="53" t="s">
        <v>946</v>
      </c>
      <c r="P1096" s="145" t="s">
        <v>1343</v>
      </c>
      <c r="Q1096" s="149">
        <v>0</v>
      </c>
      <c r="R1096" s="131">
        <v>1</v>
      </c>
      <c r="S1096" s="126">
        <v>583400</v>
      </c>
      <c r="T1096" s="112" t="s">
        <v>1296</v>
      </c>
      <c r="U1096" s="131" t="s">
        <v>1296</v>
      </c>
      <c r="V1096" s="132" t="s">
        <v>516</v>
      </c>
      <c r="W1096" s="133" t="s">
        <v>50</v>
      </c>
      <c r="X1096" s="133" t="s">
        <v>1344</v>
      </c>
      <c r="Y1096" s="138">
        <v>43139</v>
      </c>
      <c r="Z1096" s="150">
        <f>S1096</f>
        <v>583400</v>
      </c>
      <c r="AA1096" s="151" t="s">
        <v>1308</v>
      </c>
      <c r="AB1096" s="152">
        <v>640</v>
      </c>
      <c r="AC1096" s="153">
        <v>43140</v>
      </c>
      <c r="AD1096" s="150">
        <v>583400</v>
      </c>
      <c r="AE1096" s="154"/>
      <c r="AF1096" s="261">
        <v>1029</v>
      </c>
      <c r="AG1096" s="153">
        <v>43143</v>
      </c>
      <c r="AH1096" s="150">
        <v>169300</v>
      </c>
      <c r="AI1096" s="155" t="s">
        <v>1345</v>
      </c>
      <c r="AJ1096" s="154">
        <v>1127</v>
      </c>
      <c r="AK1096" s="154"/>
      <c r="AL1096" s="150">
        <v>169300</v>
      </c>
      <c r="AM1096" s="150">
        <v>169300</v>
      </c>
      <c r="AN1096" s="156">
        <f t="shared" si="110"/>
        <v>0</v>
      </c>
      <c r="AO1096" s="136" t="s">
        <v>952</v>
      </c>
      <c r="AP1096" s="156"/>
      <c r="AQ1096" s="154"/>
      <c r="AR1096" s="154"/>
      <c r="AS1096" s="154"/>
      <c r="AT1096" s="154"/>
      <c r="AU1096" s="154"/>
    </row>
    <row r="1097" spans="1:47" ht="382.5" x14ac:dyDescent="0.2">
      <c r="A1097" s="97">
        <f t="shared" si="111"/>
        <v>108</v>
      </c>
      <c r="B1097" s="128" t="s">
        <v>1346</v>
      </c>
      <c r="C1097" s="131" t="s">
        <v>941</v>
      </c>
      <c r="D1097" s="131" t="s">
        <v>942</v>
      </c>
      <c r="E1097" s="131" t="s">
        <v>971</v>
      </c>
      <c r="F1097" s="131" t="s">
        <v>1309</v>
      </c>
      <c r="G1097" s="128" t="s">
        <v>1310</v>
      </c>
      <c r="H1097" s="131" t="s">
        <v>1311</v>
      </c>
      <c r="I1097" s="131" t="s">
        <v>54</v>
      </c>
      <c r="J1097" s="131" t="s">
        <v>55</v>
      </c>
      <c r="K1097" s="131" t="s">
        <v>50</v>
      </c>
      <c r="L1097" s="157"/>
      <c r="M1097" s="131"/>
      <c r="N1097" s="131"/>
      <c r="O1097" s="53" t="s">
        <v>946</v>
      </c>
      <c r="P1097" s="145" t="s">
        <v>1343</v>
      </c>
      <c r="Q1097" s="97"/>
      <c r="R1097" s="97"/>
      <c r="S1097" s="97"/>
      <c r="T1097" s="112" t="s">
        <v>1296</v>
      </c>
      <c r="U1097" s="131" t="s">
        <v>1296</v>
      </c>
      <c r="V1097" s="132" t="s">
        <v>516</v>
      </c>
      <c r="W1097" s="133" t="s">
        <v>50</v>
      </c>
      <c r="X1097" s="133" t="s">
        <v>1344</v>
      </c>
      <c r="Y1097" s="138">
        <v>43139</v>
      </c>
      <c r="Z1097" s="97"/>
      <c r="AA1097" s="149" t="s">
        <v>1308</v>
      </c>
      <c r="AB1097" s="133">
        <v>640</v>
      </c>
      <c r="AC1097" s="138">
        <v>43140</v>
      </c>
      <c r="AD1097" s="158"/>
      <c r="AE1097" s="97"/>
      <c r="AF1097" s="139">
        <v>1028</v>
      </c>
      <c r="AG1097" s="138">
        <v>43143</v>
      </c>
      <c r="AH1097" s="126">
        <v>366900</v>
      </c>
      <c r="AI1097" s="159" t="s">
        <v>1347</v>
      </c>
      <c r="AJ1097" s="97">
        <v>1127</v>
      </c>
      <c r="AK1097" s="97"/>
      <c r="AL1097" s="126">
        <f>AH1097</f>
        <v>366900</v>
      </c>
      <c r="AM1097" s="126">
        <f>AL1097</f>
        <v>366900</v>
      </c>
      <c r="AN1097" s="137">
        <f t="shared" si="110"/>
        <v>0</v>
      </c>
      <c r="AO1097" s="136" t="s">
        <v>952</v>
      </c>
      <c r="AP1097" s="97"/>
      <c r="AQ1097" s="97"/>
      <c r="AR1097" s="97"/>
      <c r="AS1097" s="97"/>
      <c r="AT1097" s="97"/>
      <c r="AU1097" s="97"/>
    </row>
    <row r="1098" spans="1:47" ht="114.75" x14ac:dyDescent="0.2">
      <c r="A1098" s="97">
        <f t="shared" si="111"/>
        <v>109</v>
      </c>
      <c r="B1098" s="128" t="s">
        <v>1348</v>
      </c>
      <c r="C1098" s="65" t="s">
        <v>941</v>
      </c>
      <c r="D1098" s="1" t="s">
        <v>1349</v>
      </c>
      <c r="E1098" s="128" t="s">
        <v>971</v>
      </c>
      <c r="F1098" s="1" t="s">
        <v>501</v>
      </c>
      <c r="G1098" s="1" t="s">
        <v>780</v>
      </c>
      <c r="H1098" s="1" t="s">
        <v>1350</v>
      </c>
      <c r="I1098" s="1" t="s">
        <v>54</v>
      </c>
      <c r="J1098" s="1" t="s">
        <v>55</v>
      </c>
      <c r="K1098" s="1">
        <v>84131501</v>
      </c>
      <c r="L1098" s="55" t="s">
        <v>945</v>
      </c>
      <c r="M1098" s="131" t="s">
        <v>493</v>
      </c>
      <c r="N1098" s="128" t="s">
        <v>494</v>
      </c>
      <c r="O1098" s="53" t="s">
        <v>946</v>
      </c>
      <c r="P1098" s="131" t="s">
        <v>1351</v>
      </c>
      <c r="Q1098" s="133" t="s">
        <v>50</v>
      </c>
      <c r="R1098" s="133" t="s">
        <v>50</v>
      </c>
      <c r="S1098" s="126">
        <v>30000000</v>
      </c>
      <c r="T1098" s="112" t="s">
        <v>1296</v>
      </c>
      <c r="U1098" s="131" t="s">
        <v>1296</v>
      </c>
      <c r="V1098" s="132" t="s">
        <v>1352</v>
      </c>
      <c r="W1098" s="112">
        <v>6</v>
      </c>
      <c r="X1098" s="97"/>
      <c r="Y1098" s="97"/>
      <c r="Z1098" s="97"/>
      <c r="AA1098" s="97"/>
      <c r="AB1098" s="97"/>
      <c r="AC1098" s="97"/>
      <c r="AD1098" s="158"/>
      <c r="AE1098" s="97"/>
      <c r="AF1098" s="139"/>
      <c r="AG1098" s="97"/>
      <c r="AH1098" s="97"/>
      <c r="AI1098" s="97"/>
      <c r="AJ1098" s="97"/>
      <c r="AK1098" s="97"/>
      <c r="AL1098" s="97"/>
      <c r="AM1098" s="97"/>
      <c r="AN1098" s="97"/>
      <c r="AO1098" s="136" t="s">
        <v>952</v>
      </c>
      <c r="AP1098" s="97"/>
      <c r="AQ1098" s="97"/>
      <c r="AR1098" s="97"/>
      <c r="AS1098" s="97"/>
      <c r="AT1098" s="97"/>
      <c r="AU1098" s="97"/>
    </row>
    <row r="1099" spans="1:47" ht="280.5" x14ac:dyDescent="0.2">
      <c r="A1099" s="97">
        <f t="shared" si="111"/>
        <v>110</v>
      </c>
      <c r="B1099" s="128" t="s">
        <v>1353</v>
      </c>
      <c r="C1099" s="65" t="s">
        <v>941</v>
      </c>
      <c r="D1099" s="1" t="s">
        <v>942</v>
      </c>
      <c r="E1099" s="128" t="s">
        <v>943</v>
      </c>
      <c r="F1099" s="1" t="s">
        <v>501</v>
      </c>
      <c r="G1099" s="1" t="s">
        <v>780</v>
      </c>
      <c r="H1099" s="1" t="s">
        <v>1350</v>
      </c>
      <c r="I1099" s="1" t="s">
        <v>54</v>
      </c>
      <c r="J1099" s="1" t="s">
        <v>55</v>
      </c>
      <c r="K1099" s="1">
        <v>84131501</v>
      </c>
      <c r="L1099" s="55" t="s">
        <v>945</v>
      </c>
      <c r="M1099" s="131" t="s">
        <v>493</v>
      </c>
      <c r="N1099" s="128" t="s">
        <v>494</v>
      </c>
      <c r="O1099" s="53" t="s">
        <v>946</v>
      </c>
      <c r="P1099" s="131" t="s">
        <v>1354</v>
      </c>
      <c r="Q1099" s="133" t="s">
        <v>50</v>
      </c>
      <c r="R1099" s="133" t="s">
        <v>50</v>
      </c>
      <c r="S1099" s="160">
        <f>30000000-12000000-14056087-1859356-929678</f>
        <v>1154879</v>
      </c>
      <c r="T1099" s="112" t="s">
        <v>1296</v>
      </c>
      <c r="U1099" s="131" t="s">
        <v>1296</v>
      </c>
      <c r="V1099" s="132" t="s">
        <v>1352</v>
      </c>
      <c r="W1099" s="112">
        <v>6</v>
      </c>
      <c r="X1099" s="97"/>
      <c r="Y1099" s="97"/>
      <c r="Z1099" s="97"/>
      <c r="AA1099" s="97"/>
      <c r="AB1099" s="97"/>
      <c r="AC1099" s="97"/>
      <c r="AD1099" s="158"/>
      <c r="AE1099" s="97"/>
      <c r="AF1099" s="139"/>
      <c r="AG1099" s="97"/>
      <c r="AH1099" s="97"/>
      <c r="AI1099" s="97"/>
      <c r="AJ1099" s="137"/>
      <c r="AK1099" s="97"/>
      <c r="AL1099" s="97"/>
      <c r="AM1099" s="97"/>
      <c r="AN1099" s="97"/>
      <c r="AO1099" s="136" t="s">
        <v>952</v>
      </c>
      <c r="AP1099" s="97"/>
      <c r="AQ1099" s="97"/>
      <c r="AR1099" s="97"/>
      <c r="AS1099" s="97"/>
      <c r="AT1099" s="97"/>
      <c r="AU1099" s="97"/>
    </row>
    <row r="1100" spans="1:47" ht="280.5" x14ac:dyDescent="0.2">
      <c r="A1100" s="97">
        <f t="shared" si="111"/>
        <v>111</v>
      </c>
      <c r="B1100" s="128" t="s">
        <v>1355</v>
      </c>
      <c r="C1100" s="65" t="s">
        <v>941</v>
      </c>
      <c r="D1100" s="1" t="s">
        <v>942</v>
      </c>
      <c r="E1100" s="1" t="s">
        <v>1267</v>
      </c>
      <c r="F1100" s="1" t="s">
        <v>501</v>
      </c>
      <c r="G1100" s="1" t="s">
        <v>780</v>
      </c>
      <c r="H1100" s="1" t="s">
        <v>1350</v>
      </c>
      <c r="I1100" s="1" t="s">
        <v>54</v>
      </c>
      <c r="J1100" s="1" t="s">
        <v>55</v>
      </c>
      <c r="K1100" s="1">
        <v>84131501</v>
      </c>
      <c r="L1100" s="55" t="s">
        <v>945</v>
      </c>
      <c r="M1100" s="131" t="s">
        <v>493</v>
      </c>
      <c r="N1100" s="128" t="s">
        <v>494</v>
      </c>
      <c r="O1100" s="53" t="s">
        <v>946</v>
      </c>
      <c r="P1100" s="131" t="s">
        <v>1356</v>
      </c>
      <c r="Q1100" s="133" t="s">
        <v>50</v>
      </c>
      <c r="R1100" s="133" t="s">
        <v>50</v>
      </c>
      <c r="S1100" s="126">
        <f>30000000-300000-4000000-119276-1047000-95119-9098844-600000</f>
        <v>14739761</v>
      </c>
      <c r="T1100" s="112" t="s">
        <v>1296</v>
      </c>
      <c r="U1100" s="131" t="s">
        <v>1296</v>
      </c>
      <c r="V1100" s="132" t="s">
        <v>1352</v>
      </c>
      <c r="W1100" s="112">
        <v>6</v>
      </c>
      <c r="X1100" s="97"/>
      <c r="Y1100" s="97"/>
      <c r="Z1100" s="97"/>
      <c r="AA1100" s="97"/>
      <c r="AB1100" s="97"/>
      <c r="AC1100" s="97"/>
      <c r="AD1100" s="158"/>
      <c r="AE1100" s="97"/>
      <c r="AF1100" s="139"/>
      <c r="AG1100" s="97"/>
      <c r="AH1100" s="97"/>
      <c r="AI1100" s="97"/>
      <c r="AJ1100" s="97"/>
      <c r="AK1100" s="97"/>
      <c r="AL1100" s="97"/>
      <c r="AM1100" s="97"/>
      <c r="AN1100" s="97"/>
      <c r="AO1100" s="136" t="s">
        <v>952</v>
      </c>
      <c r="AP1100" s="97"/>
      <c r="AQ1100" s="97"/>
      <c r="AR1100" s="97"/>
      <c r="AS1100" s="97"/>
      <c r="AT1100" s="97"/>
      <c r="AU1100" s="97"/>
    </row>
    <row r="1101" spans="1:47" ht="409.5" x14ac:dyDescent="0.2">
      <c r="A1101" s="97">
        <f t="shared" si="111"/>
        <v>112</v>
      </c>
      <c r="B1101" s="128" t="s">
        <v>1357</v>
      </c>
      <c r="C1101" s="65" t="s">
        <v>941</v>
      </c>
      <c r="D1101" s="1" t="s">
        <v>942</v>
      </c>
      <c r="E1101" s="128" t="s">
        <v>943</v>
      </c>
      <c r="F1101" s="1" t="s">
        <v>501</v>
      </c>
      <c r="G1101" s="1" t="s">
        <v>780</v>
      </c>
      <c r="H1101" s="1" t="s">
        <v>1350</v>
      </c>
      <c r="I1101" s="1" t="s">
        <v>54</v>
      </c>
      <c r="J1101" s="1" t="s">
        <v>55</v>
      </c>
      <c r="K1101" s="1">
        <v>84131501</v>
      </c>
      <c r="L1101" s="55" t="s">
        <v>945</v>
      </c>
      <c r="M1101" s="131" t="s">
        <v>493</v>
      </c>
      <c r="N1101" s="128" t="s">
        <v>494</v>
      </c>
      <c r="O1101" s="53" t="s">
        <v>946</v>
      </c>
      <c r="P1101" s="145" t="s">
        <v>1358</v>
      </c>
      <c r="Q1101" s="133">
        <v>0</v>
      </c>
      <c r="R1101" s="133">
        <v>1</v>
      </c>
      <c r="S1101" s="126">
        <v>12000000</v>
      </c>
      <c r="T1101" s="112" t="s">
        <v>272</v>
      </c>
      <c r="U1101" s="131" t="s">
        <v>272</v>
      </c>
      <c r="V1101" s="125" t="s">
        <v>620</v>
      </c>
      <c r="W1101" s="133" t="s">
        <v>50</v>
      </c>
      <c r="X1101" s="133" t="s">
        <v>1359</v>
      </c>
      <c r="Y1101" s="125">
        <v>43153</v>
      </c>
      <c r="Z1101" s="161">
        <f>S1101</f>
        <v>12000000</v>
      </c>
      <c r="AA1101" s="142">
        <v>110</v>
      </c>
      <c r="AB1101" s="142">
        <v>665</v>
      </c>
      <c r="AC1101" s="162">
        <v>43159</v>
      </c>
      <c r="AD1101" s="163">
        <v>26056087</v>
      </c>
      <c r="AE1101" s="164"/>
      <c r="AF1101" s="142">
        <v>1475</v>
      </c>
      <c r="AG1101" s="162">
        <v>43159</v>
      </c>
      <c r="AH1101" s="165">
        <f>AD1101</f>
        <v>26056087</v>
      </c>
      <c r="AI1101" s="166" t="s">
        <v>1360</v>
      </c>
      <c r="AJ1101" s="142">
        <v>434</v>
      </c>
      <c r="AK1101" s="164"/>
      <c r="AL1101" s="165">
        <f>AH1101</f>
        <v>26056087</v>
      </c>
      <c r="AM1101" s="262">
        <v>0</v>
      </c>
      <c r="AN1101" s="165">
        <f>AL1101-AM1101</f>
        <v>26056087</v>
      </c>
      <c r="AO1101" s="136" t="s">
        <v>952</v>
      </c>
      <c r="AP1101" s="164"/>
      <c r="AQ1101" s="164"/>
      <c r="AR1101" s="97"/>
      <c r="AS1101" s="97"/>
      <c r="AT1101" s="97"/>
      <c r="AU1101" s="97"/>
    </row>
    <row r="1102" spans="1:47" ht="409.5" x14ac:dyDescent="0.2">
      <c r="A1102" s="97">
        <f t="shared" si="111"/>
        <v>113</v>
      </c>
      <c r="B1102" s="128" t="s">
        <v>1361</v>
      </c>
      <c r="C1102" s="65" t="s">
        <v>941</v>
      </c>
      <c r="D1102" s="1" t="s">
        <v>942</v>
      </c>
      <c r="E1102" s="128" t="s">
        <v>943</v>
      </c>
      <c r="F1102" s="1" t="s">
        <v>501</v>
      </c>
      <c r="G1102" s="1" t="s">
        <v>780</v>
      </c>
      <c r="H1102" s="1" t="s">
        <v>1350</v>
      </c>
      <c r="I1102" s="1" t="s">
        <v>54</v>
      </c>
      <c r="J1102" s="1" t="s">
        <v>55</v>
      </c>
      <c r="K1102" s="1">
        <v>84131501</v>
      </c>
      <c r="L1102" s="55" t="s">
        <v>945</v>
      </c>
      <c r="M1102" s="131" t="s">
        <v>493</v>
      </c>
      <c r="N1102" s="128" t="s">
        <v>494</v>
      </c>
      <c r="O1102" s="53" t="s">
        <v>946</v>
      </c>
      <c r="P1102" s="145" t="s">
        <v>1358</v>
      </c>
      <c r="Q1102" s="133">
        <v>0</v>
      </c>
      <c r="R1102" s="133">
        <v>1</v>
      </c>
      <c r="S1102" s="126">
        <v>14056087</v>
      </c>
      <c r="T1102" s="112" t="s">
        <v>272</v>
      </c>
      <c r="U1102" s="131" t="s">
        <v>272</v>
      </c>
      <c r="V1102" s="132" t="s">
        <v>620</v>
      </c>
      <c r="W1102" s="133" t="s">
        <v>50</v>
      </c>
      <c r="X1102" s="133" t="s">
        <v>1362</v>
      </c>
      <c r="Y1102" s="133">
        <v>43159</v>
      </c>
      <c r="Z1102" s="161">
        <f>S1102</f>
        <v>14056087</v>
      </c>
      <c r="AA1102" s="143"/>
      <c r="AB1102" s="143"/>
      <c r="AC1102" s="143"/>
      <c r="AD1102" s="167"/>
      <c r="AE1102" s="168"/>
      <c r="AF1102" s="143"/>
      <c r="AG1102" s="143"/>
      <c r="AH1102" s="143"/>
      <c r="AI1102" s="169"/>
      <c r="AJ1102" s="143"/>
      <c r="AK1102" s="168"/>
      <c r="AL1102" s="143"/>
      <c r="AM1102" s="170"/>
      <c r="AN1102" s="171"/>
      <c r="AO1102" s="136" t="s">
        <v>952</v>
      </c>
      <c r="AP1102" s="168"/>
      <c r="AQ1102" s="168"/>
      <c r="AR1102" s="159" t="s">
        <v>1363</v>
      </c>
      <c r="AS1102" s="97"/>
      <c r="AT1102" s="97"/>
      <c r="AU1102" s="97"/>
    </row>
    <row r="1103" spans="1:47" ht="153" x14ac:dyDescent="0.2">
      <c r="A1103" s="97">
        <f t="shared" si="111"/>
        <v>114</v>
      </c>
      <c r="B1103" s="128" t="s">
        <v>1364</v>
      </c>
      <c r="C1103" s="65" t="s">
        <v>941</v>
      </c>
      <c r="D1103" s="1" t="s">
        <v>942</v>
      </c>
      <c r="E1103" s="128" t="s">
        <v>971</v>
      </c>
      <c r="F1103" s="1" t="s">
        <v>511</v>
      </c>
      <c r="G1103" s="1" t="s">
        <v>512</v>
      </c>
      <c r="H1103" s="66" t="s">
        <v>944</v>
      </c>
      <c r="I1103" s="1" t="s">
        <v>54</v>
      </c>
      <c r="J1103" s="1" t="s">
        <v>55</v>
      </c>
      <c r="K1103" s="52">
        <v>801116</v>
      </c>
      <c r="L1103" s="52" t="s">
        <v>945</v>
      </c>
      <c r="M1103" s="128" t="s">
        <v>493</v>
      </c>
      <c r="N1103" s="128" t="s">
        <v>494</v>
      </c>
      <c r="O1103" s="53" t="s">
        <v>946</v>
      </c>
      <c r="P1103" s="131" t="s">
        <v>1365</v>
      </c>
      <c r="Q1103" s="172"/>
      <c r="R1103" s="172"/>
      <c r="S1103" s="173"/>
      <c r="T1103" s="172"/>
      <c r="U1103" s="174"/>
      <c r="V1103" s="172"/>
      <c r="W1103" s="172"/>
      <c r="X1103" s="172"/>
      <c r="Y1103" s="172"/>
      <c r="Z1103" s="172"/>
      <c r="AA1103" s="172"/>
      <c r="AB1103" s="175">
        <v>541</v>
      </c>
      <c r="AC1103" s="172"/>
      <c r="AD1103" s="176"/>
      <c r="AE1103" s="172"/>
      <c r="AF1103" s="139">
        <v>1390</v>
      </c>
      <c r="AG1103" s="138">
        <v>43151</v>
      </c>
      <c r="AH1103" s="177">
        <v>27619608</v>
      </c>
      <c r="AI1103" s="178" t="s">
        <v>518</v>
      </c>
      <c r="AJ1103" s="172"/>
      <c r="AK1103" s="172"/>
      <c r="AL1103" s="177">
        <v>27619608</v>
      </c>
      <c r="AM1103" s="177">
        <v>27619608</v>
      </c>
      <c r="AN1103" s="263">
        <f>AL1103+AL1104-AM1103-AM1104</f>
        <v>0</v>
      </c>
      <c r="AO1103" s="136" t="s">
        <v>952</v>
      </c>
      <c r="AP1103" s="172"/>
      <c r="AQ1103" s="172"/>
      <c r="AR1103" s="172"/>
      <c r="AS1103" s="172"/>
      <c r="AT1103" s="172"/>
      <c r="AU1103" s="172"/>
    </row>
    <row r="1104" spans="1:47" ht="153" x14ac:dyDescent="0.2">
      <c r="A1104" s="179">
        <f t="shared" si="111"/>
        <v>115</v>
      </c>
      <c r="B1104" s="148" t="s">
        <v>1366</v>
      </c>
      <c r="C1104" s="68" t="s">
        <v>941</v>
      </c>
      <c r="D1104" s="69" t="s">
        <v>942</v>
      </c>
      <c r="E1104" s="148" t="s">
        <v>943</v>
      </c>
      <c r="F1104" s="69" t="s">
        <v>511</v>
      </c>
      <c r="G1104" s="69" t="s">
        <v>512</v>
      </c>
      <c r="H1104" s="70" t="s">
        <v>944</v>
      </c>
      <c r="I1104" s="69" t="s">
        <v>54</v>
      </c>
      <c r="J1104" s="69" t="s">
        <v>55</v>
      </c>
      <c r="K1104" s="57">
        <v>801116</v>
      </c>
      <c r="L1104" s="54" t="s">
        <v>945</v>
      </c>
      <c r="M1104" s="148" t="s">
        <v>493</v>
      </c>
      <c r="N1104" s="148" t="s">
        <v>494</v>
      </c>
      <c r="O1104" s="58" t="s">
        <v>946</v>
      </c>
      <c r="P1104" s="157" t="s">
        <v>1365</v>
      </c>
      <c r="Q1104" s="168"/>
      <c r="R1104" s="168"/>
      <c r="S1104" s="180"/>
      <c r="T1104" s="168"/>
      <c r="U1104" s="169"/>
      <c r="V1104" s="168"/>
      <c r="W1104" s="168"/>
      <c r="X1104" s="168"/>
      <c r="Y1104" s="168"/>
      <c r="Z1104" s="168"/>
      <c r="AA1104" s="168"/>
      <c r="AB1104" s="143"/>
      <c r="AC1104" s="168"/>
      <c r="AD1104" s="181"/>
      <c r="AE1104" s="168"/>
      <c r="AF1104" s="264">
        <v>1390</v>
      </c>
      <c r="AG1104" s="138">
        <v>43151</v>
      </c>
      <c r="AH1104" s="182">
        <v>16221039</v>
      </c>
      <c r="AI1104" s="183"/>
      <c r="AJ1104" s="168"/>
      <c r="AK1104" s="168"/>
      <c r="AL1104" s="182">
        <v>16221039</v>
      </c>
      <c r="AM1104" s="182">
        <v>16221039</v>
      </c>
      <c r="AN1104" s="143"/>
      <c r="AO1104" s="184" t="s">
        <v>952</v>
      </c>
      <c r="AP1104" s="168"/>
      <c r="AQ1104" s="168"/>
      <c r="AR1104" s="168"/>
      <c r="AS1104" s="168"/>
      <c r="AT1104" s="168"/>
      <c r="AU1104" s="168"/>
    </row>
    <row r="1105" spans="1:47" ht="409.5" x14ac:dyDescent="0.2">
      <c r="A1105" s="97">
        <f t="shared" si="111"/>
        <v>116</v>
      </c>
      <c r="B1105" s="128" t="s">
        <v>1367</v>
      </c>
      <c r="C1105" s="65" t="s">
        <v>941</v>
      </c>
      <c r="D1105" s="1" t="s">
        <v>942</v>
      </c>
      <c r="E1105" s="1" t="s">
        <v>1267</v>
      </c>
      <c r="F1105" s="1" t="s">
        <v>501</v>
      </c>
      <c r="G1105" s="1" t="s">
        <v>780</v>
      </c>
      <c r="H1105" s="1" t="s">
        <v>1350</v>
      </c>
      <c r="I1105" s="1" t="s">
        <v>54</v>
      </c>
      <c r="J1105" s="1" t="s">
        <v>55</v>
      </c>
      <c r="K1105" s="1">
        <v>84131501</v>
      </c>
      <c r="L1105" s="55" t="s">
        <v>945</v>
      </c>
      <c r="M1105" s="131" t="s">
        <v>493</v>
      </c>
      <c r="N1105" s="128" t="s">
        <v>494</v>
      </c>
      <c r="O1105" s="53" t="s">
        <v>946</v>
      </c>
      <c r="P1105" s="131" t="s">
        <v>1368</v>
      </c>
      <c r="Q1105" s="97"/>
      <c r="R1105" s="97">
        <v>1</v>
      </c>
      <c r="S1105" s="185">
        <v>300000</v>
      </c>
      <c r="T1105" s="112" t="s">
        <v>478</v>
      </c>
      <c r="U1105" s="112" t="s">
        <v>478</v>
      </c>
      <c r="V1105" s="132">
        <v>43165</v>
      </c>
      <c r="W1105" s="112" t="s">
        <v>50</v>
      </c>
      <c r="X1105" s="112" t="s">
        <v>1369</v>
      </c>
      <c r="Y1105" s="132">
        <v>43164</v>
      </c>
      <c r="Z1105" s="185">
        <v>300000</v>
      </c>
      <c r="AA1105" s="133" t="s">
        <v>1355</v>
      </c>
      <c r="AB1105" s="97">
        <v>684</v>
      </c>
      <c r="AC1105" s="186">
        <v>43165</v>
      </c>
      <c r="AD1105" s="158">
        <v>300000</v>
      </c>
      <c r="AE1105" s="97"/>
      <c r="AF1105" s="139">
        <v>1569</v>
      </c>
      <c r="AG1105" s="138">
        <v>43173</v>
      </c>
      <c r="AH1105" s="127">
        <v>300000</v>
      </c>
      <c r="AI1105" s="136" t="s">
        <v>1370</v>
      </c>
      <c r="AJ1105" s="139">
        <v>1526</v>
      </c>
      <c r="AK1105" s="139"/>
      <c r="AL1105" s="187">
        <v>300000</v>
      </c>
      <c r="AM1105" s="187">
        <v>300000</v>
      </c>
      <c r="AN1105" s="187">
        <f>AL1105-AM1105</f>
        <v>0</v>
      </c>
      <c r="AO1105" s="136" t="s">
        <v>952</v>
      </c>
      <c r="AP1105" s="97"/>
      <c r="AQ1105" s="97"/>
      <c r="AR1105" s="97"/>
      <c r="AS1105" s="97"/>
      <c r="AT1105" s="97"/>
      <c r="AU1105" s="97"/>
    </row>
    <row r="1106" spans="1:47" ht="344.25" x14ac:dyDescent="0.2">
      <c r="A1106" s="97">
        <f t="shared" si="111"/>
        <v>117</v>
      </c>
      <c r="B1106" s="128" t="s">
        <v>1371</v>
      </c>
      <c r="C1106" s="65" t="s">
        <v>941</v>
      </c>
      <c r="D1106" s="1" t="s">
        <v>942</v>
      </c>
      <c r="E1106" s="128" t="s">
        <v>943</v>
      </c>
      <c r="F1106" s="1" t="s">
        <v>511</v>
      </c>
      <c r="G1106" s="1" t="s">
        <v>512</v>
      </c>
      <c r="H1106" s="66" t="s">
        <v>944</v>
      </c>
      <c r="I1106" s="1" t="s">
        <v>54</v>
      </c>
      <c r="J1106" s="1" t="s">
        <v>55</v>
      </c>
      <c r="K1106" s="55">
        <v>801116</v>
      </c>
      <c r="L1106" s="56" t="s">
        <v>945</v>
      </c>
      <c r="M1106" s="131" t="s">
        <v>493</v>
      </c>
      <c r="N1106" s="128" t="s">
        <v>494</v>
      </c>
      <c r="O1106" s="53" t="s">
        <v>946</v>
      </c>
      <c r="P1106" s="131" t="s">
        <v>1372</v>
      </c>
      <c r="Q1106" s="185">
        <v>11611000</v>
      </c>
      <c r="R1106" s="133">
        <v>1</v>
      </c>
      <c r="S1106" s="126">
        <v>11611000</v>
      </c>
      <c r="T1106" s="97"/>
      <c r="U1106" s="131" t="s">
        <v>949</v>
      </c>
      <c r="V1106" s="125">
        <v>43165</v>
      </c>
      <c r="W1106" s="133" t="s">
        <v>50</v>
      </c>
      <c r="X1106" s="133" t="s">
        <v>1373</v>
      </c>
      <c r="Y1106" s="125">
        <v>43164</v>
      </c>
      <c r="Z1106" s="161">
        <f>S1106</f>
        <v>11611000</v>
      </c>
      <c r="AA1106" s="133" t="s">
        <v>1357</v>
      </c>
      <c r="AB1106" s="97">
        <v>683</v>
      </c>
      <c r="AC1106" s="186">
        <v>43165</v>
      </c>
      <c r="AD1106" s="158">
        <v>11611000</v>
      </c>
      <c r="AE1106" s="97"/>
      <c r="AF1106" s="139"/>
      <c r="AG1106" s="97"/>
      <c r="AH1106" s="97"/>
      <c r="AI1106" s="97"/>
      <c r="AJ1106" s="97"/>
      <c r="AK1106" s="97"/>
      <c r="AL1106" s="97"/>
      <c r="AM1106" s="97"/>
      <c r="AN1106" s="97"/>
      <c r="AO1106" s="136" t="s">
        <v>952</v>
      </c>
      <c r="AP1106" s="97"/>
      <c r="AQ1106" s="97"/>
      <c r="AR1106" s="97"/>
      <c r="AS1106" s="97"/>
      <c r="AT1106" s="97"/>
      <c r="AU1106" s="97"/>
    </row>
    <row r="1107" spans="1:47" ht="242.25" x14ac:dyDescent="0.2">
      <c r="A1107" s="97">
        <f t="shared" si="111"/>
        <v>118</v>
      </c>
      <c r="B1107" s="128" t="s">
        <v>1374</v>
      </c>
      <c r="C1107" s="65" t="s">
        <v>941</v>
      </c>
      <c r="D1107" s="65" t="s">
        <v>942</v>
      </c>
      <c r="E1107" s="65" t="s">
        <v>971</v>
      </c>
      <c r="F1107" s="65" t="s">
        <v>511</v>
      </c>
      <c r="G1107" s="65" t="s">
        <v>512</v>
      </c>
      <c r="H1107" s="65" t="s">
        <v>944</v>
      </c>
      <c r="I1107" s="65" t="s">
        <v>54</v>
      </c>
      <c r="J1107" s="65" t="s">
        <v>55</v>
      </c>
      <c r="K1107" s="65">
        <v>801116</v>
      </c>
      <c r="L1107" s="65" t="s">
        <v>945</v>
      </c>
      <c r="M1107" s="65" t="s">
        <v>493</v>
      </c>
      <c r="N1107" s="65" t="s">
        <v>494</v>
      </c>
      <c r="O1107" s="65" t="s">
        <v>946</v>
      </c>
      <c r="P1107" s="131" t="s">
        <v>1375</v>
      </c>
      <c r="Q1107" s="97"/>
      <c r="R1107" s="97"/>
      <c r="S1107" s="188"/>
      <c r="T1107" s="97"/>
      <c r="U1107" s="131"/>
      <c r="V1107" s="97"/>
      <c r="W1107" s="97"/>
      <c r="X1107" s="97"/>
      <c r="Y1107" s="97"/>
      <c r="Z1107" s="97"/>
      <c r="AA1107" s="97"/>
      <c r="AB1107" s="97"/>
      <c r="AC1107" s="97"/>
      <c r="AD1107" s="158"/>
      <c r="AE1107" s="97"/>
      <c r="AF1107" s="139">
        <v>1533</v>
      </c>
      <c r="AG1107" s="138">
        <v>43165</v>
      </c>
      <c r="AH1107" s="177">
        <v>20170300</v>
      </c>
      <c r="AI1107" s="131" t="s">
        <v>1376</v>
      </c>
      <c r="AJ1107" s="97">
        <v>22</v>
      </c>
      <c r="AK1107" s="97"/>
      <c r="AL1107" s="177">
        <v>20170300</v>
      </c>
      <c r="AM1107" s="177">
        <v>20170300</v>
      </c>
      <c r="AN1107" s="97">
        <f>AL1107-AM1107</f>
        <v>0</v>
      </c>
      <c r="AO1107" s="136" t="s">
        <v>952</v>
      </c>
      <c r="AP1107" s="97"/>
      <c r="AQ1107" s="97"/>
      <c r="AR1107" s="97"/>
      <c r="AS1107" s="97"/>
      <c r="AT1107" s="97"/>
      <c r="AU1107" s="97"/>
    </row>
    <row r="1108" spans="1:47" ht="409.5" x14ac:dyDescent="0.2">
      <c r="A1108" s="97">
        <f t="shared" si="111"/>
        <v>119</v>
      </c>
      <c r="B1108" s="128" t="s">
        <v>1377</v>
      </c>
      <c r="C1108" s="65" t="s">
        <v>941</v>
      </c>
      <c r="D1108" s="1" t="s">
        <v>942</v>
      </c>
      <c r="E1108" s="128" t="s">
        <v>943</v>
      </c>
      <c r="F1108" s="1" t="s">
        <v>511</v>
      </c>
      <c r="G1108" s="1" t="s">
        <v>512</v>
      </c>
      <c r="H1108" s="66" t="s">
        <v>944</v>
      </c>
      <c r="I1108" s="1" t="s">
        <v>54</v>
      </c>
      <c r="J1108" s="1" t="s">
        <v>55</v>
      </c>
      <c r="K1108" s="55">
        <v>801116</v>
      </c>
      <c r="L1108" s="55" t="s">
        <v>945</v>
      </c>
      <c r="M1108" s="131" t="s">
        <v>493</v>
      </c>
      <c r="N1108" s="128" t="s">
        <v>494</v>
      </c>
      <c r="O1108" s="53" t="s">
        <v>946</v>
      </c>
      <c r="P1108" s="131" t="s">
        <v>1378</v>
      </c>
      <c r="Q1108" s="97"/>
      <c r="R1108" s="97"/>
      <c r="S1108" s="97"/>
      <c r="T1108" s="97"/>
      <c r="U1108" s="131"/>
      <c r="V1108" s="97"/>
      <c r="W1108" s="97"/>
      <c r="X1108" s="97"/>
      <c r="Y1108" s="97"/>
      <c r="Z1108" s="97"/>
      <c r="AA1108" s="97"/>
      <c r="AB1108" s="97">
        <v>683</v>
      </c>
      <c r="AC1108" s="97"/>
      <c r="AD1108" s="158"/>
      <c r="AE1108" s="97"/>
      <c r="AF1108" s="139">
        <v>1537</v>
      </c>
      <c r="AG1108" s="97" t="s">
        <v>1379</v>
      </c>
      <c r="AH1108" s="177">
        <v>882500</v>
      </c>
      <c r="AI1108" s="131" t="s">
        <v>524</v>
      </c>
      <c r="AJ1108" s="97">
        <v>3</v>
      </c>
      <c r="AK1108" s="97"/>
      <c r="AL1108" s="177">
        <v>882500</v>
      </c>
      <c r="AM1108" s="177">
        <v>882500</v>
      </c>
      <c r="AN1108" s="177">
        <f>AL1108-AM1108</f>
        <v>0</v>
      </c>
      <c r="AO1108" s="136" t="s">
        <v>952</v>
      </c>
      <c r="AP1108" s="97"/>
      <c r="AQ1108" s="97"/>
      <c r="AR1108" s="97"/>
      <c r="AS1108" s="97"/>
      <c r="AT1108" s="97"/>
      <c r="AU1108" s="97"/>
    </row>
    <row r="1109" spans="1:47" ht="191.25" x14ac:dyDescent="0.2">
      <c r="A1109" s="97">
        <f t="shared" si="111"/>
        <v>120</v>
      </c>
      <c r="B1109" s="128" t="s">
        <v>1380</v>
      </c>
      <c r="C1109" s="65" t="s">
        <v>941</v>
      </c>
      <c r="D1109" s="1" t="s">
        <v>942</v>
      </c>
      <c r="E1109" s="128" t="s">
        <v>971</v>
      </c>
      <c r="F1109" s="1" t="s">
        <v>511</v>
      </c>
      <c r="G1109" s="1" t="s">
        <v>512</v>
      </c>
      <c r="H1109" s="66" t="s">
        <v>944</v>
      </c>
      <c r="I1109" s="1" t="s">
        <v>54</v>
      </c>
      <c r="J1109" s="1" t="s">
        <v>55</v>
      </c>
      <c r="K1109" s="52">
        <v>801116</v>
      </c>
      <c r="L1109" s="52" t="s">
        <v>945</v>
      </c>
      <c r="M1109" s="128" t="s">
        <v>493</v>
      </c>
      <c r="N1109" s="128" t="s">
        <v>494</v>
      </c>
      <c r="O1109" s="53" t="s">
        <v>946</v>
      </c>
      <c r="P1109" s="112" t="s">
        <v>1381</v>
      </c>
      <c r="Q1109" s="97"/>
      <c r="R1109" s="97"/>
      <c r="S1109" s="97"/>
      <c r="T1109" s="97"/>
      <c r="U1109" s="131"/>
      <c r="V1109" s="97"/>
      <c r="W1109" s="97"/>
      <c r="X1109" s="97"/>
      <c r="Y1109" s="97"/>
      <c r="Z1109" s="97"/>
      <c r="AA1109" s="97"/>
      <c r="AB1109" s="97"/>
      <c r="AC1109" s="97"/>
      <c r="AD1109" s="158"/>
      <c r="AE1109" s="97"/>
      <c r="AF1109" s="139">
        <v>1606</v>
      </c>
      <c r="AG1109" s="189">
        <v>43180</v>
      </c>
      <c r="AH1109" s="177">
        <f>44033158+12360596</f>
        <v>56393754</v>
      </c>
      <c r="AI1109" s="174" t="s">
        <v>518</v>
      </c>
      <c r="AJ1109" s="175">
        <v>1</v>
      </c>
      <c r="AK1109" s="97"/>
      <c r="AL1109" s="177">
        <f>AH1109</f>
        <v>56393754</v>
      </c>
      <c r="AM1109" s="177">
        <f>AL1109</f>
        <v>56393754</v>
      </c>
      <c r="AN1109" s="177">
        <f>AL1109-AM1109</f>
        <v>0</v>
      </c>
      <c r="AO1109" s="97"/>
      <c r="AP1109" s="97"/>
      <c r="AQ1109" s="97"/>
      <c r="AR1109" s="97"/>
      <c r="AS1109" s="97"/>
      <c r="AT1109" s="97"/>
      <c r="AU1109" s="97"/>
    </row>
    <row r="1110" spans="1:47" ht="191.25" x14ac:dyDescent="0.2">
      <c r="A1110" s="97">
        <f t="shared" si="111"/>
        <v>121</v>
      </c>
      <c r="B1110" s="128" t="s">
        <v>1382</v>
      </c>
      <c r="C1110" s="65" t="s">
        <v>941</v>
      </c>
      <c r="D1110" s="1" t="s">
        <v>942</v>
      </c>
      <c r="E1110" s="128" t="s">
        <v>943</v>
      </c>
      <c r="F1110" s="1" t="s">
        <v>511</v>
      </c>
      <c r="G1110" s="1" t="s">
        <v>512</v>
      </c>
      <c r="H1110" s="66" t="s">
        <v>944</v>
      </c>
      <c r="I1110" s="1" t="s">
        <v>54</v>
      </c>
      <c r="J1110" s="1" t="s">
        <v>55</v>
      </c>
      <c r="K1110" s="52">
        <v>801117</v>
      </c>
      <c r="L1110" s="52" t="s">
        <v>945</v>
      </c>
      <c r="M1110" s="128" t="s">
        <v>705</v>
      </c>
      <c r="N1110" s="128" t="s">
        <v>706</v>
      </c>
      <c r="O1110" s="53" t="s">
        <v>1320</v>
      </c>
      <c r="P1110" s="131" t="s">
        <v>1383</v>
      </c>
      <c r="Q1110" s="97"/>
      <c r="R1110" s="97"/>
      <c r="S1110" s="97"/>
      <c r="T1110" s="97"/>
      <c r="U1110" s="131"/>
      <c r="V1110" s="97"/>
      <c r="W1110" s="97"/>
      <c r="X1110" s="97"/>
      <c r="Y1110" s="97"/>
      <c r="Z1110" s="97"/>
      <c r="AA1110" s="97"/>
      <c r="AB1110" s="97"/>
      <c r="AC1110" s="97"/>
      <c r="AD1110" s="158"/>
      <c r="AE1110" s="97"/>
      <c r="AF1110" s="264">
        <v>1606</v>
      </c>
      <c r="AG1110" s="190"/>
      <c r="AH1110" s="182">
        <f>25860743-12360596</f>
        <v>13500147</v>
      </c>
      <c r="AI1110" s="169"/>
      <c r="AJ1110" s="143"/>
      <c r="AK1110" s="97"/>
      <c r="AL1110" s="177">
        <f>AH1110</f>
        <v>13500147</v>
      </c>
      <c r="AM1110" s="177">
        <f>AL1110</f>
        <v>13500147</v>
      </c>
      <c r="AN1110" s="177">
        <f>AL1110-AM1110</f>
        <v>0</v>
      </c>
      <c r="AO1110" s="97"/>
      <c r="AP1110" s="97"/>
      <c r="AQ1110" s="97"/>
      <c r="AR1110" s="97"/>
      <c r="AS1110" s="97"/>
      <c r="AT1110" s="97"/>
      <c r="AU1110" s="97"/>
    </row>
    <row r="1111" spans="1:47" ht="409.5" x14ac:dyDescent="0.2">
      <c r="A1111" s="97">
        <f t="shared" si="111"/>
        <v>122</v>
      </c>
      <c r="B1111" s="128" t="s">
        <v>1384</v>
      </c>
      <c r="C1111" s="65" t="s">
        <v>941</v>
      </c>
      <c r="D1111" s="1" t="s">
        <v>942</v>
      </c>
      <c r="E1111" s="128" t="s">
        <v>943</v>
      </c>
      <c r="F1111" s="1" t="s">
        <v>511</v>
      </c>
      <c r="G1111" s="1" t="s">
        <v>512</v>
      </c>
      <c r="H1111" s="66" t="s">
        <v>944</v>
      </c>
      <c r="I1111" s="1" t="s">
        <v>54</v>
      </c>
      <c r="J1111" s="1" t="s">
        <v>55</v>
      </c>
      <c r="K1111" s="55">
        <v>801116</v>
      </c>
      <c r="L1111" s="55" t="s">
        <v>945</v>
      </c>
      <c r="M1111" s="131" t="s">
        <v>493</v>
      </c>
      <c r="N1111" s="128" t="s">
        <v>494</v>
      </c>
      <c r="O1111" s="53" t="s">
        <v>946</v>
      </c>
      <c r="P1111" s="131" t="s">
        <v>1385</v>
      </c>
      <c r="Q1111" s="187">
        <v>10000000</v>
      </c>
      <c r="R1111" s="139">
        <v>1</v>
      </c>
      <c r="S1111" s="187">
        <v>30000000</v>
      </c>
      <c r="T1111" s="131" t="s">
        <v>948</v>
      </c>
      <c r="U1111" s="131"/>
      <c r="V1111" s="138">
        <v>43202</v>
      </c>
      <c r="W1111" s="139">
        <v>3</v>
      </c>
      <c r="X1111" s="139" t="s">
        <v>1386</v>
      </c>
      <c r="Y1111" s="138">
        <v>43202</v>
      </c>
      <c r="Z1111" s="187">
        <v>30000000</v>
      </c>
      <c r="AA1111" s="139" t="s">
        <v>1289</v>
      </c>
      <c r="AB1111" s="97">
        <v>788</v>
      </c>
      <c r="AC1111" s="186">
        <v>43203</v>
      </c>
      <c r="AD1111" s="187">
        <v>30000000</v>
      </c>
      <c r="AE1111" s="97"/>
      <c r="AF1111" s="139">
        <v>2144</v>
      </c>
      <c r="AG1111" s="138">
        <v>43276</v>
      </c>
      <c r="AH1111" s="187">
        <v>30000000</v>
      </c>
      <c r="AI1111" s="136" t="s">
        <v>1337</v>
      </c>
      <c r="AJ1111" s="139">
        <v>427</v>
      </c>
      <c r="AK1111" s="97"/>
      <c r="AL1111" s="187">
        <v>30000000</v>
      </c>
      <c r="AM1111" s="137"/>
      <c r="AN1111" s="177">
        <f t="shared" ref="AN1111:AN1124" si="112">AL1111-AM1111</f>
        <v>30000000</v>
      </c>
      <c r="AO1111" s="97"/>
      <c r="AP1111" s="97"/>
      <c r="AQ1111" s="97"/>
      <c r="AR1111" s="97"/>
      <c r="AS1111" s="97"/>
      <c r="AT1111" s="97"/>
      <c r="AU1111" s="97"/>
    </row>
    <row r="1112" spans="1:47" ht="369.75" x14ac:dyDescent="0.2">
      <c r="A1112" s="97">
        <f t="shared" si="111"/>
        <v>123</v>
      </c>
      <c r="B1112" s="128" t="s">
        <v>1387</v>
      </c>
      <c r="C1112" s="65" t="s">
        <v>941</v>
      </c>
      <c r="D1112" s="1" t="s">
        <v>942</v>
      </c>
      <c r="E1112" s="128" t="s">
        <v>943</v>
      </c>
      <c r="F1112" s="1" t="s">
        <v>511</v>
      </c>
      <c r="G1112" s="1" t="s">
        <v>512</v>
      </c>
      <c r="H1112" s="66" t="s">
        <v>944</v>
      </c>
      <c r="I1112" s="1" t="s">
        <v>54</v>
      </c>
      <c r="J1112" s="1" t="s">
        <v>55</v>
      </c>
      <c r="K1112" s="55">
        <v>801117</v>
      </c>
      <c r="L1112" s="55" t="s">
        <v>945</v>
      </c>
      <c r="M1112" s="131" t="s">
        <v>705</v>
      </c>
      <c r="N1112" s="128" t="s">
        <v>706</v>
      </c>
      <c r="O1112" s="53" t="s">
        <v>1320</v>
      </c>
      <c r="P1112" s="131" t="s">
        <v>1388</v>
      </c>
      <c r="Q1112" s="187">
        <v>4532000</v>
      </c>
      <c r="R1112" s="97">
        <v>1</v>
      </c>
      <c r="S1112" s="187">
        <v>6798000</v>
      </c>
      <c r="T1112" s="131" t="s">
        <v>948</v>
      </c>
      <c r="U1112" s="131"/>
      <c r="V1112" s="138">
        <v>43202</v>
      </c>
      <c r="W1112" s="139">
        <v>1.5</v>
      </c>
      <c r="X1112" s="139" t="s">
        <v>1389</v>
      </c>
      <c r="Y1112" s="138">
        <v>43202</v>
      </c>
      <c r="Z1112" s="187">
        <v>6798000</v>
      </c>
      <c r="AA1112" s="139" t="s">
        <v>1289</v>
      </c>
      <c r="AB1112" s="97">
        <v>789</v>
      </c>
      <c r="AC1112" s="186">
        <v>43203</v>
      </c>
      <c r="AD1112" s="187">
        <v>6798000</v>
      </c>
      <c r="AE1112" s="97"/>
      <c r="AF1112" s="139">
        <v>1842</v>
      </c>
      <c r="AG1112" s="186">
        <v>43214</v>
      </c>
      <c r="AH1112" s="187">
        <v>6798000</v>
      </c>
      <c r="AI1112" s="131" t="s">
        <v>986</v>
      </c>
      <c r="AJ1112" s="97">
        <v>347</v>
      </c>
      <c r="AK1112" s="97"/>
      <c r="AL1112" s="187">
        <v>6798000</v>
      </c>
      <c r="AM1112" s="187">
        <v>5438400</v>
      </c>
      <c r="AN1112" s="177">
        <f t="shared" si="112"/>
        <v>1359600</v>
      </c>
      <c r="AO1112" s="97"/>
      <c r="AP1112" s="97"/>
      <c r="AQ1112" s="97"/>
      <c r="AR1112" s="97"/>
      <c r="AS1112" s="97"/>
      <c r="AT1112" s="97"/>
      <c r="AU1112" s="97"/>
    </row>
    <row r="1113" spans="1:47" ht="409.5" x14ac:dyDescent="0.2">
      <c r="A1113" s="97">
        <f t="shared" si="111"/>
        <v>124</v>
      </c>
      <c r="B1113" s="128" t="s">
        <v>1390</v>
      </c>
      <c r="C1113" s="65" t="s">
        <v>941</v>
      </c>
      <c r="D1113" s="1" t="s">
        <v>942</v>
      </c>
      <c r="E1113" s="1" t="s">
        <v>1267</v>
      </c>
      <c r="F1113" s="1" t="s">
        <v>501</v>
      </c>
      <c r="G1113" s="1" t="s">
        <v>780</v>
      </c>
      <c r="H1113" s="1" t="s">
        <v>1350</v>
      </c>
      <c r="I1113" s="1" t="s">
        <v>54</v>
      </c>
      <c r="J1113" s="1" t="s">
        <v>55</v>
      </c>
      <c r="K1113" s="1">
        <v>84131501</v>
      </c>
      <c r="L1113" s="55" t="s">
        <v>945</v>
      </c>
      <c r="M1113" s="131" t="s">
        <v>493</v>
      </c>
      <c r="N1113" s="128" t="s">
        <v>494</v>
      </c>
      <c r="O1113" s="53" t="s">
        <v>946</v>
      </c>
      <c r="P1113" s="131" t="s">
        <v>1391</v>
      </c>
      <c r="Q1113" s="187">
        <v>4000000</v>
      </c>
      <c r="R1113" s="97">
        <v>1</v>
      </c>
      <c r="S1113" s="187">
        <v>4000000</v>
      </c>
      <c r="T1113" s="139" t="s">
        <v>478</v>
      </c>
      <c r="U1113" s="131"/>
      <c r="V1113" s="138">
        <v>43203</v>
      </c>
      <c r="W1113" s="139">
        <v>2</v>
      </c>
      <c r="X1113" s="139" t="s">
        <v>1392</v>
      </c>
      <c r="Y1113" s="138">
        <v>43203</v>
      </c>
      <c r="Z1113" s="187">
        <v>4000000</v>
      </c>
      <c r="AA1113" s="139" t="s">
        <v>1355</v>
      </c>
      <c r="AB1113" s="97">
        <v>790</v>
      </c>
      <c r="AC1113" s="186">
        <v>43203</v>
      </c>
      <c r="AD1113" s="187">
        <v>4000000</v>
      </c>
      <c r="AE1113" s="97"/>
      <c r="AF1113" s="139">
        <v>1806</v>
      </c>
      <c r="AG1113" s="186">
        <v>43207</v>
      </c>
      <c r="AH1113" s="187">
        <v>1500000</v>
      </c>
      <c r="AI1113" s="157" t="s">
        <v>1393</v>
      </c>
      <c r="AJ1113" s="97">
        <v>1868</v>
      </c>
      <c r="AK1113" s="97"/>
      <c r="AL1113" s="187">
        <v>1500000</v>
      </c>
      <c r="AM1113" s="187">
        <v>1500000</v>
      </c>
      <c r="AN1113" s="177">
        <f>AL1113-AM1113</f>
        <v>0</v>
      </c>
      <c r="AO1113" s="97"/>
      <c r="AP1113" s="97"/>
      <c r="AQ1113" s="97"/>
      <c r="AR1113" s="97"/>
      <c r="AS1113" s="97"/>
      <c r="AT1113" s="97"/>
      <c r="AU1113" s="97"/>
    </row>
    <row r="1114" spans="1:47" ht="267.75" x14ac:dyDescent="0.2">
      <c r="A1114" s="97">
        <f t="shared" si="111"/>
        <v>125</v>
      </c>
      <c r="B1114" s="128" t="s">
        <v>1394</v>
      </c>
      <c r="C1114" s="65" t="s">
        <v>941</v>
      </c>
      <c r="D1114" s="1" t="s">
        <v>942</v>
      </c>
      <c r="E1114" s="1" t="s">
        <v>1267</v>
      </c>
      <c r="F1114" s="1" t="s">
        <v>501</v>
      </c>
      <c r="G1114" s="1" t="s">
        <v>780</v>
      </c>
      <c r="H1114" s="1" t="s">
        <v>1350</v>
      </c>
      <c r="I1114" s="1" t="s">
        <v>54</v>
      </c>
      <c r="J1114" s="1" t="s">
        <v>55</v>
      </c>
      <c r="K1114" s="1">
        <v>84131501</v>
      </c>
      <c r="L1114" s="55" t="s">
        <v>945</v>
      </c>
      <c r="M1114" s="131" t="s">
        <v>493</v>
      </c>
      <c r="N1114" s="128" t="s">
        <v>494</v>
      </c>
      <c r="O1114" s="53" t="s">
        <v>946</v>
      </c>
      <c r="P1114" s="131" t="s">
        <v>1395</v>
      </c>
      <c r="Q1114" s="187">
        <v>119276</v>
      </c>
      <c r="R1114" s="133">
        <v>1</v>
      </c>
      <c r="S1114" s="191">
        <v>119276</v>
      </c>
      <c r="T1114" s="97" t="s">
        <v>478</v>
      </c>
      <c r="U1114" s="131"/>
      <c r="V1114" s="186">
        <v>43210</v>
      </c>
      <c r="W1114" s="139">
        <v>1</v>
      </c>
      <c r="X1114" s="139" t="s">
        <v>1396</v>
      </c>
      <c r="Y1114" s="138">
        <v>43209</v>
      </c>
      <c r="Z1114" s="191">
        <v>119276</v>
      </c>
      <c r="AA1114" s="139" t="s">
        <v>1355</v>
      </c>
      <c r="AB1114" s="97">
        <v>800</v>
      </c>
      <c r="AC1114" s="186">
        <v>43210</v>
      </c>
      <c r="AD1114" s="187">
        <v>119276</v>
      </c>
      <c r="AE1114" s="97"/>
      <c r="AF1114" s="139">
        <v>1863</v>
      </c>
      <c r="AG1114" s="138">
        <v>43227</v>
      </c>
      <c r="AH1114" s="187">
        <v>119276</v>
      </c>
      <c r="AI1114" s="157" t="s">
        <v>1370</v>
      </c>
      <c r="AJ1114" s="139">
        <v>1932</v>
      </c>
      <c r="AK1114" s="97"/>
      <c r="AL1114" s="187">
        <v>119276</v>
      </c>
      <c r="AM1114" s="187">
        <v>119276</v>
      </c>
      <c r="AN1114" s="177">
        <f>AL1114-AM1114</f>
        <v>0</v>
      </c>
      <c r="AO1114" s="97"/>
      <c r="AP1114" s="97"/>
      <c r="AQ1114" s="97"/>
      <c r="AR1114" s="97"/>
      <c r="AS1114" s="97"/>
      <c r="AT1114" s="97"/>
      <c r="AU1114" s="97"/>
    </row>
    <row r="1115" spans="1:47" ht="357" x14ac:dyDescent="0.2">
      <c r="A1115" s="97">
        <f t="shared" si="111"/>
        <v>126</v>
      </c>
      <c r="B1115" s="128" t="s">
        <v>1397</v>
      </c>
      <c r="C1115" s="65" t="s">
        <v>941</v>
      </c>
      <c r="D1115" s="1" t="s">
        <v>942</v>
      </c>
      <c r="E1115" s="1" t="s">
        <v>1267</v>
      </c>
      <c r="F1115" s="1" t="s">
        <v>501</v>
      </c>
      <c r="G1115" s="1" t="s">
        <v>780</v>
      </c>
      <c r="H1115" s="1" t="s">
        <v>1350</v>
      </c>
      <c r="I1115" s="1" t="s">
        <v>54</v>
      </c>
      <c r="J1115" s="1" t="s">
        <v>55</v>
      </c>
      <c r="K1115" s="1">
        <v>84131502</v>
      </c>
      <c r="L1115" s="55" t="s">
        <v>945</v>
      </c>
      <c r="M1115" s="131" t="s">
        <v>705</v>
      </c>
      <c r="N1115" s="128" t="s">
        <v>706</v>
      </c>
      <c r="O1115" s="53" t="s">
        <v>1320</v>
      </c>
      <c r="P1115" s="131" t="s">
        <v>1398</v>
      </c>
      <c r="Q1115" s="187">
        <v>1047000</v>
      </c>
      <c r="R1115" s="133">
        <v>1</v>
      </c>
      <c r="S1115" s="187">
        <v>1047000</v>
      </c>
      <c r="T1115" s="187" t="s">
        <v>1399</v>
      </c>
      <c r="U1115" s="187"/>
      <c r="V1115" s="186">
        <v>43210</v>
      </c>
      <c r="W1115" s="139">
        <v>1</v>
      </c>
      <c r="X1115" s="139" t="s">
        <v>1400</v>
      </c>
      <c r="Y1115" s="138">
        <v>43209</v>
      </c>
      <c r="Z1115" s="187">
        <v>1047000</v>
      </c>
      <c r="AA1115" s="139" t="s">
        <v>991</v>
      </c>
      <c r="AB1115" s="97">
        <v>799</v>
      </c>
      <c r="AC1115" s="186">
        <v>43210</v>
      </c>
      <c r="AD1115" s="187">
        <v>1047000</v>
      </c>
      <c r="AE1115" s="97"/>
      <c r="AF1115" s="139">
        <v>1840</v>
      </c>
      <c r="AG1115" s="186">
        <v>43214</v>
      </c>
      <c r="AH1115" s="187">
        <v>1047000</v>
      </c>
      <c r="AI1115" s="157" t="s">
        <v>1370</v>
      </c>
      <c r="AJ1115" s="157">
        <v>1935</v>
      </c>
      <c r="AK1115" s="157"/>
      <c r="AL1115" s="187">
        <v>1047000</v>
      </c>
      <c r="AM1115" s="187">
        <v>1047000</v>
      </c>
      <c r="AN1115" s="177">
        <f>AL1115-AM1115</f>
        <v>0</v>
      </c>
      <c r="AO1115" s="97"/>
      <c r="AP1115" s="97"/>
      <c r="AQ1115" s="97"/>
      <c r="AR1115" s="97"/>
      <c r="AS1115" s="97"/>
      <c r="AT1115" s="97"/>
      <c r="AU1115" s="97"/>
    </row>
    <row r="1116" spans="1:47" ht="242.25" x14ac:dyDescent="0.2">
      <c r="A1116" s="97">
        <f t="shared" si="111"/>
        <v>127</v>
      </c>
      <c r="B1116" s="128" t="s">
        <v>1401</v>
      </c>
      <c r="C1116" s="65" t="s">
        <v>941</v>
      </c>
      <c r="D1116" s="1" t="s">
        <v>942</v>
      </c>
      <c r="E1116" s="128" t="s">
        <v>971</v>
      </c>
      <c r="F1116" s="1" t="s">
        <v>511</v>
      </c>
      <c r="G1116" s="1" t="s">
        <v>512</v>
      </c>
      <c r="H1116" s="66" t="s">
        <v>944</v>
      </c>
      <c r="I1116" s="1" t="s">
        <v>54</v>
      </c>
      <c r="J1116" s="1" t="s">
        <v>55</v>
      </c>
      <c r="K1116" s="52">
        <v>801116</v>
      </c>
      <c r="L1116" s="52" t="s">
        <v>945</v>
      </c>
      <c r="M1116" s="128" t="s">
        <v>493</v>
      </c>
      <c r="N1116" s="128" t="s">
        <v>494</v>
      </c>
      <c r="O1116" s="53" t="s">
        <v>946</v>
      </c>
      <c r="P1116" s="131" t="s">
        <v>1402</v>
      </c>
      <c r="Q1116" s="97"/>
      <c r="R1116" s="97"/>
      <c r="S1116" s="188"/>
      <c r="T1116" s="97"/>
      <c r="U1116" s="131"/>
      <c r="V1116" s="97"/>
      <c r="W1116" s="97"/>
      <c r="X1116" s="97"/>
      <c r="Y1116" s="97"/>
      <c r="Z1116" s="97"/>
      <c r="AA1116" s="97"/>
      <c r="AB1116" s="97">
        <v>541</v>
      </c>
      <c r="AC1116" s="97"/>
      <c r="AD1116" s="158"/>
      <c r="AE1116" s="97"/>
      <c r="AF1116" s="139">
        <v>1801</v>
      </c>
      <c r="AG1116" s="186">
        <v>43203</v>
      </c>
      <c r="AH1116" s="187">
        <v>20421900</v>
      </c>
      <c r="AI1116" s="131" t="s">
        <v>518</v>
      </c>
      <c r="AJ1116" s="131">
        <v>28</v>
      </c>
      <c r="AK1116" s="131"/>
      <c r="AL1116" s="187">
        <v>20421900</v>
      </c>
      <c r="AM1116" s="187">
        <v>20421900</v>
      </c>
      <c r="AN1116" s="177">
        <f t="shared" si="112"/>
        <v>0</v>
      </c>
      <c r="AO1116" s="97"/>
      <c r="AP1116" s="97"/>
      <c r="AQ1116" s="97"/>
      <c r="AR1116" s="97"/>
      <c r="AS1116" s="97"/>
      <c r="AT1116" s="97"/>
      <c r="AU1116" s="97"/>
    </row>
    <row r="1117" spans="1:47" ht="140.25" x14ac:dyDescent="0.2">
      <c r="A1117" s="97">
        <f t="shared" si="111"/>
        <v>128</v>
      </c>
      <c r="B1117" s="128" t="s">
        <v>1403</v>
      </c>
      <c r="C1117" s="65" t="s">
        <v>941</v>
      </c>
      <c r="D1117" s="1" t="s">
        <v>942</v>
      </c>
      <c r="E1117" s="128" t="s">
        <v>971</v>
      </c>
      <c r="F1117" s="1" t="s">
        <v>511</v>
      </c>
      <c r="G1117" s="1" t="s">
        <v>512</v>
      </c>
      <c r="H1117" s="66" t="s">
        <v>944</v>
      </c>
      <c r="I1117" s="1" t="s">
        <v>54</v>
      </c>
      <c r="J1117" s="1" t="s">
        <v>55</v>
      </c>
      <c r="K1117" s="52">
        <v>801117</v>
      </c>
      <c r="L1117" s="52" t="s">
        <v>945</v>
      </c>
      <c r="M1117" s="128" t="s">
        <v>705</v>
      </c>
      <c r="N1117" s="128" t="s">
        <v>706</v>
      </c>
      <c r="O1117" s="53" t="s">
        <v>1320</v>
      </c>
      <c r="P1117" s="131" t="s">
        <v>1404</v>
      </c>
      <c r="Q1117" s="97"/>
      <c r="R1117" s="97"/>
      <c r="S1117" s="97"/>
      <c r="T1117" s="97"/>
      <c r="U1117" s="131"/>
      <c r="V1117" s="97"/>
      <c r="W1117" s="97"/>
      <c r="X1117" s="97"/>
      <c r="Y1117" s="97"/>
      <c r="Z1117" s="97"/>
      <c r="AA1117" s="97"/>
      <c r="AB1117" s="142">
        <v>541</v>
      </c>
      <c r="AC1117" s="97"/>
      <c r="AD1117" s="158"/>
      <c r="AE1117" s="97"/>
      <c r="AF1117" s="139">
        <v>1838</v>
      </c>
      <c r="AG1117" s="189">
        <v>43213</v>
      </c>
      <c r="AH1117" s="187">
        <v>29984444</v>
      </c>
      <c r="AI1117" s="166" t="s">
        <v>518</v>
      </c>
      <c r="AJ1117" s="142">
        <v>31</v>
      </c>
      <c r="AK1117" s="97"/>
      <c r="AL1117" s="187">
        <f>29524444+540000-80000</f>
        <v>29984444</v>
      </c>
      <c r="AM1117" s="187">
        <f>29524444+540000-80000</f>
        <v>29984444</v>
      </c>
      <c r="AN1117" s="177">
        <f t="shared" si="112"/>
        <v>0</v>
      </c>
      <c r="AO1117" s="97"/>
      <c r="AP1117" s="97"/>
      <c r="AQ1117" s="97"/>
      <c r="AR1117" s="97"/>
      <c r="AS1117" s="97"/>
      <c r="AT1117" s="97"/>
      <c r="AU1117" s="97"/>
    </row>
    <row r="1118" spans="1:47" ht="140.25" x14ac:dyDescent="0.2">
      <c r="A1118" s="97">
        <f t="shared" si="111"/>
        <v>129</v>
      </c>
      <c r="B1118" s="128" t="s">
        <v>1405</v>
      </c>
      <c r="C1118" s="65" t="s">
        <v>941</v>
      </c>
      <c r="D1118" s="1" t="s">
        <v>942</v>
      </c>
      <c r="E1118" s="128" t="s">
        <v>943</v>
      </c>
      <c r="F1118" s="1" t="s">
        <v>511</v>
      </c>
      <c r="G1118" s="1" t="s">
        <v>512</v>
      </c>
      <c r="H1118" s="66" t="s">
        <v>944</v>
      </c>
      <c r="I1118" s="1" t="s">
        <v>54</v>
      </c>
      <c r="J1118" s="1" t="s">
        <v>55</v>
      </c>
      <c r="K1118" s="52">
        <v>801117</v>
      </c>
      <c r="L1118" s="52" t="s">
        <v>945</v>
      </c>
      <c r="M1118" s="128" t="s">
        <v>705</v>
      </c>
      <c r="N1118" s="128" t="s">
        <v>706</v>
      </c>
      <c r="O1118" s="53" t="s">
        <v>1320</v>
      </c>
      <c r="P1118" s="131" t="s">
        <v>1404</v>
      </c>
      <c r="Q1118" s="97"/>
      <c r="R1118" s="97"/>
      <c r="S1118" s="97"/>
      <c r="T1118" s="97"/>
      <c r="U1118" s="131"/>
      <c r="V1118" s="97"/>
      <c r="W1118" s="97"/>
      <c r="X1118" s="97"/>
      <c r="Y1118" s="97"/>
      <c r="Z1118" s="97"/>
      <c r="AA1118" s="97"/>
      <c r="AB1118" s="143"/>
      <c r="AC1118" s="97"/>
      <c r="AD1118" s="158"/>
      <c r="AE1118" s="97"/>
      <c r="AF1118" s="139">
        <v>1838</v>
      </c>
      <c r="AG1118" s="189"/>
      <c r="AH1118" s="187">
        <v>44927623</v>
      </c>
      <c r="AI1118" s="169"/>
      <c r="AJ1118" s="143"/>
      <c r="AK1118" s="97"/>
      <c r="AL1118" s="187">
        <f>27717465+18210158-1000000</f>
        <v>44927623</v>
      </c>
      <c r="AM1118" s="187">
        <v>44927623</v>
      </c>
      <c r="AN1118" s="177">
        <f t="shared" si="112"/>
        <v>0</v>
      </c>
      <c r="AO1118" s="97"/>
      <c r="AP1118" s="97"/>
      <c r="AQ1118" s="97"/>
      <c r="AR1118" s="97"/>
      <c r="AS1118" s="97"/>
      <c r="AT1118" s="97"/>
      <c r="AU1118" s="97"/>
    </row>
    <row r="1119" spans="1:47" ht="409.5" x14ac:dyDescent="0.2">
      <c r="A1119" s="97">
        <f t="shared" si="111"/>
        <v>130</v>
      </c>
      <c r="B1119" s="128" t="s">
        <v>1406</v>
      </c>
      <c r="C1119" s="65" t="s">
        <v>941</v>
      </c>
      <c r="D1119" s="1" t="s">
        <v>942</v>
      </c>
      <c r="E1119" s="128" t="s">
        <v>943</v>
      </c>
      <c r="F1119" s="1" t="s">
        <v>511</v>
      </c>
      <c r="G1119" s="1" t="s">
        <v>512</v>
      </c>
      <c r="H1119" s="66" t="s">
        <v>944</v>
      </c>
      <c r="I1119" s="1" t="s">
        <v>54</v>
      </c>
      <c r="J1119" s="1" t="s">
        <v>55</v>
      </c>
      <c r="K1119" s="55">
        <v>801116</v>
      </c>
      <c r="L1119" s="56" t="s">
        <v>945</v>
      </c>
      <c r="M1119" s="131" t="s">
        <v>493</v>
      </c>
      <c r="N1119" s="128" t="s">
        <v>494</v>
      </c>
      <c r="O1119" s="53" t="s">
        <v>946</v>
      </c>
      <c r="P1119" s="131" t="s">
        <v>1407</v>
      </c>
      <c r="Q1119" s="97"/>
      <c r="R1119" s="97"/>
      <c r="S1119" s="97"/>
      <c r="T1119" s="97"/>
      <c r="U1119" s="131"/>
      <c r="V1119" s="97"/>
      <c r="W1119" s="97"/>
      <c r="X1119" s="97"/>
      <c r="Y1119" s="97"/>
      <c r="Z1119" s="97"/>
      <c r="AA1119" s="97"/>
      <c r="AB1119" s="133">
        <v>683</v>
      </c>
      <c r="AC1119" s="97"/>
      <c r="AD1119" s="158"/>
      <c r="AE1119" s="97"/>
      <c r="AF1119" s="133">
        <v>1723</v>
      </c>
      <c r="AG1119" s="125">
        <v>43195</v>
      </c>
      <c r="AH1119" s="187">
        <v>1161100</v>
      </c>
      <c r="AI1119" s="131" t="s">
        <v>524</v>
      </c>
      <c r="AJ1119" s="192">
        <v>4</v>
      </c>
      <c r="AK1119" s="97"/>
      <c r="AL1119" s="187">
        <v>1161100</v>
      </c>
      <c r="AM1119" s="187">
        <v>1161100</v>
      </c>
      <c r="AN1119" s="177">
        <f t="shared" si="112"/>
        <v>0</v>
      </c>
      <c r="AO1119" s="97"/>
      <c r="AP1119" s="97"/>
      <c r="AQ1119" s="97"/>
      <c r="AR1119" s="97"/>
      <c r="AS1119" s="97"/>
      <c r="AT1119" s="97"/>
      <c r="AU1119" s="97"/>
    </row>
    <row r="1120" spans="1:47" ht="382.5" x14ac:dyDescent="0.2">
      <c r="A1120" s="97">
        <f t="shared" si="111"/>
        <v>131</v>
      </c>
      <c r="B1120" s="128" t="s">
        <v>1408</v>
      </c>
      <c r="C1120" s="128" t="s">
        <v>941</v>
      </c>
      <c r="D1120" s="128" t="s">
        <v>942</v>
      </c>
      <c r="E1120" s="128" t="s">
        <v>971</v>
      </c>
      <c r="F1120" s="128" t="s">
        <v>1309</v>
      </c>
      <c r="G1120" s="128" t="s">
        <v>1310</v>
      </c>
      <c r="H1120" s="128" t="s">
        <v>1311</v>
      </c>
      <c r="I1120" s="128" t="s">
        <v>54</v>
      </c>
      <c r="J1120" s="128" t="s">
        <v>55</v>
      </c>
      <c r="K1120" s="128" t="s">
        <v>50</v>
      </c>
      <c r="L1120" s="128"/>
      <c r="M1120" s="128"/>
      <c r="N1120" s="128"/>
      <c r="O1120" s="53" t="s">
        <v>946</v>
      </c>
      <c r="P1120" s="131" t="s">
        <v>1409</v>
      </c>
      <c r="Q1120" s="97"/>
      <c r="R1120" s="97">
        <v>1</v>
      </c>
      <c r="S1120" s="137">
        <v>2004300</v>
      </c>
      <c r="T1120" s="97" t="s">
        <v>478</v>
      </c>
      <c r="U1120" s="97" t="s">
        <v>478</v>
      </c>
      <c r="V1120" s="193">
        <v>43221</v>
      </c>
      <c r="W1120" s="97"/>
      <c r="X1120" s="97" t="s">
        <v>1410</v>
      </c>
      <c r="Y1120" s="186">
        <v>43229</v>
      </c>
      <c r="Z1120" s="137">
        <v>2004300</v>
      </c>
      <c r="AA1120" s="97"/>
      <c r="AB1120" s="97">
        <v>820</v>
      </c>
      <c r="AC1120" s="186">
        <v>43229</v>
      </c>
      <c r="AD1120" s="158">
        <v>2004300</v>
      </c>
      <c r="AE1120" s="97"/>
      <c r="AF1120" s="133">
        <v>1895</v>
      </c>
      <c r="AG1120" s="186">
        <v>43230</v>
      </c>
      <c r="AH1120" s="137">
        <v>1407900</v>
      </c>
      <c r="AI1120" s="131" t="s">
        <v>1347</v>
      </c>
      <c r="AJ1120" s="97">
        <v>2059</v>
      </c>
      <c r="AK1120" s="97"/>
      <c r="AL1120" s="137">
        <v>1407900</v>
      </c>
      <c r="AM1120" s="137">
        <v>1407900</v>
      </c>
      <c r="AN1120" s="137">
        <f t="shared" si="112"/>
        <v>0</v>
      </c>
      <c r="AO1120" s="97"/>
      <c r="AP1120" s="97"/>
      <c r="AQ1120" s="97"/>
      <c r="AR1120" s="97"/>
      <c r="AS1120" s="97"/>
      <c r="AT1120" s="97"/>
      <c r="AU1120" s="97"/>
    </row>
    <row r="1121" spans="1:47" ht="409.5" x14ac:dyDescent="0.2">
      <c r="A1121" s="97">
        <f t="shared" si="111"/>
        <v>132</v>
      </c>
      <c r="B1121" s="128" t="s">
        <v>1411</v>
      </c>
      <c r="C1121" s="65" t="s">
        <v>941</v>
      </c>
      <c r="D1121" s="1" t="s">
        <v>942</v>
      </c>
      <c r="E1121" s="1" t="s">
        <v>1267</v>
      </c>
      <c r="F1121" s="1" t="s">
        <v>501</v>
      </c>
      <c r="G1121" s="1" t="s">
        <v>780</v>
      </c>
      <c r="H1121" s="1" t="s">
        <v>1350</v>
      </c>
      <c r="I1121" s="1" t="s">
        <v>54</v>
      </c>
      <c r="J1121" s="1" t="s">
        <v>55</v>
      </c>
      <c r="K1121" s="1">
        <v>84131501</v>
      </c>
      <c r="L1121" s="55" t="s">
        <v>945</v>
      </c>
      <c r="M1121" s="131" t="s">
        <v>493</v>
      </c>
      <c r="N1121" s="128" t="s">
        <v>494</v>
      </c>
      <c r="O1121" s="53" t="s">
        <v>946</v>
      </c>
      <c r="P1121" s="131" t="s">
        <v>1412</v>
      </c>
      <c r="Q1121" s="97"/>
      <c r="R1121" s="97">
        <v>1</v>
      </c>
      <c r="S1121" s="137">
        <v>95119</v>
      </c>
      <c r="T1121" s="97" t="s">
        <v>478</v>
      </c>
      <c r="U1121" s="97" t="s">
        <v>478</v>
      </c>
      <c r="V1121" s="193">
        <v>43221</v>
      </c>
      <c r="W1121" s="97"/>
      <c r="X1121" s="97" t="s">
        <v>1413</v>
      </c>
      <c r="Y1121" s="186">
        <v>43229</v>
      </c>
      <c r="Z1121" s="137">
        <v>95119</v>
      </c>
      <c r="AA1121" s="97"/>
      <c r="AB1121" s="97">
        <v>821</v>
      </c>
      <c r="AC1121" s="186">
        <v>43230</v>
      </c>
      <c r="AD1121" s="158">
        <v>95119</v>
      </c>
      <c r="AE1121" s="97"/>
      <c r="AF1121" s="139">
        <v>2006</v>
      </c>
      <c r="AG1121" s="186">
        <v>43258</v>
      </c>
      <c r="AH1121" s="158">
        <v>95119</v>
      </c>
      <c r="AI1121" s="97" t="s">
        <v>1370</v>
      </c>
      <c r="AJ1121" s="97">
        <v>2186</v>
      </c>
      <c r="AK1121" s="97"/>
      <c r="AL1121" s="158">
        <v>95119</v>
      </c>
      <c r="AM1121" s="158">
        <v>95119</v>
      </c>
      <c r="AN1121" s="137">
        <f t="shared" si="112"/>
        <v>0</v>
      </c>
      <c r="AO1121" s="97"/>
      <c r="AP1121" s="97"/>
      <c r="AQ1121" s="97"/>
      <c r="AR1121" s="97"/>
      <c r="AS1121" s="97"/>
      <c r="AT1121" s="97"/>
      <c r="AU1121" s="97"/>
    </row>
    <row r="1122" spans="1:47" ht="409.5" x14ac:dyDescent="0.2">
      <c r="A1122" s="97">
        <f t="shared" si="111"/>
        <v>133</v>
      </c>
      <c r="B1122" s="128" t="s">
        <v>1414</v>
      </c>
      <c r="C1122" s="65" t="s">
        <v>941</v>
      </c>
      <c r="D1122" s="1" t="s">
        <v>942</v>
      </c>
      <c r="E1122" s="1" t="s">
        <v>1267</v>
      </c>
      <c r="F1122" s="1" t="s">
        <v>501</v>
      </c>
      <c r="G1122" s="1" t="s">
        <v>780</v>
      </c>
      <c r="H1122" s="1" t="s">
        <v>1350</v>
      </c>
      <c r="I1122" s="1" t="s">
        <v>54</v>
      </c>
      <c r="J1122" s="1" t="s">
        <v>55</v>
      </c>
      <c r="K1122" s="1">
        <v>84131501</v>
      </c>
      <c r="L1122" s="55" t="s">
        <v>945</v>
      </c>
      <c r="M1122" s="131" t="s">
        <v>493</v>
      </c>
      <c r="N1122" s="128" t="s">
        <v>494</v>
      </c>
      <c r="O1122" s="53" t="s">
        <v>946</v>
      </c>
      <c r="P1122" s="131" t="s">
        <v>1415</v>
      </c>
      <c r="Q1122" s="97"/>
      <c r="R1122" s="97">
        <v>1</v>
      </c>
      <c r="S1122" s="188">
        <v>9098844</v>
      </c>
      <c r="T1122" s="97" t="s">
        <v>272</v>
      </c>
      <c r="U1122" s="131" t="s">
        <v>272</v>
      </c>
      <c r="V1122" s="193">
        <v>43221</v>
      </c>
      <c r="W1122" s="97"/>
      <c r="X1122" s="97" t="s">
        <v>1416</v>
      </c>
      <c r="Y1122" s="186">
        <v>43231</v>
      </c>
      <c r="Z1122" s="137">
        <v>9098844</v>
      </c>
      <c r="AA1122" s="97"/>
      <c r="AB1122" s="97">
        <v>823</v>
      </c>
      <c r="AC1122" s="186">
        <v>43231</v>
      </c>
      <c r="AD1122" s="158">
        <v>9098844</v>
      </c>
      <c r="AE1122" s="97"/>
      <c r="AF1122" s="139">
        <v>1910</v>
      </c>
      <c r="AG1122" s="186">
        <v>43235</v>
      </c>
      <c r="AH1122" s="158">
        <v>9098844</v>
      </c>
      <c r="AI1122" s="131" t="s">
        <v>1417</v>
      </c>
      <c r="AJ1122" s="97">
        <v>434</v>
      </c>
      <c r="AK1122" s="97"/>
      <c r="AL1122" s="137">
        <v>9098844</v>
      </c>
      <c r="AM1122" s="97">
        <v>0</v>
      </c>
      <c r="AN1122" s="137">
        <f t="shared" si="112"/>
        <v>9098844</v>
      </c>
      <c r="AO1122" s="97"/>
      <c r="AP1122" s="97"/>
      <c r="AQ1122" s="97"/>
      <c r="AR1122" s="97"/>
      <c r="AS1122" s="97"/>
      <c r="AT1122" s="97"/>
      <c r="AU1122" s="97"/>
    </row>
    <row r="1123" spans="1:47" ht="382.5" x14ac:dyDescent="0.2">
      <c r="A1123" s="97">
        <f t="shared" si="111"/>
        <v>134</v>
      </c>
      <c r="B1123" s="128" t="s">
        <v>1418</v>
      </c>
      <c r="C1123" s="128" t="s">
        <v>941</v>
      </c>
      <c r="D1123" s="128" t="s">
        <v>942</v>
      </c>
      <c r="E1123" s="128" t="s">
        <v>971</v>
      </c>
      <c r="F1123" s="128" t="s">
        <v>1309</v>
      </c>
      <c r="G1123" s="128" t="s">
        <v>1310</v>
      </c>
      <c r="H1123" s="128" t="s">
        <v>1311</v>
      </c>
      <c r="I1123" s="128" t="s">
        <v>54</v>
      </c>
      <c r="J1123" s="128" t="s">
        <v>55</v>
      </c>
      <c r="K1123" s="128" t="s">
        <v>50</v>
      </c>
      <c r="L1123" s="128"/>
      <c r="M1123" s="128"/>
      <c r="N1123" s="128"/>
      <c r="O1123" s="53" t="s">
        <v>946</v>
      </c>
      <c r="P1123" s="131" t="s">
        <v>1409</v>
      </c>
      <c r="Q1123" s="97"/>
      <c r="R1123" s="97">
        <v>1</v>
      </c>
      <c r="S1123" s="188">
        <v>10000000</v>
      </c>
      <c r="T1123" s="97" t="s">
        <v>478</v>
      </c>
      <c r="U1123" s="131" t="s">
        <v>478</v>
      </c>
      <c r="V1123" s="193">
        <v>43221</v>
      </c>
      <c r="W1123" s="97"/>
      <c r="X1123" s="97" t="s">
        <v>1419</v>
      </c>
      <c r="Y1123" s="186">
        <v>43241</v>
      </c>
      <c r="Z1123" s="137">
        <v>10000000</v>
      </c>
      <c r="AA1123" s="97"/>
      <c r="AB1123" s="97">
        <v>847</v>
      </c>
      <c r="AC1123" s="186">
        <v>43242</v>
      </c>
      <c r="AD1123" s="158">
        <v>10000000</v>
      </c>
      <c r="AE1123" s="97"/>
      <c r="AF1123" s="139">
        <v>1938</v>
      </c>
      <c r="AG1123" s="97" t="s">
        <v>1420</v>
      </c>
      <c r="AH1123" s="158">
        <v>668000</v>
      </c>
      <c r="AI1123" s="131" t="s">
        <v>1421</v>
      </c>
      <c r="AJ1123" s="97">
        <v>2099</v>
      </c>
      <c r="AK1123" s="97"/>
      <c r="AL1123" s="137">
        <v>668000</v>
      </c>
      <c r="AM1123" s="187">
        <v>668000</v>
      </c>
      <c r="AN1123" s="137">
        <f t="shared" si="112"/>
        <v>0</v>
      </c>
      <c r="AO1123" s="97"/>
      <c r="AP1123" s="97"/>
      <c r="AQ1123" s="97"/>
      <c r="AR1123" s="97"/>
      <c r="AS1123" s="97"/>
      <c r="AT1123" s="97"/>
      <c r="AU1123" s="97"/>
    </row>
    <row r="1124" spans="1:47" ht="229.5" x14ac:dyDescent="0.2">
      <c r="A1124" s="97">
        <f t="shared" si="111"/>
        <v>135</v>
      </c>
      <c r="B1124" s="128" t="s">
        <v>1422</v>
      </c>
      <c r="C1124" s="65" t="s">
        <v>941</v>
      </c>
      <c r="D1124" s="1" t="s">
        <v>942</v>
      </c>
      <c r="E1124" s="128" t="s">
        <v>971</v>
      </c>
      <c r="F1124" s="1" t="s">
        <v>511</v>
      </c>
      <c r="G1124" s="1" t="s">
        <v>512</v>
      </c>
      <c r="H1124" s="66" t="s">
        <v>944</v>
      </c>
      <c r="I1124" s="1" t="s">
        <v>54</v>
      </c>
      <c r="J1124" s="1" t="s">
        <v>55</v>
      </c>
      <c r="K1124" s="52">
        <v>801116</v>
      </c>
      <c r="L1124" s="52" t="s">
        <v>945</v>
      </c>
      <c r="M1124" s="128" t="s">
        <v>493</v>
      </c>
      <c r="N1124" s="128" t="s">
        <v>494</v>
      </c>
      <c r="O1124" s="53" t="s">
        <v>946</v>
      </c>
      <c r="P1124" s="131" t="s">
        <v>1423</v>
      </c>
      <c r="Q1124" s="154"/>
      <c r="R1124" s="154"/>
      <c r="S1124" s="194"/>
      <c r="T1124" s="154"/>
      <c r="U1124" s="195"/>
      <c r="V1124" s="154"/>
      <c r="W1124" s="154"/>
      <c r="X1124" s="154"/>
      <c r="Y1124" s="154"/>
      <c r="Z1124" s="154"/>
      <c r="AA1124" s="154"/>
      <c r="AB1124" s="154"/>
      <c r="AC1124" s="154"/>
      <c r="AD1124" s="196"/>
      <c r="AE1124" s="154"/>
      <c r="AF1124" s="261">
        <v>1903</v>
      </c>
      <c r="AG1124" s="197">
        <v>43235</v>
      </c>
      <c r="AH1124" s="196">
        <v>20823700</v>
      </c>
      <c r="AI1124" s="195" t="s">
        <v>1424</v>
      </c>
      <c r="AJ1124" s="154">
        <v>34</v>
      </c>
      <c r="AK1124" s="154"/>
      <c r="AL1124" s="156">
        <v>20823700</v>
      </c>
      <c r="AM1124" s="265">
        <v>20823700</v>
      </c>
      <c r="AN1124" s="156">
        <f t="shared" si="112"/>
        <v>0</v>
      </c>
      <c r="AO1124" s="154"/>
      <c r="AP1124" s="154"/>
      <c r="AQ1124" s="154"/>
      <c r="AR1124" s="154"/>
      <c r="AS1124" s="154"/>
      <c r="AT1124" s="154"/>
      <c r="AU1124" s="154"/>
    </row>
    <row r="1125" spans="1:47" ht="382.5" x14ac:dyDescent="0.2">
      <c r="A1125" s="97">
        <f t="shared" si="111"/>
        <v>136</v>
      </c>
      <c r="B1125" s="128" t="s">
        <v>1425</v>
      </c>
      <c r="C1125" s="128" t="s">
        <v>941</v>
      </c>
      <c r="D1125" s="128" t="s">
        <v>942</v>
      </c>
      <c r="E1125" s="128" t="s">
        <v>971</v>
      </c>
      <c r="F1125" s="128" t="s">
        <v>1309</v>
      </c>
      <c r="G1125" s="128" t="s">
        <v>1310</v>
      </c>
      <c r="H1125" s="128" t="s">
        <v>1311</v>
      </c>
      <c r="I1125" s="128" t="s">
        <v>54</v>
      </c>
      <c r="J1125" s="128" t="s">
        <v>55</v>
      </c>
      <c r="K1125" s="128" t="s">
        <v>50</v>
      </c>
      <c r="L1125" s="128"/>
      <c r="M1125" s="128"/>
      <c r="N1125" s="128"/>
      <c r="O1125" s="53" t="s">
        <v>946</v>
      </c>
      <c r="P1125" s="131" t="s">
        <v>1426</v>
      </c>
      <c r="Q1125" s="97"/>
      <c r="R1125" s="97"/>
      <c r="S1125" s="97"/>
      <c r="T1125" s="97"/>
      <c r="U1125" s="131"/>
      <c r="V1125" s="97"/>
      <c r="W1125" s="97"/>
      <c r="X1125" s="97"/>
      <c r="Y1125" s="97"/>
      <c r="Z1125" s="97"/>
      <c r="AA1125" s="97"/>
      <c r="AB1125" s="97">
        <v>820</v>
      </c>
      <c r="AC1125" s="186">
        <v>43229</v>
      </c>
      <c r="AD1125" s="158"/>
      <c r="AE1125" s="97"/>
      <c r="AF1125" s="139">
        <v>1896</v>
      </c>
      <c r="AG1125" s="186">
        <v>43230</v>
      </c>
      <c r="AH1125" s="158">
        <v>596400</v>
      </c>
      <c r="AI1125" s="131" t="s">
        <v>1345</v>
      </c>
      <c r="AJ1125" s="97">
        <v>2059</v>
      </c>
      <c r="AK1125" s="97"/>
      <c r="AL1125" s="137">
        <v>596400</v>
      </c>
      <c r="AM1125" s="137">
        <v>596400</v>
      </c>
      <c r="AN1125" s="137">
        <f>AL1125-AM1125</f>
        <v>0</v>
      </c>
      <c r="AO1125" s="97"/>
      <c r="AP1125" s="97"/>
      <c r="AQ1125" s="97"/>
      <c r="AR1125" s="97"/>
      <c r="AS1125" s="97"/>
      <c r="AT1125" s="97"/>
      <c r="AU1125" s="97"/>
    </row>
    <row r="1126" spans="1:47" ht="409.5" x14ac:dyDescent="0.2">
      <c r="A1126" s="97">
        <f t="shared" si="111"/>
        <v>137</v>
      </c>
      <c r="B1126" s="128" t="s">
        <v>1427</v>
      </c>
      <c r="C1126" s="65" t="s">
        <v>941</v>
      </c>
      <c r="D1126" s="1" t="s">
        <v>942</v>
      </c>
      <c r="E1126" s="1" t="s">
        <v>1267</v>
      </c>
      <c r="F1126" s="1" t="s">
        <v>501</v>
      </c>
      <c r="G1126" s="1" t="s">
        <v>780</v>
      </c>
      <c r="H1126" s="1" t="s">
        <v>1350</v>
      </c>
      <c r="I1126" s="1" t="s">
        <v>54</v>
      </c>
      <c r="J1126" s="1" t="s">
        <v>55</v>
      </c>
      <c r="K1126" s="1">
        <v>84131501</v>
      </c>
      <c r="L1126" s="55" t="s">
        <v>945</v>
      </c>
      <c r="M1126" s="131" t="s">
        <v>493</v>
      </c>
      <c r="N1126" s="128" t="s">
        <v>494</v>
      </c>
      <c r="O1126" s="53" t="s">
        <v>946</v>
      </c>
      <c r="P1126" s="131" t="s">
        <v>1391</v>
      </c>
      <c r="Q1126" s="97"/>
      <c r="R1126" s="97"/>
      <c r="S1126" s="97"/>
      <c r="T1126" s="97"/>
      <c r="U1126" s="131"/>
      <c r="V1126" s="97"/>
      <c r="W1126" s="97"/>
      <c r="X1126" s="97"/>
      <c r="Y1126" s="97"/>
      <c r="Z1126" s="97"/>
      <c r="AA1126" s="97"/>
      <c r="AB1126" s="97">
        <v>790</v>
      </c>
      <c r="AC1126" s="97"/>
      <c r="AD1126" s="158"/>
      <c r="AE1126" s="97"/>
      <c r="AF1126" s="139">
        <v>1924</v>
      </c>
      <c r="AG1126" s="186">
        <v>43241</v>
      </c>
      <c r="AH1126" s="158">
        <v>350000</v>
      </c>
      <c r="AI1126" s="131" t="s">
        <v>1428</v>
      </c>
      <c r="AJ1126" s="97">
        <v>2095</v>
      </c>
      <c r="AK1126" s="97"/>
      <c r="AL1126" s="137">
        <v>350000</v>
      </c>
      <c r="AM1126" s="137">
        <v>350000</v>
      </c>
      <c r="AN1126" s="137">
        <f>AL1126-AM1126</f>
        <v>0</v>
      </c>
      <c r="AO1126" s="97"/>
      <c r="AP1126" s="97"/>
      <c r="AQ1126" s="97"/>
      <c r="AR1126" s="97"/>
      <c r="AS1126" s="97"/>
      <c r="AT1126" s="97"/>
      <c r="AU1126" s="97"/>
    </row>
    <row r="1127" spans="1:47" ht="344.25" x14ac:dyDescent="0.2">
      <c r="A1127" s="97">
        <f t="shared" si="111"/>
        <v>138</v>
      </c>
      <c r="B1127" s="128" t="s">
        <v>1429</v>
      </c>
      <c r="C1127" s="65" t="s">
        <v>941</v>
      </c>
      <c r="D1127" s="1" t="s">
        <v>942</v>
      </c>
      <c r="E1127" s="128" t="s">
        <v>943</v>
      </c>
      <c r="F1127" s="1" t="s">
        <v>511</v>
      </c>
      <c r="G1127" s="1" t="s">
        <v>512</v>
      </c>
      <c r="H1127" s="66" t="s">
        <v>944</v>
      </c>
      <c r="I1127" s="1" t="s">
        <v>54</v>
      </c>
      <c r="J1127" s="1" t="s">
        <v>55</v>
      </c>
      <c r="K1127" s="55">
        <v>801116</v>
      </c>
      <c r="L1127" s="56" t="s">
        <v>945</v>
      </c>
      <c r="M1127" s="131" t="s">
        <v>493</v>
      </c>
      <c r="N1127" s="128" t="s">
        <v>494</v>
      </c>
      <c r="O1127" s="53" t="s">
        <v>946</v>
      </c>
      <c r="P1127" s="131" t="s">
        <v>1372</v>
      </c>
      <c r="Q1127" s="97"/>
      <c r="R1127" s="97"/>
      <c r="S1127" s="97"/>
      <c r="T1127" s="97"/>
      <c r="U1127" s="131"/>
      <c r="V1127" s="97"/>
      <c r="W1127" s="97"/>
      <c r="X1127" s="97"/>
      <c r="Y1127" s="97"/>
      <c r="Z1127" s="97"/>
      <c r="AA1127" s="97"/>
      <c r="AB1127" s="97">
        <v>683</v>
      </c>
      <c r="AC1127" s="97"/>
      <c r="AD1127" s="158"/>
      <c r="AE1127" s="97"/>
      <c r="AF1127" s="139">
        <v>1889</v>
      </c>
      <c r="AG1127" s="186">
        <v>43229</v>
      </c>
      <c r="AH1127" s="187">
        <v>1161100</v>
      </c>
      <c r="AI1127" s="131" t="s">
        <v>524</v>
      </c>
      <c r="AJ1127" s="97">
        <v>5</v>
      </c>
      <c r="AK1127" s="97"/>
      <c r="AL1127" s="187">
        <v>1161100</v>
      </c>
      <c r="AM1127" s="187">
        <v>1161100</v>
      </c>
      <c r="AN1127" s="177">
        <f t="shared" ref="AN1127:AN1130" si="113">AL1127-AM1127</f>
        <v>0</v>
      </c>
      <c r="AO1127" s="97"/>
      <c r="AP1127" s="97"/>
      <c r="AQ1127" s="97"/>
      <c r="AR1127" s="97"/>
      <c r="AS1127" s="97"/>
      <c r="AT1127" s="97"/>
      <c r="AU1127" s="97"/>
    </row>
    <row r="1128" spans="1:47" ht="191.25" x14ac:dyDescent="0.2">
      <c r="A1128" s="97">
        <f t="shared" si="111"/>
        <v>139</v>
      </c>
      <c r="B1128" s="128" t="s">
        <v>1430</v>
      </c>
      <c r="C1128" s="65" t="s">
        <v>941</v>
      </c>
      <c r="D1128" s="1" t="s">
        <v>942</v>
      </c>
      <c r="E1128" s="128" t="s">
        <v>971</v>
      </c>
      <c r="F1128" s="1" t="s">
        <v>511</v>
      </c>
      <c r="G1128" s="1" t="s">
        <v>512</v>
      </c>
      <c r="H1128" s="66" t="s">
        <v>944</v>
      </c>
      <c r="I1128" s="1" t="s">
        <v>54</v>
      </c>
      <c r="J1128" s="1" t="s">
        <v>55</v>
      </c>
      <c r="K1128" s="52">
        <v>801116</v>
      </c>
      <c r="L1128" s="52" t="s">
        <v>945</v>
      </c>
      <c r="M1128" s="128" t="s">
        <v>493</v>
      </c>
      <c r="N1128" s="128" t="s">
        <v>494</v>
      </c>
      <c r="O1128" s="53" t="s">
        <v>946</v>
      </c>
      <c r="P1128" s="112" t="s">
        <v>1431</v>
      </c>
      <c r="Q1128" s="97"/>
      <c r="R1128" s="97"/>
      <c r="S1128" s="97"/>
      <c r="T1128" s="97"/>
      <c r="U1128" s="131"/>
      <c r="V1128" s="97"/>
      <c r="W1128" s="97"/>
      <c r="X1128" s="97"/>
      <c r="Y1128" s="97"/>
      <c r="Z1128" s="97"/>
      <c r="AA1128" s="97"/>
      <c r="AB1128" s="97"/>
      <c r="AC1128" s="97"/>
      <c r="AD1128" s="158"/>
      <c r="AE1128" s="97"/>
      <c r="AF1128" s="139">
        <v>1948</v>
      </c>
      <c r="AG1128" s="138">
        <v>43180</v>
      </c>
      <c r="AH1128" s="187">
        <f>42249237-6871824+3</f>
        <v>35377416</v>
      </c>
      <c r="AI1128" s="131" t="s">
        <v>518</v>
      </c>
      <c r="AJ1128" s="97">
        <v>37</v>
      </c>
      <c r="AK1128" s="97"/>
      <c r="AL1128" s="187">
        <v>35377416</v>
      </c>
      <c r="AM1128" s="187">
        <v>35377416</v>
      </c>
      <c r="AN1128" s="177">
        <f t="shared" si="113"/>
        <v>0</v>
      </c>
      <c r="AO1128" s="97"/>
      <c r="AP1128" s="97"/>
      <c r="AQ1128" s="97"/>
      <c r="AR1128" s="97"/>
      <c r="AS1128" s="97"/>
      <c r="AT1128" s="97"/>
      <c r="AU1128" s="97"/>
    </row>
    <row r="1129" spans="1:47" ht="191.25" x14ac:dyDescent="0.2">
      <c r="A1129" s="97">
        <f t="shared" si="111"/>
        <v>140</v>
      </c>
      <c r="B1129" s="128" t="s">
        <v>1432</v>
      </c>
      <c r="C1129" s="65" t="s">
        <v>941</v>
      </c>
      <c r="D1129" s="1" t="s">
        <v>942</v>
      </c>
      <c r="E1129" s="128" t="s">
        <v>943</v>
      </c>
      <c r="F1129" s="1" t="s">
        <v>511</v>
      </c>
      <c r="G1129" s="1" t="s">
        <v>512</v>
      </c>
      <c r="H1129" s="66" t="s">
        <v>944</v>
      </c>
      <c r="I1129" s="1" t="s">
        <v>54</v>
      </c>
      <c r="J1129" s="1" t="s">
        <v>55</v>
      </c>
      <c r="K1129" s="52">
        <v>801117</v>
      </c>
      <c r="L1129" s="52" t="s">
        <v>945</v>
      </c>
      <c r="M1129" s="128" t="s">
        <v>705</v>
      </c>
      <c r="N1129" s="128" t="s">
        <v>706</v>
      </c>
      <c r="O1129" s="53" t="s">
        <v>1320</v>
      </c>
      <c r="P1129" s="131" t="s">
        <v>1431</v>
      </c>
      <c r="Q1129" s="97"/>
      <c r="R1129" s="97"/>
      <c r="S1129" s="97"/>
      <c r="T1129" s="97"/>
      <c r="U1129" s="131"/>
      <c r="V1129" s="97"/>
      <c r="W1129" s="97"/>
      <c r="X1129" s="97"/>
      <c r="Y1129" s="97"/>
      <c r="Z1129" s="97"/>
      <c r="AA1129" s="97"/>
      <c r="AB1129" s="97"/>
      <c r="AC1129" s="97"/>
      <c r="AD1129" s="158"/>
      <c r="AE1129" s="97"/>
      <c r="AF1129" s="264">
        <v>1948</v>
      </c>
      <c r="AG1129" s="138">
        <v>43180</v>
      </c>
      <c r="AH1129" s="187">
        <f>20809325+6871827-6</f>
        <v>27681146</v>
      </c>
      <c r="AI1129" s="131" t="s">
        <v>518</v>
      </c>
      <c r="AJ1129" s="97">
        <v>37</v>
      </c>
      <c r="AK1129" s="97"/>
      <c r="AL1129" s="187">
        <v>27681146</v>
      </c>
      <c r="AM1129" s="187">
        <v>27681146</v>
      </c>
      <c r="AN1129" s="177">
        <f t="shared" si="113"/>
        <v>0</v>
      </c>
      <c r="AO1129" s="97"/>
      <c r="AP1129" s="97"/>
      <c r="AQ1129" s="97"/>
      <c r="AR1129" s="97"/>
      <c r="AS1129" s="97"/>
      <c r="AT1129" s="97"/>
      <c r="AU1129" s="97"/>
    </row>
    <row r="1130" spans="1:47" ht="409.5" x14ac:dyDescent="0.2">
      <c r="A1130" s="97">
        <f t="shared" si="111"/>
        <v>141</v>
      </c>
      <c r="B1130" s="128" t="s">
        <v>1433</v>
      </c>
      <c r="C1130" s="65" t="s">
        <v>941</v>
      </c>
      <c r="D1130" s="1" t="s">
        <v>942</v>
      </c>
      <c r="E1130" s="128" t="s">
        <v>943</v>
      </c>
      <c r="F1130" s="1" t="s">
        <v>487</v>
      </c>
      <c r="G1130" s="1" t="s">
        <v>1434</v>
      </c>
      <c r="H1130" s="1" t="s">
        <v>1435</v>
      </c>
      <c r="I1130" s="1" t="s">
        <v>54</v>
      </c>
      <c r="J1130" s="1" t="s">
        <v>55</v>
      </c>
      <c r="K1130" s="1">
        <v>84131501</v>
      </c>
      <c r="L1130" s="55" t="s">
        <v>945</v>
      </c>
      <c r="M1130" s="131" t="s">
        <v>493</v>
      </c>
      <c r="N1130" s="128" t="s">
        <v>494</v>
      </c>
      <c r="O1130" s="53" t="s">
        <v>946</v>
      </c>
      <c r="P1130" s="131" t="s">
        <v>1436</v>
      </c>
      <c r="Q1130" s="97"/>
      <c r="R1130" s="97">
        <v>1</v>
      </c>
      <c r="S1130" s="137">
        <v>1859356</v>
      </c>
      <c r="T1130" s="97" t="s">
        <v>478</v>
      </c>
      <c r="U1130" s="131" t="s">
        <v>478</v>
      </c>
      <c r="V1130" s="186">
        <v>43250</v>
      </c>
      <c r="W1130" s="97"/>
      <c r="X1130" s="97" t="s">
        <v>1437</v>
      </c>
      <c r="Y1130" s="186">
        <v>43264</v>
      </c>
      <c r="Z1130" s="137">
        <v>1859356</v>
      </c>
      <c r="AA1130" s="97" t="s">
        <v>1353</v>
      </c>
      <c r="AB1130" s="97">
        <v>889</v>
      </c>
      <c r="AC1130" s="186">
        <v>43264</v>
      </c>
      <c r="AD1130" s="158">
        <v>1859356</v>
      </c>
      <c r="AE1130" s="97"/>
      <c r="AF1130" s="139">
        <v>2015</v>
      </c>
      <c r="AG1130" s="97">
        <v>15062018</v>
      </c>
      <c r="AH1130" s="187">
        <v>1859356</v>
      </c>
      <c r="AI1130" s="131" t="s">
        <v>1438</v>
      </c>
      <c r="AJ1130" s="97">
        <v>31</v>
      </c>
      <c r="AK1130" s="97"/>
      <c r="AL1130" s="187">
        <v>1859356</v>
      </c>
      <c r="AM1130" s="187">
        <v>1859356</v>
      </c>
      <c r="AN1130" s="177">
        <f t="shared" si="113"/>
        <v>0</v>
      </c>
      <c r="AO1130" s="97"/>
      <c r="AP1130" s="97"/>
      <c r="AQ1130" s="97"/>
      <c r="AR1130" s="97"/>
      <c r="AS1130" s="97"/>
      <c r="AT1130" s="97"/>
      <c r="AU1130" s="97"/>
    </row>
    <row r="1131" spans="1:47" ht="318.75" x14ac:dyDescent="0.2">
      <c r="A1131" s="97">
        <f t="shared" si="111"/>
        <v>142</v>
      </c>
      <c r="B1131" s="128" t="s">
        <v>1439</v>
      </c>
      <c r="C1131" s="65" t="s">
        <v>941</v>
      </c>
      <c r="D1131" s="1" t="s">
        <v>942</v>
      </c>
      <c r="E1131" s="1" t="s">
        <v>1267</v>
      </c>
      <c r="F1131" s="1" t="s">
        <v>501</v>
      </c>
      <c r="G1131" s="1" t="s">
        <v>780</v>
      </c>
      <c r="H1131" s="1" t="s">
        <v>1350</v>
      </c>
      <c r="I1131" s="1" t="s">
        <v>54</v>
      </c>
      <c r="J1131" s="1" t="s">
        <v>55</v>
      </c>
      <c r="K1131" s="1">
        <v>84131501</v>
      </c>
      <c r="L1131" s="55" t="s">
        <v>945</v>
      </c>
      <c r="M1131" s="131" t="s">
        <v>493</v>
      </c>
      <c r="N1131" s="128" t="s">
        <v>494</v>
      </c>
      <c r="O1131" s="53" t="s">
        <v>946</v>
      </c>
      <c r="P1131" s="131" t="s">
        <v>1440</v>
      </c>
      <c r="Q1131" s="97"/>
      <c r="R1131" s="97">
        <v>1</v>
      </c>
      <c r="S1131" s="198">
        <v>600000</v>
      </c>
      <c r="T1131" s="97" t="s">
        <v>478</v>
      </c>
      <c r="U1131" s="97" t="s">
        <v>478</v>
      </c>
      <c r="V1131" s="186">
        <v>43273</v>
      </c>
      <c r="W1131" s="97"/>
      <c r="X1131" s="97" t="s">
        <v>1441</v>
      </c>
      <c r="Y1131" s="186">
        <v>43273</v>
      </c>
      <c r="Z1131" s="137">
        <v>600000</v>
      </c>
      <c r="AA1131" s="97" t="s">
        <v>1355</v>
      </c>
      <c r="AB1131" s="97">
        <v>910</v>
      </c>
      <c r="AC1131" s="186">
        <v>43276</v>
      </c>
      <c r="AD1131" s="158">
        <v>600000</v>
      </c>
      <c r="AE1131" s="97"/>
      <c r="AF1131" s="139"/>
      <c r="AG1131" s="97"/>
      <c r="AH1131" s="198"/>
      <c r="AI1131" s="97"/>
      <c r="AJ1131" s="97"/>
      <c r="AK1131" s="97"/>
      <c r="AL1131" s="198"/>
      <c r="AM1131" s="198"/>
      <c r="AN1131" s="97"/>
      <c r="AO1131" s="97"/>
      <c r="AP1131" s="97"/>
      <c r="AQ1131" s="97"/>
      <c r="AR1131" s="97"/>
      <c r="AS1131" s="97"/>
      <c r="AT1131" s="97"/>
      <c r="AU1131" s="97"/>
    </row>
    <row r="1132" spans="1:47" ht="409.5" x14ac:dyDescent="0.2">
      <c r="A1132" s="97">
        <f t="shared" si="111"/>
        <v>143</v>
      </c>
      <c r="B1132" s="128" t="s">
        <v>1442</v>
      </c>
      <c r="C1132" s="65" t="s">
        <v>941</v>
      </c>
      <c r="D1132" s="1" t="s">
        <v>942</v>
      </c>
      <c r="E1132" s="128" t="s">
        <v>943</v>
      </c>
      <c r="F1132" s="1" t="s">
        <v>511</v>
      </c>
      <c r="G1132" s="1" t="s">
        <v>512</v>
      </c>
      <c r="H1132" s="66" t="s">
        <v>944</v>
      </c>
      <c r="I1132" s="1" t="s">
        <v>54</v>
      </c>
      <c r="J1132" s="1" t="s">
        <v>55</v>
      </c>
      <c r="K1132" s="55">
        <v>801116</v>
      </c>
      <c r="L1132" s="56" t="s">
        <v>945</v>
      </c>
      <c r="M1132" s="131" t="s">
        <v>493</v>
      </c>
      <c r="N1132" s="128" t="s">
        <v>494</v>
      </c>
      <c r="O1132" s="53" t="s">
        <v>946</v>
      </c>
      <c r="P1132" s="145" t="s">
        <v>1443</v>
      </c>
      <c r="Q1132" s="97"/>
      <c r="R1132" s="97">
        <v>1</v>
      </c>
      <c r="S1132" s="188">
        <v>19961400</v>
      </c>
      <c r="T1132" s="131" t="s">
        <v>58</v>
      </c>
      <c r="U1132" s="131" t="s">
        <v>1316</v>
      </c>
      <c r="V1132" s="186">
        <v>43282</v>
      </c>
      <c r="W1132" s="97">
        <v>6</v>
      </c>
      <c r="X1132" s="97" t="s">
        <v>1444</v>
      </c>
      <c r="Y1132" s="186">
        <v>43277</v>
      </c>
      <c r="Z1132" s="137">
        <v>19961400</v>
      </c>
      <c r="AA1132" s="97" t="s">
        <v>1289</v>
      </c>
      <c r="AB1132" s="97">
        <v>926</v>
      </c>
      <c r="AC1132" s="186">
        <v>43278</v>
      </c>
      <c r="AD1132" s="158">
        <v>19961400</v>
      </c>
      <c r="AE1132" s="97"/>
      <c r="AF1132" s="139">
        <v>2461</v>
      </c>
      <c r="AG1132" s="186">
        <v>43291</v>
      </c>
      <c r="AH1132" s="158">
        <v>18852433</v>
      </c>
      <c r="AI1132" s="112" t="s">
        <v>1234</v>
      </c>
      <c r="AJ1132" s="97">
        <v>442</v>
      </c>
      <c r="AK1132" s="97"/>
      <c r="AL1132" s="158">
        <v>18852433</v>
      </c>
      <c r="AM1132" s="97"/>
      <c r="AN1132" s="137">
        <f>AL1132-AM1132</f>
        <v>18852433</v>
      </c>
      <c r="AO1132" s="97"/>
      <c r="AP1132" s="97"/>
      <c r="AQ1132" s="97"/>
      <c r="AR1132" s="97"/>
      <c r="AS1132" s="97"/>
      <c r="AT1132" s="97"/>
      <c r="AU1132" s="97"/>
    </row>
    <row r="1133" spans="1:47" ht="318.75" x14ac:dyDescent="0.2">
      <c r="A1133" s="97">
        <f t="shared" si="111"/>
        <v>144</v>
      </c>
      <c r="B1133" s="128" t="s">
        <v>1445</v>
      </c>
      <c r="C1133" s="65" t="s">
        <v>941</v>
      </c>
      <c r="D1133" s="1" t="s">
        <v>942</v>
      </c>
      <c r="E1133" s="128" t="s">
        <v>943</v>
      </c>
      <c r="F1133" s="1" t="s">
        <v>511</v>
      </c>
      <c r="G1133" s="1" t="s">
        <v>512</v>
      </c>
      <c r="H1133" s="66" t="s">
        <v>944</v>
      </c>
      <c r="I1133" s="1" t="s">
        <v>54</v>
      </c>
      <c r="J1133" s="1" t="s">
        <v>55</v>
      </c>
      <c r="K1133" s="55">
        <v>801116</v>
      </c>
      <c r="L1133" s="56" t="s">
        <v>945</v>
      </c>
      <c r="M1133" s="131" t="s">
        <v>493</v>
      </c>
      <c r="N1133" s="128" t="s">
        <v>494</v>
      </c>
      <c r="O1133" s="53" t="s">
        <v>946</v>
      </c>
      <c r="P1133" s="145" t="s">
        <v>1446</v>
      </c>
      <c r="Q1133" s="97"/>
      <c r="R1133" s="97">
        <v>1</v>
      </c>
      <c r="S1133" s="137">
        <v>60000000</v>
      </c>
      <c r="T1133" s="97" t="s">
        <v>58</v>
      </c>
      <c r="U1133" s="131" t="s">
        <v>1316</v>
      </c>
      <c r="V1133" s="186">
        <v>43282</v>
      </c>
      <c r="W1133" s="97">
        <v>6</v>
      </c>
      <c r="X1133" s="97" t="s">
        <v>1447</v>
      </c>
      <c r="Y1133" s="186">
        <v>43277</v>
      </c>
      <c r="Z1133" s="137">
        <v>60000000</v>
      </c>
      <c r="AA1133" s="97" t="s">
        <v>1289</v>
      </c>
      <c r="AB1133" s="97">
        <v>925</v>
      </c>
      <c r="AC1133" s="186">
        <v>43278</v>
      </c>
      <c r="AD1133" s="158">
        <v>60000000</v>
      </c>
      <c r="AE1133" s="97"/>
      <c r="AF1133" s="139">
        <v>2487</v>
      </c>
      <c r="AG1133" s="186">
        <v>43292</v>
      </c>
      <c r="AH1133" s="199">
        <v>60000000</v>
      </c>
      <c r="AI1133" s="112" t="s">
        <v>1448</v>
      </c>
      <c r="AJ1133" s="97">
        <v>443</v>
      </c>
      <c r="AK1133" s="97"/>
      <c r="AL1133" s="199">
        <v>60000000</v>
      </c>
      <c r="AM1133" s="97"/>
      <c r="AN1133" s="199">
        <f>AL1133-AM1133</f>
        <v>60000000</v>
      </c>
      <c r="AO1133" s="97"/>
      <c r="AP1133" s="97"/>
      <c r="AQ1133" s="97"/>
      <c r="AR1133" s="97"/>
      <c r="AS1133" s="97"/>
      <c r="AT1133" s="97"/>
      <c r="AU1133" s="97"/>
    </row>
    <row r="1134" spans="1:47" ht="191.25" x14ac:dyDescent="0.2">
      <c r="A1134" s="97">
        <f t="shared" si="111"/>
        <v>145</v>
      </c>
      <c r="B1134" s="128" t="s">
        <v>1449</v>
      </c>
      <c r="C1134" s="65" t="s">
        <v>941</v>
      </c>
      <c r="D1134" s="1" t="s">
        <v>942</v>
      </c>
      <c r="E1134" s="128" t="s">
        <v>971</v>
      </c>
      <c r="F1134" s="1" t="s">
        <v>511</v>
      </c>
      <c r="G1134" s="1" t="s">
        <v>512</v>
      </c>
      <c r="H1134" s="66" t="s">
        <v>944</v>
      </c>
      <c r="I1134" s="1" t="s">
        <v>54</v>
      </c>
      <c r="J1134" s="1" t="s">
        <v>55</v>
      </c>
      <c r="K1134" s="52">
        <v>801116</v>
      </c>
      <c r="L1134" s="52" t="s">
        <v>945</v>
      </c>
      <c r="M1134" s="128" t="s">
        <v>493</v>
      </c>
      <c r="N1134" s="128" t="s">
        <v>494</v>
      </c>
      <c r="O1134" s="53" t="s">
        <v>946</v>
      </c>
      <c r="P1134" s="131" t="s">
        <v>1450</v>
      </c>
      <c r="Q1134" s="97"/>
      <c r="R1134" s="97"/>
      <c r="S1134" s="97"/>
      <c r="T1134" s="97"/>
      <c r="U1134" s="131"/>
      <c r="V1134" s="97"/>
      <c r="W1134" s="97"/>
      <c r="X1134" s="97"/>
      <c r="Y1134" s="97"/>
      <c r="Z1134" s="97"/>
      <c r="AA1134" s="97"/>
      <c r="AB1134" s="97">
        <v>541</v>
      </c>
      <c r="AC1134" s="97"/>
      <c r="AD1134" s="158"/>
      <c r="AE1134" s="97"/>
      <c r="AF1134" s="139">
        <v>1983</v>
      </c>
      <c r="AG1134" s="138">
        <v>43252</v>
      </c>
      <c r="AH1134" s="187">
        <f>84957328-AH1135</f>
        <v>55222263</v>
      </c>
      <c r="AI1134" s="131" t="s">
        <v>518</v>
      </c>
      <c r="AJ1134" s="139">
        <v>40</v>
      </c>
      <c r="AK1134" s="139"/>
      <c r="AL1134" s="187">
        <v>55222263</v>
      </c>
      <c r="AM1134" s="187">
        <v>55222263</v>
      </c>
      <c r="AN1134" s="137">
        <f>AL1134-AM1134</f>
        <v>0</v>
      </c>
      <c r="AO1134" s="97"/>
      <c r="AP1134" s="97"/>
      <c r="AQ1134" s="97"/>
      <c r="AR1134" s="97"/>
      <c r="AS1134" s="97"/>
      <c r="AT1134" s="97"/>
      <c r="AU1134" s="97"/>
    </row>
    <row r="1135" spans="1:47" ht="191.25" x14ac:dyDescent="0.2">
      <c r="A1135" s="97">
        <f t="shared" si="111"/>
        <v>146</v>
      </c>
      <c r="B1135" s="128" t="s">
        <v>1451</v>
      </c>
      <c r="C1135" s="65" t="s">
        <v>941</v>
      </c>
      <c r="D1135" s="1" t="s">
        <v>942</v>
      </c>
      <c r="E1135" s="128" t="s">
        <v>943</v>
      </c>
      <c r="F1135" s="1" t="s">
        <v>511</v>
      </c>
      <c r="G1135" s="1" t="s">
        <v>512</v>
      </c>
      <c r="H1135" s="66" t="s">
        <v>944</v>
      </c>
      <c r="I1135" s="1" t="s">
        <v>54</v>
      </c>
      <c r="J1135" s="1" t="s">
        <v>55</v>
      </c>
      <c r="K1135" s="52">
        <v>801117</v>
      </c>
      <c r="L1135" s="52" t="s">
        <v>945</v>
      </c>
      <c r="M1135" s="128" t="s">
        <v>705</v>
      </c>
      <c r="N1135" s="128" t="s">
        <v>706</v>
      </c>
      <c r="O1135" s="53" t="s">
        <v>1320</v>
      </c>
      <c r="P1135" s="131" t="s">
        <v>1450</v>
      </c>
      <c r="Q1135" s="97"/>
      <c r="R1135" s="97"/>
      <c r="S1135" s="97"/>
      <c r="T1135" s="97"/>
      <c r="U1135" s="131"/>
      <c r="V1135" s="97"/>
      <c r="W1135" s="97"/>
      <c r="X1135" s="97"/>
      <c r="Y1135" s="97"/>
      <c r="Z1135" s="97"/>
      <c r="AA1135" s="97"/>
      <c r="AB1135" s="97">
        <v>541</v>
      </c>
      <c r="AC1135" s="97"/>
      <c r="AD1135" s="158"/>
      <c r="AE1135" s="97"/>
      <c r="AF1135" s="139">
        <v>1983</v>
      </c>
      <c r="AG1135" s="138">
        <v>43252</v>
      </c>
      <c r="AH1135" s="187">
        <v>29735065</v>
      </c>
      <c r="AI1135" s="131" t="s">
        <v>518</v>
      </c>
      <c r="AJ1135" s="139">
        <v>40</v>
      </c>
      <c r="AK1135" s="139"/>
      <c r="AL1135" s="187">
        <v>29735065</v>
      </c>
      <c r="AM1135" s="187">
        <v>29735065</v>
      </c>
      <c r="AN1135" s="137">
        <f>AL1135-AM1135</f>
        <v>0</v>
      </c>
      <c r="AO1135" s="97"/>
      <c r="AP1135" s="97"/>
      <c r="AQ1135" s="97"/>
      <c r="AR1135" s="97"/>
      <c r="AS1135" s="97"/>
      <c r="AT1135" s="97"/>
      <c r="AU1135" s="97"/>
    </row>
    <row r="1136" spans="1:47" ht="229.5" x14ac:dyDescent="0.2">
      <c r="A1136" s="97">
        <f t="shared" si="111"/>
        <v>147</v>
      </c>
      <c r="B1136" s="128" t="s">
        <v>1452</v>
      </c>
      <c r="C1136" s="65" t="s">
        <v>941</v>
      </c>
      <c r="D1136" s="1" t="s">
        <v>942</v>
      </c>
      <c r="E1136" s="128" t="s">
        <v>971</v>
      </c>
      <c r="F1136" s="1" t="s">
        <v>511</v>
      </c>
      <c r="G1136" s="1" t="s">
        <v>512</v>
      </c>
      <c r="H1136" s="66" t="s">
        <v>944</v>
      </c>
      <c r="I1136" s="1" t="s">
        <v>54</v>
      </c>
      <c r="J1136" s="1" t="s">
        <v>55</v>
      </c>
      <c r="K1136" s="52">
        <v>801116</v>
      </c>
      <c r="L1136" s="52" t="s">
        <v>945</v>
      </c>
      <c r="M1136" s="128" t="s">
        <v>493</v>
      </c>
      <c r="N1136" s="128" t="s">
        <v>494</v>
      </c>
      <c r="O1136" s="53" t="s">
        <v>946</v>
      </c>
      <c r="P1136" s="131" t="s">
        <v>1453</v>
      </c>
      <c r="Q1136" s="97"/>
      <c r="R1136" s="97"/>
      <c r="S1136" s="97"/>
      <c r="T1136" s="97"/>
      <c r="U1136" s="131"/>
      <c r="V1136" s="97"/>
      <c r="W1136" s="97"/>
      <c r="X1136" s="97"/>
      <c r="Y1136" s="97"/>
      <c r="Z1136" s="97"/>
      <c r="AA1136" s="97"/>
      <c r="AB1136" s="97">
        <v>541</v>
      </c>
      <c r="AC1136" s="97"/>
      <c r="AD1136" s="158"/>
      <c r="AE1136" s="97"/>
      <c r="AF1136" s="139">
        <v>2021</v>
      </c>
      <c r="AG1136" s="138">
        <v>43266</v>
      </c>
      <c r="AH1136" s="187">
        <v>19820900</v>
      </c>
      <c r="AI1136" s="131" t="s">
        <v>518</v>
      </c>
      <c r="AJ1136" s="97">
        <v>43</v>
      </c>
      <c r="AK1136" s="97"/>
      <c r="AL1136" s="187">
        <v>19820900</v>
      </c>
      <c r="AM1136" s="187">
        <v>19820900</v>
      </c>
      <c r="AN1136" s="137">
        <f>AL1136-AM1136</f>
        <v>0</v>
      </c>
      <c r="AO1136" s="97"/>
      <c r="AP1136" s="97"/>
      <c r="AQ1136" s="97"/>
      <c r="AR1136" s="97"/>
      <c r="AS1136" s="97"/>
      <c r="AT1136" s="97"/>
      <c r="AU1136" s="97"/>
    </row>
    <row r="1137" spans="1:47" ht="191.25" x14ac:dyDescent="0.2">
      <c r="A1137" s="97">
        <f t="shared" si="111"/>
        <v>148</v>
      </c>
      <c r="B1137" s="128" t="s">
        <v>1454</v>
      </c>
      <c r="C1137" s="65" t="s">
        <v>941</v>
      </c>
      <c r="D1137" s="1" t="s">
        <v>942</v>
      </c>
      <c r="E1137" s="128" t="s">
        <v>971</v>
      </c>
      <c r="F1137" s="1" t="s">
        <v>511</v>
      </c>
      <c r="G1137" s="1" t="s">
        <v>512</v>
      </c>
      <c r="H1137" s="66" t="s">
        <v>944</v>
      </c>
      <c r="I1137" s="1" t="s">
        <v>54</v>
      </c>
      <c r="J1137" s="1" t="s">
        <v>55</v>
      </c>
      <c r="K1137" s="52">
        <v>801116</v>
      </c>
      <c r="L1137" s="52" t="s">
        <v>945</v>
      </c>
      <c r="M1137" s="128" t="s">
        <v>493</v>
      </c>
      <c r="N1137" s="128" t="s">
        <v>494</v>
      </c>
      <c r="O1137" s="53" t="s">
        <v>946</v>
      </c>
      <c r="P1137" s="112" t="s">
        <v>1455</v>
      </c>
      <c r="Q1137" s="97"/>
      <c r="R1137" s="97"/>
      <c r="S1137" s="97"/>
      <c r="T1137" s="97"/>
      <c r="U1137" s="131"/>
      <c r="V1137" s="97"/>
      <c r="W1137" s="97"/>
      <c r="X1137" s="97"/>
      <c r="Y1137" s="97"/>
      <c r="Z1137" s="97"/>
      <c r="AA1137" s="97"/>
      <c r="AB1137" s="97">
        <v>541</v>
      </c>
      <c r="AC1137" s="97"/>
      <c r="AD1137" s="158"/>
      <c r="AE1137" s="97"/>
      <c r="AF1137" s="139">
        <v>2051</v>
      </c>
      <c r="AG1137" s="138">
        <v>43271</v>
      </c>
      <c r="AH1137" s="187">
        <v>50406764</v>
      </c>
      <c r="AI1137" s="131" t="s">
        <v>518</v>
      </c>
      <c r="AJ1137" s="97">
        <v>46</v>
      </c>
      <c r="AK1137" s="97"/>
      <c r="AL1137" s="187">
        <v>50406764</v>
      </c>
      <c r="AM1137" s="187">
        <v>50406764</v>
      </c>
      <c r="AN1137" s="137">
        <f t="shared" ref="AN1137:AN1141" si="114">AL1137-AM1137</f>
        <v>0</v>
      </c>
      <c r="AO1137" s="97"/>
      <c r="AP1137" s="97"/>
      <c r="AQ1137" s="97"/>
      <c r="AR1137" s="97"/>
      <c r="AS1137" s="97"/>
      <c r="AT1137" s="97"/>
      <c r="AU1137" s="97"/>
    </row>
    <row r="1138" spans="1:47" ht="191.25" x14ac:dyDescent="0.2">
      <c r="A1138" s="97">
        <f t="shared" si="111"/>
        <v>149</v>
      </c>
      <c r="B1138" s="128" t="s">
        <v>1456</v>
      </c>
      <c r="C1138" s="65" t="s">
        <v>941</v>
      </c>
      <c r="D1138" s="1" t="s">
        <v>942</v>
      </c>
      <c r="E1138" s="128" t="s">
        <v>943</v>
      </c>
      <c r="F1138" s="1" t="s">
        <v>511</v>
      </c>
      <c r="G1138" s="1" t="s">
        <v>512</v>
      </c>
      <c r="H1138" s="66" t="s">
        <v>944</v>
      </c>
      <c r="I1138" s="1" t="s">
        <v>54</v>
      </c>
      <c r="J1138" s="1" t="s">
        <v>55</v>
      </c>
      <c r="K1138" s="52">
        <v>801117</v>
      </c>
      <c r="L1138" s="52" t="s">
        <v>945</v>
      </c>
      <c r="M1138" s="128" t="s">
        <v>1457</v>
      </c>
      <c r="N1138" s="128" t="s">
        <v>706</v>
      </c>
      <c r="O1138" s="53" t="s">
        <v>1320</v>
      </c>
      <c r="P1138" s="112" t="s">
        <v>1458</v>
      </c>
      <c r="Q1138" s="97"/>
      <c r="R1138" s="97"/>
      <c r="S1138" s="97"/>
      <c r="T1138" s="97"/>
      <c r="U1138" s="131"/>
      <c r="V1138" s="97"/>
      <c r="W1138" s="97"/>
      <c r="X1138" s="97"/>
      <c r="Y1138" s="97"/>
      <c r="Z1138" s="97"/>
      <c r="AA1138" s="97"/>
      <c r="AB1138" s="97">
        <v>541</v>
      </c>
      <c r="AC1138" s="97"/>
      <c r="AD1138" s="158"/>
      <c r="AE1138" s="97"/>
      <c r="AF1138" s="139">
        <v>2051</v>
      </c>
      <c r="AG1138" s="138">
        <v>43271</v>
      </c>
      <c r="AH1138" s="187">
        <v>27142104</v>
      </c>
      <c r="AI1138" s="131" t="s">
        <v>518</v>
      </c>
      <c r="AJ1138" s="97">
        <v>46</v>
      </c>
      <c r="AK1138" s="97"/>
      <c r="AL1138" s="187">
        <v>27142104</v>
      </c>
      <c r="AM1138" s="187">
        <v>27142104</v>
      </c>
      <c r="AN1138" s="137">
        <f t="shared" si="114"/>
        <v>0</v>
      </c>
      <c r="AO1138" s="97"/>
      <c r="AP1138" s="97"/>
      <c r="AQ1138" s="97"/>
      <c r="AR1138" s="97"/>
      <c r="AS1138" s="97"/>
      <c r="AT1138" s="97"/>
      <c r="AU1138" s="97"/>
    </row>
    <row r="1139" spans="1:47" ht="344.25" x14ac:dyDescent="0.2">
      <c r="A1139" s="97">
        <f t="shared" si="111"/>
        <v>150</v>
      </c>
      <c r="B1139" s="128" t="s">
        <v>1459</v>
      </c>
      <c r="C1139" s="65" t="s">
        <v>941</v>
      </c>
      <c r="D1139" s="1" t="s">
        <v>942</v>
      </c>
      <c r="E1139" s="128" t="s">
        <v>943</v>
      </c>
      <c r="F1139" s="1" t="s">
        <v>511</v>
      </c>
      <c r="G1139" s="1" t="s">
        <v>512</v>
      </c>
      <c r="H1139" s="66" t="s">
        <v>944</v>
      </c>
      <c r="I1139" s="1" t="s">
        <v>54</v>
      </c>
      <c r="J1139" s="1" t="s">
        <v>55</v>
      </c>
      <c r="K1139" s="55">
        <v>801116</v>
      </c>
      <c r="L1139" s="56" t="s">
        <v>945</v>
      </c>
      <c r="M1139" s="131" t="s">
        <v>493</v>
      </c>
      <c r="N1139" s="128" t="s">
        <v>494</v>
      </c>
      <c r="O1139" s="53" t="s">
        <v>946</v>
      </c>
      <c r="P1139" s="131" t="s">
        <v>1372</v>
      </c>
      <c r="Q1139" s="97"/>
      <c r="R1139" s="97"/>
      <c r="S1139" s="97"/>
      <c r="T1139" s="97"/>
      <c r="U1139" s="131"/>
      <c r="V1139" s="97"/>
      <c r="W1139" s="97"/>
      <c r="X1139" s="97"/>
      <c r="Y1139" s="97"/>
      <c r="Z1139" s="97"/>
      <c r="AA1139" s="97"/>
      <c r="AB1139" s="97">
        <v>683</v>
      </c>
      <c r="AC1139" s="97"/>
      <c r="AD1139" s="158"/>
      <c r="AE1139" s="97"/>
      <c r="AF1139" s="139">
        <v>2008</v>
      </c>
      <c r="AG1139" s="138">
        <v>43258</v>
      </c>
      <c r="AH1139" s="187">
        <v>1161100</v>
      </c>
      <c r="AI1139" s="131" t="s">
        <v>1460</v>
      </c>
      <c r="AJ1139" s="97">
        <v>6</v>
      </c>
      <c r="AK1139" s="97"/>
      <c r="AL1139" s="187">
        <v>1161100</v>
      </c>
      <c r="AM1139" s="187">
        <v>1161100</v>
      </c>
      <c r="AN1139" s="137">
        <f t="shared" si="114"/>
        <v>0</v>
      </c>
      <c r="AO1139" s="97"/>
      <c r="AP1139" s="97"/>
      <c r="AQ1139" s="97"/>
      <c r="AR1139" s="97"/>
      <c r="AS1139" s="97"/>
      <c r="AT1139" s="97"/>
      <c r="AU1139" s="97"/>
    </row>
    <row r="1140" spans="1:47" ht="382.5" x14ac:dyDescent="0.2">
      <c r="A1140" s="97">
        <f t="shared" si="111"/>
        <v>151</v>
      </c>
      <c r="B1140" s="128" t="s">
        <v>1461</v>
      </c>
      <c r="C1140" s="128" t="s">
        <v>941</v>
      </c>
      <c r="D1140" s="128" t="s">
        <v>942</v>
      </c>
      <c r="E1140" s="128" t="s">
        <v>971</v>
      </c>
      <c r="F1140" s="128" t="s">
        <v>1309</v>
      </c>
      <c r="G1140" s="128" t="s">
        <v>1310</v>
      </c>
      <c r="H1140" s="128" t="s">
        <v>1311</v>
      </c>
      <c r="I1140" s="128" t="s">
        <v>54</v>
      </c>
      <c r="J1140" s="128" t="s">
        <v>55</v>
      </c>
      <c r="K1140" s="128" t="s">
        <v>50</v>
      </c>
      <c r="L1140" s="128"/>
      <c r="M1140" s="128"/>
      <c r="N1140" s="128"/>
      <c r="O1140" s="53" t="s">
        <v>946</v>
      </c>
      <c r="P1140" s="131" t="s">
        <v>1426</v>
      </c>
      <c r="Q1140" s="97"/>
      <c r="R1140" s="97"/>
      <c r="S1140" s="97"/>
      <c r="T1140" s="97"/>
      <c r="U1140" s="131"/>
      <c r="V1140" s="97"/>
      <c r="W1140" s="97"/>
      <c r="X1140" s="97"/>
      <c r="Y1140" s="97"/>
      <c r="Z1140" s="97"/>
      <c r="AA1140" s="97"/>
      <c r="AB1140" s="97">
        <v>847</v>
      </c>
      <c r="AC1140" s="97"/>
      <c r="AD1140" s="158"/>
      <c r="AE1140" s="97"/>
      <c r="AF1140" s="139">
        <v>2119</v>
      </c>
      <c r="AG1140" s="186">
        <v>43273</v>
      </c>
      <c r="AH1140" s="187">
        <v>1106300</v>
      </c>
      <c r="AI1140" s="131" t="s">
        <v>1347</v>
      </c>
      <c r="AJ1140" s="97">
        <v>2572</v>
      </c>
      <c r="AK1140" s="97"/>
      <c r="AL1140" s="187">
        <v>1106300</v>
      </c>
      <c r="AM1140" s="187">
        <v>1106300</v>
      </c>
      <c r="AN1140" s="137">
        <f t="shared" si="114"/>
        <v>0</v>
      </c>
      <c r="AO1140" s="97"/>
      <c r="AP1140" s="97"/>
      <c r="AQ1140" s="97"/>
      <c r="AR1140" s="97"/>
      <c r="AS1140" s="97"/>
      <c r="AT1140" s="97"/>
      <c r="AU1140" s="97"/>
    </row>
    <row r="1141" spans="1:47" ht="382.5" x14ac:dyDescent="0.2">
      <c r="A1141" s="97">
        <f t="shared" si="111"/>
        <v>152</v>
      </c>
      <c r="B1141" s="128" t="s">
        <v>1462</v>
      </c>
      <c r="C1141" s="128" t="s">
        <v>941</v>
      </c>
      <c r="D1141" s="128" t="s">
        <v>942</v>
      </c>
      <c r="E1141" s="128" t="s">
        <v>971</v>
      </c>
      <c r="F1141" s="128" t="s">
        <v>1309</v>
      </c>
      <c r="G1141" s="128" t="s">
        <v>1463</v>
      </c>
      <c r="H1141" s="128" t="s">
        <v>1311</v>
      </c>
      <c r="I1141" s="128" t="s">
        <v>54</v>
      </c>
      <c r="J1141" s="128" t="s">
        <v>55</v>
      </c>
      <c r="K1141" s="128" t="s">
        <v>50</v>
      </c>
      <c r="L1141" s="128"/>
      <c r="M1141" s="128"/>
      <c r="N1141" s="128"/>
      <c r="O1141" s="53" t="s">
        <v>1320</v>
      </c>
      <c r="P1141" s="131" t="s">
        <v>1426</v>
      </c>
      <c r="Q1141" s="97"/>
      <c r="R1141" s="97"/>
      <c r="S1141" s="97"/>
      <c r="T1141" s="97"/>
      <c r="U1141" s="131"/>
      <c r="V1141" s="97"/>
      <c r="W1141" s="97"/>
      <c r="X1141" s="97"/>
      <c r="Y1141" s="97"/>
      <c r="Z1141" s="97"/>
      <c r="AA1141" s="97"/>
      <c r="AB1141" s="97">
        <v>847</v>
      </c>
      <c r="AC1141" s="97"/>
      <c r="AD1141" s="158"/>
      <c r="AE1141" s="97"/>
      <c r="AF1141" s="139">
        <v>2120</v>
      </c>
      <c r="AG1141" s="186">
        <v>43273</v>
      </c>
      <c r="AH1141" s="187">
        <v>867800</v>
      </c>
      <c r="AI1141" s="131" t="s">
        <v>1345</v>
      </c>
      <c r="AJ1141" s="97">
        <v>2572</v>
      </c>
      <c r="AK1141" s="97"/>
      <c r="AL1141" s="187">
        <v>867800</v>
      </c>
      <c r="AM1141" s="187">
        <v>867800</v>
      </c>
      <c r="AN1141" s="137">
        <f t="shared" si="114"/>
        <v>0</v>
      </c>
      <c r="AO1141" s="97"/>
      <c r="AP1141" s="97"/>
      <c r="AQ1141" s="97"/>
      <c r="AR1141" s="97"/>
      <c r="AS1141" s="97"/>
      <c r="AT1141" s="97"/>
      <c r="AU1141" s="97"/>
    </row>
    <row r="1142" spans="1:47" ht="395.25" x14ac:dyDescent="0.2">
      <c r="A1142" s="97">
        <f t="shared" si="111"/>
        <v>153</v>
      </c>
      <c r="B1142" s="128" t="s">
        <v>1464</v>
      </c>
      <c r="C1142" s="65" t="s">
        <v>941</v>
      </c>
      <c r="D1142" s="1" t="s">
        <v>942</v>
      </c>
      <c r="E1142" s="128" t="s">
        <v>943</v>
      </c>
      <c r="F1142" s="128" t="s">
        <v>487</v>
      </c>
      <c r="G1142" s="128" t="s">
        <v>1465</v>
      </c>
      <c r="H1142" s="128" t="s">
        <v>1466</v>
      </c>
      <c r="I1142" s="128" t="s">
        <v>54</v>
      </c>
      <c r="J1142" s="128" t="s">
        <v>55</v>
      </c>
      <c r="K1142" s="128">
        <v>72101507</v>
      </c>
      <c r="L1142" s="200">
        <v>2103010503010190</v>
      </c>
      <c r="M1142" s="128" t="s">
        <v>1467</v>
      </c>
      <c r="N1142" s="128" t="s">
        <v>494</v>
      </c>
      <c r="O1142" s="53" t="s">
        <v>1468</v>
      </c>
      <c r="P1142" s="131" t="s">
        <v>1469</v>
      </c>
      <c r="Q1142" s="97"/>
      <c r="R1142" s="97"/>
      <c r="S1142" s="137">
        <v>24457140</v>
      </c>
      <c r="T1142" s="131" t="s">
        <v>626</v>
      </c>
      <c r="U1142" s="131" t="s">
        <v>1470</v>
      </c>
      <c r="V1142" s="97" t="s">
        <v>272</v>
      </c>
      <c r="W1142" s="97"/>
      <c r="X1142" s="97" t="s">
        <v>1471</v>
      </c>
      <c r="Y1142" s="186">
        <v>43294</v>
      </c>
      <c r="Z1142" s="137">
        <v>24457140</v>
      </c>
      <c r="AA1142" s="97" t="s">
        <v>1287</v>
      </c>
      <c r="AB1142" s="97">
        <v>974</v>
      </c>
      <c r="AC1142" s="186">
        <v>43294</v>
      </c>
      <c r="AD1142" s="158">
        <v>24457140</v>
      </c>
      <c r="AE1142" s="97"/>
      <c r="AF1142" s="139">
        <v>2488</v>
      </c>
      <c r="AG1142" s="186">
        <v>43294</v>
      </c>
      <c r="AH1142" s="187">
        <v>24457140</v>
      </c>
      <c r="AI1142" s="131" t="s">
        <v>1472</v>
      </c>
      <c r="AJ1142" s="97">
        <v>694</v>
      </c>
      <c r="AK1142" s="97"/>
      <c r="AL1142" s="187">
        <v>24457140</v>
      </c>
      <c r="AM1142" s="187"/>
      <c r="AN1142" s="137">
        <f>AL1142-AM1142</f>
        <v>24457140</v>
      </c>
      <c r="AO1142" s="97"/>
      <c r="AP1142" s="97"/>
      <c r="AQ1142" s="97"/>
      <c r="AR1142" s="97"/>
      <c r="AS1142" s="97"/>
      <c r="AT1142" s="97"/>
      <c r="AU1142" s="97"/>
    </row>
    <row r="1143" spans="1:47" ht="408" x14ac:dyDescent="0.2">
      <c r="A1143" s="97">
        <f t="shared" si="111"/>
        <v>154</v>
      </c>
      <c r="B1143" s="128" t="s">
        <v>1473</v>
      </c>
      <c r="C1143" s="65" t="s">
        <v>941</v>
      </c>
      <c r="D1143" s="1" t="s">
        <v>942</v>
      </c>
      <c r="E1143" s="128" t="s">
        <v>943</v>
      </c>
      <c r="F1143" s="128" t="s">
        <v>487</v>
      </c>
      <c r="G1143" s="128" t="s">
        <v>1465</v>
      </c>
      <c r="H1143" s="128" t="s">
        <v>1466</v>
      </c>
      <c r="I1143" s="128" t="s">
        <v>54</v>
      </c>
      <c r="J1143" s="128" t="s">
        <v>55</v>
      </c>
      <c r="K1143" s="128">
        <v>93121705</v>
      </c>
      <c r="L1143" s="200">
        <v>2103010503010190</v>
      </c>
      <c r="M1143" s="128" t="s">
        <v>1467</v>
      </c>
      <c r="N1143" s="128" t="s">
        <v>706</v>
      </c>
      <c r="O1143" s="53" t="s">
        <v>1474</v>
      </c>
      <c r="P1143" s="131" t="s">
        <v>1475</v>
      </c>
      <c r="Q1143" s="97"/>
      <c r="R1143" s="97"/>
      <c r="S1143" s="137">
        <v>14280000</v>
      </c>
      <c r="T1143" s="131" t="s">
        <v>626</v>
      </c>
      <c r="U1143" s="131" t="s">
        <v>1470</v>
      </c>
      <c r="V1143" s="97" t="s">
        <v>272</v>
      </c>
      <c r="W1143" s="97"/>
      <c r="X1143" s="97" t="s">
        <v>1476</v>
      </c>
      <c r="Y1143" s="186">
        <v>43294</v>
      </c>
      <c r="Z1143" s="137">
        <v>14280000</v>
      </c>
      <c r="AA1143" s="97" t="s">
        <v>1287</v>
      </c>
      <c r="AB1143" s="97">
        <v>976</v>
      </c>
      <c r="AC1143" s="186">
        <v>43294</v>
      </c>
      <c r="AD1143" s="158">
        <v>14280000</v>
      </c>
      <c r="AE1143" s="97"/>
      <c r="AF1143" s="139">
        <v>2529</v>
      </c>
      <c r="AG1143" s="186">
        <v>43305</v>
      </c>
      <c r="AH1143" s="187">
        <v>14280000</v>
      </c>
      <c r="AI1143" s="131" t="s">
        <v>1477</v>
      </c>
      <c r="AJ1143" s="97">
        <v>1</v>
      </c>
      <c r="AK1143" s="97"/>
      <c r="AL1143" s="187">
        <v>14280000</v>
      </c>
      <c r="AM1143" s="187"/>
      <c r="AN1143" s="137">
        <f>AL1143-AM1143</f>
        <v>14280000</v>
      </c>
      <c r="AO1143" s="97"/>
      <c r="AP1143" s="97"/>
      <c r="AQ1143" s="97"/>
      <c r="AR1143" s="97"/>
      <c r="AS1143" s="97"/>
      <c r="AT1143" s="97"/>
      <c r="AU1143" s="97"/>
    </row>
    <row r="1144" spans="1:47" ht="409.5" x14ac:dyDescent="0.2">
      <c r="A1144" s="97">
        <f t="shared" si="111"/>
        <v>155</v>
      </c>
      <c r="B1144" s="128" t="s">
        <v>1478</v>
      </c>
      <c r="C1144" s="65" t="s">
        <v>941</v>
      </c>
      <c r="D1144" s="1" t="s">
        <v>942</v>
      </c>
      <c r="E1144" s="128" t="s">
        <v>943</v>
      </c>
      <c r="F1144" s="1" t="s">
        <v>511</v>
      </c>
      <c r="G1144" s="1" t="s">
        <v>512</v>
      </c>
      <c r="H1144" s="66" t="s">
        <v>944</v>
      </c>
      <c r="I1144" s="1" t="s">
        <v>54</v>
      </c>
      <c r="J1144" s="1" t="s">
        <v>55</v>
      </c>
      <c r="K1144" s="55">
        <v>801116</v>
      </c>
      <c r="L1144" s="55" t="s">
        <v>945</v>
      </c>
      <c r="M1144" s="131" t="s">
        <v>493</v>
      </c>
      <c r="N1144" s="128" t="s">
        <v>494</v>
      </c>
      <c r="O1144" s="53" t="s">
        <v>946</v>
      </c>
      <c r="P1144" s="131" t="s">
        <v>1479</v>
      </c>
      <c r="Q1144" s="97">
        <v>11000000</v>
      </c>
      <c r="R1144" s="97">
        <v>1</v>
      </c>
      <c r="S1144" s="137"/>
      <c r="T1144" s="131" t="s">
        <v>58</v>
      </c>
      <c r="U1144" s="131" t="s">
        <v>1316</v>
      </c>
      <c r="V1144" s="186">
        <v>43299</v>
      </c>
      <c r="W1144" s="97">
        <v>5</v>
      </c>
      <c r="X1144" s="97" t="s">
        <v>1480</v>
      </c>
      <c r="Y1144" s="186">
        <v>43299</v>
      </c>
      <c r="Z1144" s="137">
        <v>55000000</v>
      </c>
      <c r="AA1144" s="97" t="s">
        <v>1287</v>
      </c>
      <c r="AB1144" s="97" t="s">
        <v>1481</v>
      </c>
      <c r="AC1144" s="97" t="s">
        <v>1481</v>
      </c>
      <c r="AD1144" s="158" t="s">
        <v>1481</v>
      </c>
      <c r="AE1144" s="97" t="s">
        <v>1481</v>
      </c>
      <c r="AF1144" s="139" t="s">
        <v>1481</v>
      </c>
      <c r="AG1144" s="186" t="s">
        <v>1481</v>
      </c>
      <c r="AH1144" s="187" t="s">
        <v>1481</v>
      </c>
      <c r="AI1144" s="131" t="s">
        <v>1481</v>
      </c>
      <c r="AJ1144" s="97" t="s">
        <v>1481</v>
      </c>
      <c r="AK1144" s="97" t="s">
        <v>1481</v>
      </c>
      <c r="AL1144" s="187" t="s">
        <v>1481</v>
      </c>
      <c r="AM1144" s="187" t="s">
        <v>1481</v>
      </c>
      <c r="AN1144" s="137" t="s">
        <v>1481</v>
      </c>
      <c r="AO1144" s="97" t="s">
        <v>1481</v>
      </c>
      <c r="AP1144" s="97" t="s">
        <v>1481</v>
      </c>
      <c r="AQ1144" s="266" t="s">
        <v>1482</v>
      </c>
      <c r="AR1144" s="97"/>
      <c r="AS1144" s="97"/>
      <c r="AT1144" s="97"/>
      <c r="AU1144" s="97"/>
    </row>
    <row r="1145" spans="1:47" ht="409.5" x14ac:dyDescent="0.2">
      <c r="A1145" s="97">
        <f t="shared" si="111"/>
        <v>156</v>
      </c>
      <c r="B1145" s="128" t="s">
        <v>1483</v>
      </c>
      <c r="C1145" s="65" t="s">
        <v>941</v>
      </c>
      <c r="D1145" s="1" t="s">
        <v>942</v>
      </c>
      <c r="E1145" s="128" t="s">
        <v>971</v>
      </c>
      <c r="F1145" s="1" t="s">
        <v>511</v>
      </c>
      <c r="G1145" s="1" t="s">
        <v>512</v>
      </c>
      <c r="H1145" s="66" t="s">
        <v>944</v>
      </c>
      <c r="I1145" s="1" t="s">
        <v>54</v>
      </c>
      <c r="J1145" s="1" t="s">
        <v>55</v>
      </c>
      <c r="K1145" s="52">
        <v>801116</v>
      </c>
      <c r="L1145" s="52" t="s">
        <v>945</v>
      </c>
      <c r="M1145" s="128" t="s">
        <v>493</v>
      </c>
      <c r="N1145" s="128" t="s">
        <v>494</v>
      </c>
      <c r="O1145" s="53" t="s">
        <v>946</v>
      </c>
      <c r="P1145" s="131" t="s">
        <v>1484</v>
      </c>
      <c r="Q1145" s="97">
        <v>5253000</v>
      </c>
      <c r="R1145" s="97">
        <v>1</v>
      </c>
      <c r="S1145" s="137">
        <v>26265000</v>
      </c>
      <c r="T1145" s="131" t="s">
        <v>58</v>
      </c>
      <c r="U1145" s="131" t="s">
        <v>1316</v>
      </c>
      <c r="V1145" s="186">
        <v>43299</v>
      </c>
      <c r="W1145" s="97">
        <v>5</v>
      </c>
      <c r="X1145" s="97" t="s">
        <v>1485</v>
      </c>
      <c r="Y1145" s="186">
        <v>43299</v>
      </c>
      <c r="Z1145" s="137">
        <v>26265000</v>
      </c>
      <c r="AA1145" s="97" t="s">
        <v>1287</v>
      </c>
      <c r="AB1145" s="97"/>
      <c r="AC1145" s="97"/>
      <c r="AD1145" s="158"/>
      <c r="AE1145" s="97"/>
      <c r="AF1145" s="139"/>
      <c r="AG1145" s="186"/>
      <c r="AH1145" s="187"/>
      <c r="AI1145" s="131"/>
      <c r="AJ1145" s="97"/>
      <c r="AK1145" s="97"/>
      <c r="AL1145" s="187"/>
      <c r="AM1145" s="187"/>
      <c r="AN1145" s="137"/>
      <c r="AO1145" s="97"/>
      <c r="AP1145" s="97"/>
      <c r="AQ1145" s="97"/>
      <c r="AR1145" s="97"/>
      <c r="AS1145" s="97"/>
      <c r="AT1145" s="97"/>
      <c r="AU1145" s="97"/>
    </row>
    <row r="1146" spans="1:47" ht="409.5" x14ac:dyDescent="0.2">
      <c r="A1146" s="97">
        <f t="shared" si="111"/>
        <v>157</v>
      </c>
      <c r="B1146" s="128" t="s">
        <v>1486</v>
      </c>
      <c r="C1146" s="65" t="s">
        <v>941</v>
      </c>
      <c r="D1146" s="1" t="s">
        <v>942</v>
      </c>
      <c r="E1146" s="128" t="s">
        <v>943</v>
      </c>
      <c r="F1146" s="1" t="s">
        <v>511</v>
      </c>
      <c r="G1146" s="1" t="s">
        <v>512</v>
      </c>
      <c r="H1146" s="66" t="s">
        <v>944</v>
      </c>
      <c r="I1146" s="1" t="s">
        <v>54</v>
      </c>
      <c r="J1146" s="1" t="s">
        <v>55</v>
      </c>
      <c r="K1146" s="55">
        <v>801116</v>
      </c>
      <c r="L1146" s="55" t="s">
        <v>945</v>
      </c>
      <c r="M1146" s="131" t="s">
        <v>493</v>
      </c>
      <c r="N1146" s="128" t="s">
        <v>494</v>
      </c>
      <c r="O1146" s="53" t="s">
        <v>946</v>
      </c>
      <c r="P1146" s="131" t="s">
        <v>1487</v>
      </c>
      <c r="Q1146" s="97">
        <v>11000000</v>
      </c>
      <c r="R1146" s="97">
        <v>1</v>
      </c>
      <c r="S1146" s="137">
        <v>55000000</v>
      </c>
      <c r="T1146" s="131" t="s">
        <v>58</v>
      </c>
      <c r="U1146" s="131" t="s">
        <v>1316</v>
      </c>
      <c r="V1146" s="186">
        <v>43313</v>
      </c>
      <c r="W1146" s="97">
        <v>5</v>
      </c>
      <c r="X1146" s="97" t="s">
        <v>1488</v>
      </c>
      <c r="Y1146" s="186">
        <v>43313</v>
      </c>
      <c r="Z1146" s="137">
        <v>55000000</v>
      </c>
      <c r="AA1146" s="97"/>
      <c r="AB1146" s="97"/>
      <c r="AC1146" s="97"/>
      <c r="AD1146" s="158"/>
      <c r="AE1146" s="97"/>
      <c r="AF1146" s="139"/>
      <c r="AG1146" s="186"/>
      <c r="AH1146" s="187"/>
      <c r="AI1146" s="131"/>
      <c r="AJ1146" s="97"/>
      <c r="AK1146" s="97"/>
      <c r="AL1146" s="187"/>
      <c r="AM1146" s="187"/>
      <c r="AN1146" s="137"/>
      <c r="AO1146" s="97"/>
      <c r="AP1146" s="97"/>
      <c r="AQ1146" s="97"/>
      <c r="AR1146" s="97"/>
      <c r="AS1146" s="97"/>
      <c r="AT1146" s="97"/>
      <c r="AU1146" s="97"/>
    </row>
    <row r="1147" spans="1:47" ht="318.75" x14ac:dyDescent="0.2">
      <c r="A1147" s="97">
        <f>A1146+1</f>
        <v>158</v>
      </c>
      <c r="B1147" s="128" t="s">
        <v>1489</v>
      </c>
      <c r="C1147" s="65" t="s">
        <v>941</v>
      </c>
      <c r="D1147" s="1" t="s">
        <v>942</v>
      </c>
      <c r="E1147" s="128" t="s">
        <v>943</v>
      </c>
      <c r="F1147" s="1" t="s">
        <v>511</v>
      </c>
      <c r="G1147" s="1" t="s">
        <v>512</v>
      </c>
      <c r="H1147" s="66" t="s">
        <v>944</v>
      </c>
      <c r="I1147" s="1" t="s">
        <v>54</v>
      </c>
      <c r="J1147" s="1" t="s">
        <v>55</v>
      </c>
      <c r="K1147" s="52">
        <v>801116</v>
      </c>
      <c r="L1147" s="52" t="s">
        <v>945</v>
      </c>
      <c r="M1147" s="128" t="s">
        <v>493</v>
      </c>
      <c r="N1147" s="128" t="s">
        <v>494</v>
      </c>
      <c r="O1147" s="53" t="s">
        <v>946</v>
      </c>
      <c r="P1147" s="131" t="s">
        <v>1490</v>
      </c>
      <c r="Q1147" s="97">
        <v>7210000</v>
      </c>
      <c r="R1147" s="97">
        <v>1</v>
      </c>
      <c r="S1147" s="137">
        <v>32445000</v>
      </c>
      <c r="T1147" s="131" t="s">
        <v>58</v>
      </c>
      <c r="U1147" s="131" t="s">
        <v>1316</v>
      </c>
      <c r="V1147" s="186">
        <v>43321</v>
      </c>
      <c r="W1147" s="97">
        <v>4.5</v>
      </c>
      <c r="X1147" s="97" t="s">
        <v>1491</v>
      </c>
      <c r="Y1147" s="186">
        <v>43322</v>
      </c>
      <c r="Z1147" s="137">
        <v>32445000</v>
      </c>
      <c r="AA1147" s="97" t="s">
        <v>940</v>
      </c>
      <c r="AB1147" s="97"/>
      <c r="AC1147" s="97"/>
      <c r="AD1147" s="158"/>
      <c r="AE1147" s="97"/>
      <c r="AF1147" s="139"/>
      <c r="AG1147" s="186"/>
      <c r="AH1147" s="187"/>
      <c r="AI1147" s="131"/>
      <c r="AJ1147" s="97"/>
      <c r="AK1147" s="97"/>
      <c r="AL1147" s="187"/>
      <c r="AM1147" s="187"/>
      <c r="AN1147" s="137"/>
      <c r="AO1147" s="97"/>
      <c r="AP1147" s="97"/>
      <c r="AQ1147" s="97"/>
      <c r="AR1147" s="97"/>
      <c r="AS1147" s="97"/>
      <c r="AT1147" s="97"/>
      <c r="AU1147" s="97"/>
    </row>
    <row r="1148" spans="1:47" ht="409.5" x14ac:dyDescent="0.2">
      <c r="A1148" s="97">
        <f>A1147+1</f>
        <v>159</v>
      </c>
      <c r="B1148" s="128" t="s">
        <v>1492</v>
      </c>
      <c r="C1148" s="65" t="s">
        <v>941</v>
      </c>
      <c r="D1148" s="1" t="s">
        <v>942</v>
      </c>
      <c r="E1148" s="128" t="s">
        <v>943</v>
      </c>
      <c r="F1148" s="1" t="s">
        <v>501</v>
      </c>
      <c r="G1148" s="1" t="s">
        <v>780</v>
      </c>
      <c r="H1148" s="1" t="s">
        <v>1350</v>
      </c>
      <c r="I1148" s="1" t="s">
        <v>54</v>
      </c>
      <c r="J1148" s="1" t="s">
        <v>55</v>
      </c>
      <c r="K1148" s="1">
        <v>84131501</v>
      </c>
      <c r="L1148" s="55" t="s">
        <v>945</v>
      </c>
      <c r="M1148" s="131" t="s">
        <v>493</v>
      </c>
      <c r="N1148" s="128" t="s">
        <v>494</v>
      </c>
      <c r="O1148" s="53" t="s">
        <v>946</v>
      </c>
      <c r="P1148" s="131" t="s">
        <v>3767</v>
      </c>
      <c r="Q1148" s="97">
        <v>929678</v>
      </c>
      <c r="R1148" s="97">
        <v>1</v>
      </c>
      <c r="S1148" s="137">
        <v>929678</v>
      </c>
      <c r="T1148" s="131" t="s">
        <v>1296</v>
      </c>
      <c r="U1148" s="131" t="s">
        <v>1296</v>
      </c>
      <c r="V1148" s="186">
        <v>43321</v>
      </c>
      <c r="W1148" s="97">
        <v>1</v>
      </c>
      <c r="X1148" s="97" t="s">
        <v>1493</v>
      </c>
      <c r="Y1148" s="186">
        <v>43322</v>
      </c>
      <c r="Z1148" s="137">
        <v>929678</v>
      </c>
      <c r="AA1148" s="97" t="s">
        <v>1353</v>
      </c>
      <c r="AB1148" s="97"/>
      <c r="AC1148" s="97"/>
      <c r="AD1148" s="158"/>
      <c r="AE1148" s="97"/>
      <c r="AF1148" s="139"/>
      <c r="AG1148" s="186"/>
      <c r="AH1148" s="187"/>
      <c r="AI1148" s="131"/>
      <c r="AJ1148" s="97"/>
      <c r="AK1148" s="97"/>
      <c r="AL1148" s="187"/>
      <c r="AM1148" s="187"/>
      <c r="AN1148" s="137"/>
      <c r="AO1148" s="97"/>
      <c r="AP1148" s="97"/>
      <c r="AQ1148" s="97"/>
      <c r="AR1148" s="97"/>
      <c r="AS1148" s="97"/>
      <c r="AT1148" s="97"/>
      <c r="AU1148" s="97"/>
    </row>
    <row r="1149" spans="1:47" ht="204" x14ac:dyDescent="0.2">
      <c r="A1149" s="97">
        <f t="shared" ref="A1149:A1154" si="115">A1148+1</f>
        <v>160</v>
      </c>
      <c r="B1149" s="128" t="s">
        <v>1494</v>
      </c>
      <c r="C1149" s="65" t="s">
        <v>941</v>
      </c>
      <c r="D1149" s="65" t="s">
        <v>942</v>
      </c>
      <c r="E1149" s="65" t="s">
        <v>971</v>
      </c>
      <c r="F1149" s="65" t="s">
        <v>511</v>
      </c>
      <c r="G1149" s="65" t="s">
        <v>512</v>
      </c>
      <c r="H1149" s="65" t="s">
        <v>944</v>
      </c>
      <c r="I1149" s="65" t="s">
        <v>54</v>
      </c>
      <c r="J1149" s="65" t="s">
        <v>55</v>
      </c>
      <c r="K1149" s="65">
        <v>801116</v>
      </c>
      <c r="L1149" s="65" t="s">
        <v>945</v>
      </c>
      <c r="M1149" s="65" t="s">
        <v>493</v>
      </c>
      <c r="N1149" s="65" t="s">
        <v>494</v>
      </c>
      <c r="O1149" s="65" t="s">
        <v>946</v>
      </c>
      <c r="P1149" s="131" t="s">
        <v>1495</v>
      </c>
      <c r="Q1149" s="97"/>
      <c r="R1149" s="97"/>
      <c r="S1149" s="97"/>
      <c r="T1149" s="97"/>
      <c r="U1149" s="131"/>
      <c r="V1149" s="97"/>
      <c r="W1149" s="97"/>
      <c r="X1149" s="97"/>
      <c r="Y1149" s="97"/>
      <c r="Z1149" s="97"/>
      <c r="AA1149" s="97"/>
      <c r="AB1149" s="97"/>
      <c r="AC1149" s="97"/>
      <c r="AD1149" s="158"/>
      <c r="AE1149" s="97"/>
      <c r="AF1149" s="139">
        <v>2493</v>
      </c>
      <c r="AG1149" s="186">
        <v>43298</v>
      </c>
      <c r="AH1149" s="177">
        <v>27308200</v>
      </c>
      <c r="AI1149" s="131" t="s">
        <v>1376</v>
      </c>
      <c r="AJ1149" s="97">
        <v>49</v>
      </c>
      <c r="AK1149" s="97"/>
      <c r="AL1149" s="177">
        <v>27308200</v>
      </c>
      <c r="AM1149" s="177">
        <v>27308200</v>
      </c>
      <c r="AN1149" s="177">
        <f>AL1149-AM1149</f>
        <v>0</v>
      </c>
      <c r="AO1149" s="136" t="s">
        <v>952</v>
      </c>
      <c r="AP1149" s="97"/>
      <c r="AQ1149" s="97"/>
      <c r="AR1149" s="97"/>
      <c r="AS1149" s="97"/>
      <c r="AT1149" s="97"/>
      <c r="AU1149" s="97"/>
    </row>
    <row r="1150" spans="1:47" ht="191.25" x14ac:dyDescent="0.2">
      <c r="A1150" s="97">
        <f t="shared" si="115"/>
        <v>161</v>
      </c>
      <c r="B1150" s="128" t="s">
        <v>1496</v>
      </c>
      <c r="C1150" s="65" t="s">
        <v>941</v>
      </c>
      <c r="D1150" s="1" t="s">
        <v>942</v>
      </c>
      <c r="E1150" s="128" t="s">
        <v>971</v>
      </c>
      <c r="F1150" s="1" t="s">
        <v>511</v>
      </c>
      <c r="G1150" s="1" t="s">
        <v>512</v>
      </c>
      <c r="H1150" s="66" t="s">
        <v>944</v>
      </c>
      <c r="I1150" s="1" t="s">
        <v>54</v>
      </c>
      <c r="J1150" s="1" t="s">
        <v>55</v>
      </c>
      <c r="K1150" s="52">
        <v>801116</v>
      </c>
      <c r="L1150" s="52" t="s">
        <v>945</v>
      </c>
      <c r="M1150" s="128" t="s">
        <v>493</v>
      </c>
      <c r="N1150" s="128" t="s">
        <v>494</v>
      </c>
      <c r="O1150" s="53" t="s">
        <v>946</v>
      </c>
      <c r="P1150" s="131" t="s">
        <v>1497</v>
      </c>
      <c r="Q1150" s="97"/>
      <c r="R1150" s="97"/>
      <c r="S1150" s="97"/>
      <c r="T1150" s="97"/>
      <c r="U1150" s="131"/>
      <c r="V1150" s="97"/>
      <c r="W1150" s="97"/>
      <c r="X1150" s="97"/>
      <c r="Y1150" s="97"/>
      <c r="Z1150" s="97"/>
      <c r="AA1150" s="97"/>
      <c r="AB1150" s="97"/>
      <c r="AC1150" s="97"/>
      <c r="AD1150" s="158"/>
      <c r="AE1150" s="97"/>
      <c r="AF1150" s="139">
        <v>2527</v>
      </c>
      <c r="AG1150" s="186">
        <v>43305</v>
      </c>
      <c r="AH1150" s="177">
        <v>46544687</v>
      </c>
      <c r="AI1150" s="131" t="s">
        <v>1376</v>
      </c>
      <c r="AJ1150" s="97">
        <v>52</v>
      </c>
      <c r="AK1150" s="97"/>
      <c r="AL1150" s="177">
        <v>46544687</v>
      </c>
      <c r="AM1150" s="177">
        <v>46544687</v>
      </c>
      <c r="AN1150" s="177">
        <f t="shared" ref="AN1150:AN1154" si="116">AL1150-AM1150</f>
        <v>0</v>
      </c>
      <c r="AO1150" s="97"/>
      <c r="AP1150" s="97"/>
      <c r="AQ1150" s="97"/>
      <c r="AR1150" s="97"/>
      <c r="AS1150" s="97"/>
      <c r="AT1150" s="97"/>
      <c r="AU1150" s="97"/>
    </row>
    <row r="1151" spans="1:47" ht="191.25" x14ac:dyDescent="0.2">
      <c r="A1151" s="97">
        <f t="shared" si="115"/>
        <v>162</v>
      </c>
      <c r="B1151" s="128" t="s">
        <v>1498</v>
      </c>
      <c r="C1151" s="68" t="s">
        <v>941</v>
      </c>
      <c r="D1151" s="69" t="s">
        <v>942</v>
      </c>
      <c r="E1151" s="148" t="s">
        <v>943</v>
      </c>
      <c r="F1151" s="69" t="s">
        <v>511</v>
      </c>
      <c r="G1151" s="69" t="s">
        <v>512</v>
      </c>
      <c r="H1151" s="70" t="s">
        <v>944</v>
      </c>
      <c r="I1151" s="69" t="s">
        <v>54</v>
      </c>
      <c r="J1151" s="69" t="s">
        <v>55</v>
      </c>
      <c r="K1151" s="57">
        <v>801116</v>
      </c>
      <c r="L1151" s="52" t="s">
        <v>945</v>
      </c>
      <c r="M1151" s="148" t="s">
        <v>493</v>
      </c>
      <c r="N1151" s="148" t="s">
        <v>494</v>
      </c>
      <c r="O1151" s="58" t="s">
        <v>946</v>
      </c>
      <c r="P1151" s="131" t="s">
        <v>1497</v>
      </c>
      <c r="Q1151" s="97"/>
      <c r="R1151" s="97"/>
      <c r="S1151" s="97"/>
      <c r="T1151" s="97"/>
      <c r="U1151" s="131"/>
      <c r="V1151" s="97"/>
      <c r="W1151" s="97"/>
      <c r="X1151" s="97"/>
      <c r="Y1151" s="97"/>
      <c r="Z1151" s="97"/>
      <c r="AA1151" s="97"/>
      <c r="AB1151" s="97"/>
      <c r="AC1151" s="97"/>
      <c r="AD1151" s="158"/>
      <c r="AE1151" s="97"/>
      <c r="AF1151" s="139">
        <v>2527</v>
      </c>
      <c r="AG1151" s="186">
        <v>43305</v>
      </c>
      <c r="AH1151" s="177">
        <v>25062524</v>
      </c>
      <c r="AI1151" s="131" t="s">
        <v>1376</v>
      </c>
      <c r="AJ1151" s="97">
        <v>52</v>
      </c>
      <c r="AK1151" s="97"/>
      <c r="AL1151" s="177">
        <v>25062524</v>
      </c>
      <c r="AM1151" s="177">
        <v>25062524</v>
      </c>
      <c r="AN1151" s="177">
        <f t="shared" si="116"/>
        <v>0</v>
      </c>
      <c r="AO1151" s="97"/>
      <c r="AP1151" s="97"/>
      <c r="AQ1151" s="97"/>
      <c r="AR1151" s="97"/>
      <c r="AS1151" s="97"/>
      <c r="AT1151" s="97"/>
      <c r="AU1151" s="97"/>
    </row>
    <row r="1152" spans="1:47" ht="409.5" x14ac:dyDescent="0.2">
      <c r="A1152" s="97">
        <f t="shared" si="115"/>
        <v>163</v>
      </c>
      <c r="B1152" s="128" t="s">
        <v>1499</v>
      </c>
      <c r="C1152" s="65" t="s">
        <v>941</v>
      </c>
      <c r="D1152" s="1" t="s">
        <v>942</v>
      </c>
      <c r="E1152" s="128" t="s">
        <v>943</v>
      </c>
      <c r="F1152" s="1" t="s">
        <v>511</v>
      </c>
      <c r="G1152" s="1" t="s">
        <v>512</v>
      </c>
      <c r="H1152" s="66" t="s">
        <v>944</v>
      </c>
      <c r="I1152" s="1" t="s">
        <v>54</v>
      </c>
      <c r="J1152" s="1" t="s">
        <v>55</v>
      </c>
      <c r="K1152" s="55">
        <v>801116</v>
      </c>
      <c r="L1152" s="56" t="s">
        <v>945</v>
      </c>
      <c r="M1152" s="131" t="s">
        <v>493</v>
      </c>
      <c r="N1152" s="128" t="s">
        <v>494</v>
      </c>
      <c r="O1152" s="53" t="s">
        <v>946</v>
      </c>
      <c r="P1152" s="131" t="s">
        <v>1500</v>
      </c>
      <c r="Q1152" s="97"/>
      <c r="R1152" s="97"/>
      <c r="S1152" s="97"/>
      <c r="T1152" s="97"/>
      <c r="U1152" s="131"/>
      <c r="V1152" s="97"/>
      <c r="W1152" s="97"/>
      <c r="X1152" s="97"/>
      <c r="Y1152" s="97"/>
      <c r="Z1152" s="97"/>
      <c r="AA1152" s="97"/>
      <c r="AB1152" s="97"/>
      <c r="AC1152" s="97"/>
      <c r="AD1152" s="158"/>
      <c r="AE1152" s="97"/>
      <c r="AF1152" s="139">
        <v>2479</v>
      </c>
      <c r="AG1152" s="186">
        <v>43292</v>
      </c>
      <c r="AH1152" s="177">
        <v>1034900</v>
      </c>
      <c r="AI1152" s="131" t="s">
        <v>524</v>
      </c>
      <c r="AJ1152" s="97">
        <v>7</v>
      </c>
      <c r="AK1152" s="97"/>
      <c r="AL1152" s="177">
        <v>1034900</v>
      </c>
      <c r="AM1152" s="177">
        <v>1034900</v>
      </c>
      <c r="AN1152" s="177">
        <f t="shared" si="116"/>
        <v>0</v>
      </c>
      <c r="AO1152" s="97"/>
      <c r="AP1152" s="97"/>
      <c r="AQ1152" s="97"/>
      <c r="AR1152" s="97"/>
      <c r="AS1152" s="97"/>
      <c r="AT1152" s="97"/>
      <c r="AU1152" s="97"/>
    </row>
    <row r="1153" spans="1:47" ht="382.5" x14ac:dyDescent="0.2">
      <c r="A1153" s="97">
        <f t="shared" si="115"/>
        <v>164</v>
      </c>
      <c r="B1153" s="128" t="s">
        <v>1501</v>
      </c>
      <c r="C1153" s="128" t="s">
        <v>941</v>
      </c>
      <c r="D1153" s="128" t="s">
        <v>942</v>
      </c>
      <c r="E1153" s="128" t="s">
        <v>971</v>
      </c>
      <c r="F1153" s="128" t="s">
        <v>1309</v>
      </c>
      <c r="G1153" s="128" t="s">
        <v>1310</v>
      </c>
      <c r="H1153" s="128" t="s">
        <v>1311</v>
      </c>
      <c r="I1153" s="128" t="s">
        <v>54</v>
      </c>
      <c r="J1153" s="128" t="s">
        <v>55</v>
      </c>
      <c r="K1153" s="128" t="s">
        <v>50</v>
      </c>
      <c r="L1153" s="128"/>
      <c r="M1153" s="128"/>
      <c r="N1153" s="128"/>
      <c r="O1153" s="53" t="s">
        <v>946</v>
      </c>
      <c r="P1153" s="131" t="s">
        <v>1426</v>
      </c>
      <c r="Q1153" s="97"/>
      <c r="R1153" s="97"/>
      <c r="S1153" s="97"/>
      <c r="T1153" s="97"/>
      <c r="U1153" s="131"/>
      <c r="V1153" s="97"/>
      <c r="W1153" s="97"/>
      <c r="X1153" s="97"/>
      <c r="Y1153" s="97"/>
      <c r="Z1153" s="97"/>
      <c r="AA1153" s="97"/>
      <c r="AB1153" s="97">
        <v>847</v>
      </c>
      <c r="AC1153" s="97"/>
      <c r="AD1153" s="158"/>
      <c r="AE1153" s="97"/>
      <c r="AF1153" s="139">
        <v>2523</v>
      </c>
      <c r="AG1153" s="186">
        <v>43305</v>
      </c>
      <c r="AH1153" s="177">
        <v>120400</v>
      </c>
      <c r="AI1153" s="131" t="s">
        <v>1438</v>
      </c>
      <c r="AJ1153" s="97">
        <v>2903</v>
      </c>
      <c r="AK1153" s="97"/>
      <c r="AL1153" s="177">
        <v>120400</v>
      </c>
      <c r="AM1153" s="177">
        <v>120400</v>
      </c>
      <c r="AN1153" s="177">
        <f t="shared" si="116"/>
        <v>0</v>
      </c>
      <c r="AO1153" s="97"/>
      <c r="AP1153" s="97"/>
      <c r="AQ1153" s="97"/>
      <c r="AR1153" s="97"/>
      <c r="AS1153" s="97"/>
      <c r="AT1153" s="97"/>
      <c r="AU1153" s="97"/>
    </row>
    <row r="1154" spans="1:47" ht="409.5" x14ac:dyDescent="0.2">
      <c r="A1154" s="97">
        <f t="shared" si="115"/>
        <v>165</v>
      </c>
      <c r="B1154" s="128" t="s">
        <v>1502</v>
      </c>
      <c r="C1154" s="128" t="s">
        <v>941</v>
      </c>
      <c r="D1154" s="128" t="s">
        <v>942</v>
      </c>
      <c r="E1154" s="128" t="s">
        <v>971</v>
      </c>
      <c r="F1154" s="128" t="s">
        <v>1309</v>
      </c>
      <c r="G1154" s="128" t="s">
        <v>1310</v>
      </c>
      <c r="H1154" s="128" t="s">
        <v>1311</v>
      </c>
      <c r="I1154" s="128" t="s">
        <v>54</v>
      </c>
      <c r="J1154" s="128" t="s">
        <v>55</v>
      </c>
      <c r="K1154" s="128" t="s">
        <v>50</v>
      </c>
      <c r="L1154" s="128"/>
      <c r="M1154" s="128"/>
      <c r="N1154" s="128"/>
      <c r="O1154" s="53" t="s">
        <v>946</v>
      </c>
      <c r="P1154" s="131" t="s">
        <v>1503</v>
      </c>
      <c r="Q1154" s="97"/>
      <c r="R1154" s="97"/>
      <c r="S1154" s="97"/>
      <c r="T1154" s="97"/>
      <c r="U1154" s="131"/>
      <c r="V1154" s="97"/>
      <c r="W1154" s="97"/>
      <c r="X1154" s="97"/>
      <c r="Y1154" s="97"/>
      <c r="Z1154" s="97"/>
      <c r="AA1154" s="97"/>
      <c r="AB1154" s="97">
        <v>847</v>
      </c>
      <c r="AC1154" s="97"/>
      <c r="AD1154" s="158"/>
      <c r="AE1154" s="97"/>
      <c r="AF1154" s="139">
        <v>2504</v>
      </c>
      <c r="AG1154" s="186">
        <v>43305</v>
      </c>
      <c r="AH1154" s="177">
        <v>350000</v>
      </c>
      <c r="AI1154" s="131" t="s">
        <v>1428</v>
      </c>
      <c r="AJ1154" s="97">
        <v>2915</v>
      </c>
      <c r="AK1154" s="97"/>
      <c r="AL1154" s="177">
        <v>350000</v>
      </c>
      <c r="AM1154" s="177">
        <v>350000</v>
      </c>
      <c r="AN1154" s="177">
        <f t="shared" si="116"/>
        <v>0</v>
      </c>
      <c r="AO1154" s="97"/>
      <c r="AP1154" s="97"/>
      <c r="AQ1154" s="97"/>
      <c r="AR1154" s="97"/>
      <c r="AS1154" s="97"/>
      <c r="AT1154" s="97"/>
      <c r="AU1154" s="97"/>
    </row>
    <row r="1155" spans="1:47" x14ac:dyDescent="0.2">
      <c r="A1155" s="209">
        <v>1</v>
      </c>
      <c r="B1155" s="209" t="s">
        <v>48</v>
      </c>
      <c r="C1155" s="267" t="s">
        <v>49</v>
      </c>
      <c r="D1155" s="267" t="s">
        <v>50</v>
      </c>
      <c r="E1155" s="267" t="s">
        <v>50</v>
      </c>
      <c r="F1155" s="267" t="s">
        <v>51</v>
      </c>
      <c r="G1155" s="267" t="s">
        <v>52</v>
      </c>
      <c r="H1155" s="267" t="s">
        <v>53</v>
      </c>
      <c r="I1155" s="267" t="s">
        <v>54</v>
      </c>
      <c r="J1155" s="267" t="s">
        <v>55</v>
      </c>
      <c r="K1155" s="267">
        <v>80111600</v>
      </c>
      <c r="L1155" s="267"/>
      <c r="M1155" s="267"/>
      <c r="N1155" s="267"/>
      <c r="O1155" s="267"/>
      <c r="P1155" s="267" t="s">
        <v>56</v>
      </c>
      <c r="Q1155" s="256">
        <v>5036700</v>
      </c>
      <c r="R1155" s="267">
        <v>1</v>
      </c>
      <c r="S1155" s="256">
        <v>57922050</v>
      </c>
      <c r="T1155" s="267" t="s">
        <v>57</v>
      </c>
      <c r="U1155" s="267" t="s">
        <v>58</v>
      </c>
      <c r="V1155" s="268">
        <v>43112</v>
      </c>
      <c r="W1155" s="267">
        <v>11.5</v>
      </c>
      <c r="X1155" s="203" t="s">
        <v>59</v>
      </c>
      <c r="Y1155" s="268">
        <v>43102</v>
      </c>
      <c r="Z1155" s="256">
        <v>57922050</v>
      </c>
      <c r="AA1155" s="267"/>
      <c r="AB1155" s="209">
        <v>145</v>
      </c>
      <c r="AC1155" s="268" t="s">
        <v>1527</v>
      </c>
      <c r="AD1155" s="256">
        <v>22833040</v>
      </c>
      <c r="AE1155" s="269">
        <f t="shared" ref="AE1155:AE1218" si="117">S1155-AD1155</f>
        <v>35089010</v>
      </c>
      <c r="AF1155" s="209">
        <v>6</v>
      </c>
      <c r="AG1155" s="270">
        <v>43112</v>
      </c>
      <c r="AH1155" s="256">
        <v>22833040</v>
      </c>
      <c r="AI1155" s="267" t="s">
        <v>61</v>
      </c>
      <c r="AJ1155" s="271">
        <v>6</v>
      </c>
      <c r="AK1155" s="267"/>
      <c r="AL1155" s="256">
        <v>22833040</v>
      </c>
      <c r="AM1155" s="256">
        <v>0</v>
      </c>
      <c r="AN1155" s="267"/>
      <c r="AO1155" s="267"/>
      <c r="AP1155" s="267"/>
      <c r="AQ1155" s="267"/>
      <c r="AR1155" s="267"/>
      <c r="AS1155" s="267"/>
      <c r="AT1155" s="267"/>
      <c r="AU1155" s="267" t="s">
        <v>61</v>
      </c>
    </row>
    <row r="1156" spans="1:47" x14ac:dyDescent="0.2">
      <c r="A1156" s="209">
        <v>2</v>
      </c>
      <c r="B1156" s="209" t="s">
        <v>63</v>
      </c>
      <c r="C1156" s="267" t="s">
        <v>49</v>
      </c>
      <c r="D1156" s="267" t="s">
        <v>50</v>
      </c>
      <c r="E1156" s="267" t="s">
        <v>50</v>
      </c>
      <c r="F1156" s="267" t="s">
        <v>51</v>
      </c>
      <c r="G1156" s="267" t="s">
        <v>52</v>
      </c>
      <c r="H1156" s="267" t="s">
        <v>53</v>
      </c>
      <c r="I1156" s="267" t="s">
        <v>54</v>
      </c>
      <c r="J1156" s="267" t="s">
        <v>55</v>
      </c>
      <c r="K1156" s="267">
        <v>80111600</v>
      </c>
      <c r="L1156" s="267"/>
      <c r="M1156" s="267"/>
      <c r="N1156" s="267"/>
      <c r="O1156" s="267"/>
      <c r="P1156" s="267" t="s">
        <v>64</v>
      </c>
      <c r="Q1156" s="256">
        <v>3553500</v>
      </c>
      <c r="R1156" s="267">
        <v>1</v>
      </c>
      <c r="S1156" s="256">
        <v>40865250</v>
      </c>
      <c r="T1156" s="267" t="s">
        <v>57</v>
      </c>
      <c r="U1156" s="267" t="s">
        <v>58</v>
      </c>
      <c r="V1156" s="268">
        <v>43112</v>
      </c>
      <c r="W1156" s="267">
        <v>11.5</v>
      </c>
      <c r="X1156" s="203" t="s">
        <v>3713</v>
      </c>
      <c r="Y1156" s="268">
        <v>43105</v>
      </c>
      <c r="Z1156" s="256">
        <v>40865250</v>
      </c>
      <c r="AA1156" s="267" t="s">
        <v>65</v>
      </c>
      <c r="AB1156" s="209">
        <v>315</v>
      </c>
      <c r="AC1156" s="268" t="s">
        <v>3714</v>
      </c>
      <c r="AD1156" s="256">
        <v>40865250</v>
      </c>
      <c r="AE1156" s="269">
        <f t="shared" si="117"/>
        <v>0</v>
      </c>
      <c r="AF1156" s="209">
        <v>164</v>
      </c>
      <c r="AG1156" s="270">
        <v>43118</v>
      </c>
      <c r="AH1156" s="256">
        <v>40865250</v>
      </c>
      <c r="AI1156" s="267" t="s">
        <v>66</v>
      </c>
      <c r="AJ1156" s="271">
        <v>122</v>
      </c>
      <c r="AK1156" s="267"/>
      <c r="AL1156" s="256">
        <v>19307350</v>
      </c>
      <c r="AM1156" s="256">
        <v>21557900</v>
      </c>
      <c r="AN1156" s="267"/>
      <c r="AO1156" s="267"/>
      <c r="AP1156" s="267"/>
      <c r="AQ1156" s="267"/>
      <c r="AR1156" s="267"/>
      <c r="AS1156" s="267"/>
      <c r="AT1156" s="267"/>
      <c r="AU1156" s="267" t="s">
        <v>66</v>
      </c>
    </row>
    <row r="1157" spans="1:47" x14ac:dyDescent="0.2">
      <c r="A1157" s="209">
        <v>3</v>
      </c>
      <c r="B1157" s="209" t="s">
        <v>67</v>
      </c>
      <c r="C1157" s="267" t="s">
        <v>49</v>
      </c>
      <c r="D1157" s="267" t="s">
        <v>50</v>
      </c>
      <c r="E1157" s="267" t="s">
        <v>50</v>
      </c>
      <c r="F1157" s="267" t="s">
        <v>51</v>
      </c>
      <c r="G1157" s="267" t="s">
        <v>52</v>
      </c>
      <c r="H1157" s="267" t="s">
        <v>53</v>
      </c>
      <c r="I1157" s="267" t="s">
        <v>54</v>
      </c>
      <c r="J1157" s="267" t="s">
        <v>55</v>
      </c>
      <c r="K1157" s="267">
        <v>80111600</v>
      </c>
      <c r="L1157" s="267"/>
      <c r="M1157" s="267"/>
      <c r="N1157" s="267"/>
      <c r="O1157" s="267"/>
      <c r="P1157" s="267" t="s">
        <v>68</v>
      </c>
      <c r="Q1157" s="256">
        <v>6695000</v>
      </c>
      <c r="R1157" s="267">
        <v>1</v>
      </c>
      <c r="S1157" s="256">
        <v>76992500</v>
      </c>
      <c r="T1157" s="267" t="s">
        <v>57</v>
      </c>
      <c r="U1157" s="267" t="s">
        <v>58</v>
      </c>
      <c r="V1157" s="268">
        <v>43112</v>
      </c>
      <c r="W1157" s="267">
        <v>11.5</v>
      </c>
      <c r="X1157" s="203" t="s">
        <v>69</v>
      </c>
      <c r="Y1157" s="268">
        <v>43102</v>
      </c>
      <c r="Z1157" s="256">
        <v>76992500</v>
      </c>
      <c r="AA1157" s="267"/>
      <c r="AB1157" s="209">
        <v>144</v>
      </c>
      <c r="AC1157" s="268" t="s">
        <v>1527</v>
      </c>
      <c r="AD1157" s="256">
        <v>76992500</v>
      </c>
      <c r="AE1157" s="269">
        <f t="shared" si="117"/>
        <v>0</v>
      </c>
      <c r="AF1157" s="209">
        <v>105</v>
      </c>
      <c r="AG1157" s="270">
        <v>43116</v>
      </c>
      <c r="AH1157" s="256">
        <v>76992500</v>
      </c>
      <c r="AI1157" s="267" t="s">
        <v>70</v>
      </c>
      <c r="AJ1157" s="271">
        <v>92</v>
      </c>
      <c r="AK1157" s="267"/>
      <c r="AL1157" s="256">
        <v>36822500</v>
      </c>
      <c r="AM1157" s="256">
        <v>40170000</v>
      </c>
      <c r="AN1157" s="267"/>
      <c r="AO1157" s="267"/>
      <c r="AP1157" s="267"/>
      <c r="AQ1157" s="267"/>
      <c r="AR1157" s="267"/>
      <c r="AS1157" s="267"/>
      <c r="AT1157" s="267"/>
      <c r="AU1157" s="267" t="s">
        <v>70</v>
      </c>
    </row>
    <row r="1158" spans="1:47" x14ac:dyDescent="0.2">
      <c r="A1158" s="209">
        <v>4</v>
      </c>
      <c r="B1158" s="209" t="s">
        <v>72</v>
      </c>
      <c r="C1158" s="267" t="s">
        <v>49</v>
      </c>
      <c r="D1158" s="267" t="s">
        <v>50</v>
      </c>
      <c r="E1158" s="267" t="s">
        <v>50</v>
      </c>
      <c r="F1158" s="267" t="s">
        <v>51</v>
      </c>
      <c r="G1158" s="267" t="s">
        <v>52</v>
      </c>
      <c r="H1158" s="267" t="s">
        <v>53</v>
      </c>
      <c r="I1158" s="267" t="s">
        <v>54</v>
      </c>
      <c r="J1158" s="267" t="s">
        <v>55</v>
      </c>
      <c r="K1158" s="267">
        <v>80111600</v>
      </c>
      <c r="L1158" s="267"/>
      <c r="M1158" s="267"/>
      <c r="N1158" s="267"/>
      <c r="O1158" s="267"/>
      <c r="P1158" s="267" t="s">
        <v>73</v>
      </c>
      <c r="Q1158" s="256">
        <v>10000000</v>
      </c>
      <c r="R1158" s="267">
        <v>1</v>
      </c>
      <c r="S1158" s="256">
        <v>110000000</v>
      </c>
      <c r="T1158" s="267" t="s">
        <v>57</v>
      </c>
      <c r="U1158" s="267" t="s">
        <v>58</v>
      </c>
      <c r="V1158" s="268">
        <v>43112</v>
      </c>
      <c r="W1158" s="267">
        <v>11</v>
      </c>
      <c r="X1158" s="203" t="s">
        <v>74</v>
      </c>
      <c r="Y1158" s="268">
        <v>43102</v>
      </c>
      <c r="Z1158" s="256">
        <v>110000000</v>
      </c>
      <c r="AA1158" s="267"/>
      <c r="AB1158" s="209">
        <v>143</v>
      </c>
      <c r="AC1158" s="268" t="s">
        <v>1527</v>
      </c>
      <c r="AD1158" s="256">
        <v>110000000</v>
      </c>
      <c r="AE1158" s="269">
        <f t="shared" si="117"/>
        <v>0</v>
      </c>
      <c r="AF1158" s="209">
        <v>383</v>
      </c>
      <c r="AG1158" s="270">
        <v>43124</v>
      </c>
      <c r="AH1158" s="256">
        <v>110000000</v>
      </c>
      <c r="AI1158" s="267" t="s">
        <v>75</v>
      </c>
      <c r="AJ1158" s="271">
        <v>360</v>
      </c>
      <c r="AK1158" s="267"/>
      <c r="AL1158" s="256">
        <v>0</v>
      </c>
      <c r="AM1158" s="256">
        <v>110000000</v>
      </c>
      <c r="AN1158" s="267"/>
      <c r="AO1158" s="267"/>
      <c r="AP1158" s="267"/>
      <c r="AQ1158" s="267"/>
      <c r="AR1158" s="267"/>
      <c r="AS1158" s="267"/>
      <c r="AT1158" s="267"/>
      <c r="AU1158" s="267" t="s">
        <v>75</v>
      </c>
    </row>
    <row r="1159" spans="1:47" x14ac:dyDescent="0.2">
      <c r="A1159" s="209">
        <v>5</v>
      </c>
      <c r="B1159" s="209" t="s">
        <v>76</v>
      </c>
      <c r="C1159" s="267" t="s">
        <v>49</v>
      </c>
      <c r="D1159" s="267" t="s">
        <v>50</v>
      </c>
      <c r="E1159" s="267" t="s">
        <v>50</v>
      </c>
      <c r="F1159" s="267" t="s">
        <v>51</v>
      </c>
      <c r="G1159" s="267" t="s">
        <v>52</v>
      </c>
      <c r="H1159" s="267" t="s">
        <v>53</v>
      </c>
      <c r="I1159" s="267" t="s">
        <v>54</v>
      </c>
      <c r="J1159" s="267" t="s">
        <v>55</v>
      </c>
      <c r="K1159" s="267">
        <v>80111600</v>
      </c>
      <c r="L1159" s="267"/>
      <c r="M1159" s="267"/>
      <c r="N1159" s="267"/>
      <c r="O1159" s="267"/>
      <c r="P1159" s="267" t="s">
        <v>77</v>
      </c>
      <c r="Q1159" s="256">
        <v>9270000</v>
      </c>
      <c r="R1159" s="267">
        <v>1</v>
      </c>
      <c r="S1159" s="256">
        <v>106605000</v>
      </c>
      <c r="T1159" s="267" t="s">
        <v>57</v>
      </c>
      <c r="U1159" s="267" t="s">
        <v>58</v>
      </c>
      <c r="V1159" s="268">
        <v>43112</v>
      </c>
      <c r="W1159" s="267">
        <v>11.5</v>
      </c>
      <c r="X1159" s="203" t="s">
        <v>78</v>
      </c>
      <c r="Y1159" s="268">
        <v>43102</v>
      </c>
      <c r="Z1159" s="256">
        <v>106605000</v>
      </c>
      <c r="AA1159" s="267"/>
      <c r="AB1159" s="209">
        <v>142</v>
      </c>
      <c r="AC1159" s="268" t="s">
        <v>1527</v>
      </c>
      <c r="AD1159" s="256">
        <v>106605000</v>
      </c>
      <c r="AE1159" s="269">
        <f t="shared" si="117"/>
        <v>0</v>
      </c>
      <c r="AF1159" s="209">
        <v>121</v>
      </c>
      <c r="AG1159" s="270">
        <v>43117</v>
      </c>
      <c r="AH1159" s="256">
        <v>106605000</v>
      </c>
      <c r="AI1159" s="267" t="s">
        <v>3715</v>
      </c>
      <c r="AJ1159" s="271">
        <v>101</v>
      </c>
      <c r="AK1159" s="267"/>
      <c r="AL1159" s="256">
        <v>50985000</v>
      </c>
      <c r="AM1159" s="256">
        <v>55620000</v>
      </c>
      <c r="AN1159" s="267"/>
      <c r="AO1159" s="267"/>
      <c r="AP1159" s="267"/>
      <c r="AQ1159" s="267"/>
      <c r="AR1159" s="267"/>
      <c r="AS1159" s="267"/>
      <c r="AT1159" s="267"/>
      <c r="AU1159" s="267" t="s">
        <v>79</v>
      </c>
    </row>
    <row r="1160" spans="1:47" x14ac:dyDescent="0.2">
      <c r="A1160" s="209">
        <v>6</v>
      </c>
      <c r="B1160" s="209" t="s">
        <v>80</v>
      </c>
      <c r="C1160" s="267" t="s">
        <v>49</v>
      </c>
      <c r="D1160" s="267" t="s">
        <v>50</v>
      </c>
      <c r="E1160" s="267" t="s">
        <v>50</v>
      </c>
      <c r="F1160" s="267" t="s">
        <v>51</v>
      </c>
      <c r="G1160" s="267" t="s">
        <v>52</v>
      </c>
      <c r="H1160" s="267" t="s">
        <v>53</v>
      </c>
      <c r="I1160" s="267" t="s">
        <v>54</v>
      </c>
      <c r="J1160" s="267" t="s">
        <v>55</v>
      </c>
      <c r="K1160" s="267">
        <v>80111600</v>
      </c>
      <c r="L1160" s="267"/>
      <c r="M1160" s="267"/>
      <c r="N1160" s="267"/>
      <c r="O1160" s="267"/>
      <c r="P1160" s="267" t="s">
        <v>81</v>
      </c>
      <c r="Q1160" s="256">
        <v>11900000</v>
      </c>
      <c r="R1160" s="267">
        <v>1</v>
      </c>
      <c r="S1160" s="256">
        <v>130900000</v>
      </c>
      <c r="T1160" s="267" t="s">
        <v>57</v>
      </c>
      <c r="U1160" s="267" t="s">
        <v>58</v>
      </c>
      <c r="V1160" s="268">
        <v>43112</v>
      </c>
      <c r="W1160" s="267">
        <v>11</v>
      </c>
      <c r="X1160" s="203" t="s">
        <v>82</v>
      </c>
      <c r="Y1160" s="268">
        <v>43102</v>
      </c>
      <c r="Z1160" s="256">
        <v>130900000</v>
      </c>
      <c r="AA1160" s="267"/>
      <c r="AB1160" s="209">
        <v>141</v>
      </c>
      <c r="AC1160" s="268" t="s">
        <v>1527</v>
      </c>
      <c r="AD1160" s="256">
        <v>130900000</v>
      </c>
      <c r="AE1160" s="269">
        <f t="shared" si="117"/>
        <v>0</v>
      </c>
      <c r="AF1160" s="209">
        <v>214</v>
      </c>
      <c r="AG1160" s="270">
        <v>43118</v>
      </c>
      <c r="AH1160" s="256">
        <v>130900000</v>
      </c>
      <c r="AI1160" s="267" t="s">
        <v>83</v>
      </c>
      <c r="AJ1160" s="271">
        <v>185</v>
      </c>
      <c r="AK1160" s="267"/>
      <c r="AL1160" s="256">
        <v>63070000</v>
      </c>
      <c r="AM1160" s="256">
        <v>67830000</v>
      </c>
      <c r="AN1160" s="267"/>
      <c r="AO1160" s="267"/>
      <c r="AP1160" s="267"/>
      <c r="AQ1160" s="267"/>
      <c r="AR1160" s="267"/>
      <c r="AS1160" s="267"/>
      <c r="AT1160" s="267"/>
      <c r="AU1160" s="267" t="s">
        <v>83</v>
      </c>
    </row>
    <row r="1161" spans="1:47" x14ac:dyDescent="0.2">
      <c r="A1161" s="209">
        <v>7</v>
      </c>
      <c r="B1161" s="209" t="s">
        <v>84</v>
      </c>
      <c r="C1161" s="267" t="s">
        <v>49</v>
      </c>
      <c r="D1161" s="267" t="s">
        <v>50</v>
      </c>
      <c r="E1161" s="267" t="s">
        <v>50</v>
      </c>
      <c r="F1161" s="267" t="s">
        <v>51</v>
      </c>
      <c r="G1161" s="267" t="s">
        <v>52</v>
      </c>
      <c r="H1161" s="267" t="s">
        <v>53</v>
      </c>
      <c r="I1161" s="267" t="s">
        <v>54</v>
      </c>
      <c r="J1161" s="267" t="s">
        <v>55</v>
      </c>
      <c r="K1161" s="267">
        <v>80111600</v>
      </c>
      <c r="L1161" s="267"/>
      <c r="M1161" s="267"/>
      <c r="N1161" s="267"/>
      <c r="O1161" s="267"/>
      <c r="P1161" s="267" t="s">
        <v>85</v>
      </c>
      <c r="Q1161" s="256">
        <v>9270000</v>
      </c>
      <c r="R1161" s="267">
        <v>1</v>
      </c>
      <c r="S1161" s="256">
        <v>52476450</v>
      </c>
      <c r="T1161" s="267" t="s">
        <v>57</v>
      </c>
      <c r="U1161" s="267" t="s">
        <v>58</v>
      </c>
      <c r="V1161" s="268">
        <v>43112</v>
      </c>
      <c r="W1161" s="267">
        <v>11.5</v>
      </c>
      <c r="X1161" s="203" t="s">
        <v>86</v>
      </c>
      <c r="Y1161" s="268">
        <v>43102</v>
      </c>
      <c r="Z1161" s="256">
        <v>106605000</v>
      </c>
      <c r="AA1161" s="267"/>
      <c r="AB1161" s="209">
        <v>140</v>
      </c>
      <c r="AC1161" s="268" t="s">
        <v>1527</v>
      </c>
      <c r="AD1161" s="256">
        <v>49440000</v>
      </c>
      <c r="AE1161" s="269">
        <f t="shared" si="117"/>
        <v>3036450</v>
      </c>
      <c r="AF1161" s="209">
        <v>482</v>
      </c>
      <c r="AG1161" s="270">
        <v>43126</v>
      </c>
      <c r="AH1161" s="256">
        <v>49440000</v>
      </c>
      <c r="AI1161" s="267" t="s">
        <v>3716</v>
      </c>
      <c r="AJ1161" s="271">
        <v>404</v>
      </c>
      <c r="AK1161" s="267"/>
      <c r="AL1161" s="256">
        <v>42848000</v>
      </c>
      <c r="AM1161" s="256">
        <v>6592000</v>
      </c>
      <c r="AN1161" s="267"/>
      <c r="AO1161" s="267"/>
      <c r="AP1161" s="267"/>
      <c r="AQ1161" s="267"/>
      <c r="AR1161" s="267"/>
      <c r="AS1161" s="267"/>
      <c r="AT1161" s="267"/>
      <c r="AU1161" s="267" t="s">
        <v>87</v>
      </c>
    </row>
    <row r="1162" spans="1:47" x14ac:dyDescent="0.2">
      <c r="A1162" s="209">
        <v>8</v>
      </c>
      <c r="B1162" s="209" t="s">
        <v>88</v>
      </c>
      <c r="C1162" s="267" t="s">
        <v>49</v>
      </c>
      <c r="D1162" s="267" t="s">
        <v>50</v>
      </c>
      <c r="E1162" s="267" t="s">
        <v>50</v>
      </c>
      <c r="F1162" s="267" t="s">
        <v>51</v>
      </c>
      <c r="G1162" s="267" t="s">
        <v>52</v>
      </c>
      <c r="H1162" s="267" t="s">
        <v>53</v>
      </c>
      <c r="I1162" s="267" t="s">
        <v>54</v>
      </c>
      <c r="J1162" s="267" t="s">
        <v>55</v>
      </c>
      <c r="K1162" s="267">
        <v>80111600</v>
      </c>
      <c r="L1162" s="267"/>
      <c r="M1162" s="267"/>
      <c r="N1162" s="267"/>
      <c r="O1162" s="267"/>
      <c r="P1162" s="267" t="s">
        <v>89</v>
      </c>
      <c r="Q1162" s="256">
        <v>4120000</v>
      </c>
      <c r="R1162" s="267">
        <v>1</v>
      </c>
      <c r="S1162" s="256">
        <v>47380000</v>
      </c>
      <c r="T1162" s="267" t="s">
        <v>57</v>
      </c>
      <c r="U1162" s="267" t="s">
        <v>58</v>
      </c>
      <c r="V1162" s="268">
        <v>43105</v>
      </c>
      <c r="W1162" s="267">
        <v>11.5</v>
      </c>
      <c r="X1162" s="203" t="s">
        <v>90</v>
      </c>
      <c r="Y1162" s="268">
        <v>43102</v>
      </c>
      <c r="Z1162" s="256">
        <v>47380000</v>
      </c>
      <c r="AA1162" s="267"/>
      <c r="AB1162" s="209">
        <v>133</v>
      </c>
      <c r="AC1162" s="268" t="s">
        <v>1527</v>
      </c>
      <c r="AD1162" s="256">
        <v>47380000</v>
      </c>
      <c r="AE1162" s="269">
        <f t="shared" si="117"/>
        <v>0</v>
      </c>
      <c r="AF1162" s="209">
        <v>47</v>
      </c>
      <c r="AG1162" s="270">
        <v>43116</v>
      </c>
      <c r="AH1162" s="256">
        <v>47380000</v>
      </c>
      <c r="AI1162" s="267" t="s">
        <v>91</v>
      </c>
      <c r="AJ1162" s="271">
        <v>37</v>
      </c>
      <c r="AK1162" s="267"/>
      <c r="AL1162" s="256">
        <v>22522667</v>
      </c>
      <c r="AM1162" s="256">
        <v>24857333</v>
      </c>
      <c r="AN1162" s="267"/>
      <c r="AO1162" s="267"/>
      <c r="AP1162" s="267"/>
      <c r="AQ1162" s="267"/>
      <c r="AR1162" s="267"/>
      <c r="AS1162" s="267"/>
      <c r="AT1162" s="267"/>
      <c r="AU1162" s="267" t="s">
        <v>91</v>
      </c>
    </row>
    <row r="1163" spans="1:47" x14ac:dyDescent="0.2">
      <c r="A1163" s="209">
        <v>9</v>
      </c>
      <c r="B1163" s="209" t="s">
        <v>92</v>
      </c>
      <c r="C1163" s="267" t="s">
        <v>49</v>
      </c>
      <c r="D1163" s="267" t="s">
        <v>50</v>
      </c>
      <c r="E1163" s="267" t="s">
        <v>50</v>
      </c>
      <c r="F1163" s="267" t="s">
        <v>51</v>
      </c>
      <c r="G1163" s="267" t="s">
        <v>52</v>
      </c>
      <c r="H1163" s="267" t="s">
        <v>53</v>
      </c>
      <c r="I1163" s="267" t="s">
        <v>54</v>
      </c>
      <c r="J1163" s="267" t="s">
        <v>55</v>
      </c>
      <c r="K1163" s="267">
        <v>80111600</v>
      </c>
      <c r="L1163" s="267"/>
      <c r="M1163" s="267"/>
      <c r="N1163" s="267"/>
      <c r="O1163" s="267"/>
      <c r="P1163" s="267" t="s">
        <v>93</v>
      </c>
      <c r="Q1163" s="256">
        <v>3553500</v>
      </c>
      <c r="R1163" s="267">
        <v>1</v>
      </c>
      <c r="S1163" s="256">
        <v>40865250</v>
      </c>
      <c r="T1163" s="267" t="s">
        <v>57</v>
      </c>
      <c r="U1163" s="267" t="s">
        <v>58</v>
      </c>
      <c r="V1163" s="268">
        <v>43105</v>
      </c>
      <c r="W1163" s="267">
        <v>11.5</v>
      </c>
      <c r="X1163" s="203" t="s">
        <v>3717</v>
      </c>
      <c r="Y1163" s="268">
        <v>43105</v>
      </c>
      <c r="Z1163" s="256">
        <v>40865250</v>
      </c>
      <c r="AA1163" s="267" t="s">
        <v>92</v>
      </c>
      <c r="AB1163" s="209">
        <v>484</v>
      </c>
      <c r="AC1163" s="268" t="s">
        <v>1530</v>
      </c>
      <c r="AD1163" s="256">
        <v>40865250</v>
      </c>
      <c r="AE1163" s="269">
        <f t="shared" si="117"/>
        <v>0</v>
      </c>
      <c r="AF1163" s="209">
        <v>112</v>
      </c>
      <c r="AG1163" s="270">
        <v>43117</v>
      </c>
      <c r="AH1163" s="256">
        <v>40865250</v>
      </c>
      <c r="AI1163" s="267" t="s">
        <v>94</v>
      </c>
      <c r="AJ1163" s="271">
        <v>105</v>
      </c>
      <c r="AK1163" s="267"/>
      <c r="AL1163" s="256">
        <v>19425800</v>
      </c>
      <c r="AM1163" s="256">
        <v>21439450</v>
      </c>
      <c r="AN1163" s="267"/>
      <c r="AO1163" s="267"/>
      <c r="AP1163" s="267"/>
      <c r="AQ1163" s="267"/>
      <c r="AR1163" s="267"/>
      <c r="AS1163" s="267"/>
      <c r="AT1163" s="267"/>
      <c r="AU1163" s="267" t="s">
        <v>94</v>
      </c>
    </row>
    <row r="1164" spans="1:47" x14ac:dyDescent="0.2">
      <c r="A1164" s="209">
        <v>10</v>
      </c>
      <c r="B1164" s="209" t="s">
        <v>95</v>
      </c>
      <c r="C1164" s="267" t="s">
        <v>49</v>
      </c>
      <c r="D1164" s="267" t="s">
        <v>50</v>
      </c>
      <c r="E1164" s="267" t="s">
        <v>50</v>
      </c>
      <c r="F1164" s="267" t="s">
        <v>51</v>
      </c>
      <c r="G1164" s="267" t="s">
        <v>52</v>
      </c>
      <c r="H1164" s="267" t="s">
        <v>53</v>
      </c>
      <c r="I1164" s="267" t="s">
        <v>54</v>
      </c>
      <c r="J1164" s="267" t="s">
        <v>55</v>
      </c>
      <c r="K1164" s="267">
        <v>80111600</v>
      </c>
      <c r="L1164" s="267"/>
      <c r="M1164" s="267"/>
      <c r="N1164" s="267"/>
      <c r="O1164" s="267"/>
      <c r="P1164" s="267" t="s">
        <v>96</v>
      </c>
      <c r="Q1164" s="256">
        <v>3399000</v>
      </c>
      <c r="R1164" s="267">
        <v>1</v>
      </c>
      <c r="S1164" s="256">
        <v>39088500</v>
      </c>
      <c r="T1164" s="267" t="s">
        <v>57</v>
      </c>
      <c r="U1164" s="267" t="s">
        <v>58</v>
      </c>
      <c r="V1164" s="268">
        <v>43105</v>
      </c>
      <c r="W1164" s="267">
        <v>11.5</v>
      </c>
      <c r="X1164" s="203" t="s">
        <v>97</v>
      </c>
      <c r="Y1164" s="268">
        <v>43102</v>
      </c>
      <c r="Z1164" s="256">
        <v>39088500</v>
      </c>
      <c r="AA1164" s="267"/>
      <c r="AB1164" s="209">
        <v>132</v>
      </c>
      <c r="AC1164" s="268" t="s">
        <v>1527</v>
      </c>
      <c r="AD1164" s="256">
        <v>39088500</v>
      </c>
      <c r="AE1164" s="269">
        <f t="shared" si="117"/>
        <v>0</v>
      </c>
      <c r="AF1164" s="209">
        <v>110</v>
      </c>
      <c r="AG1164" s="270">
        <v>43117</v>
      </c>
      <c r="AH1164" s="256">
        <v>39088500</v>
      </c>
      <c r="AI1164" s="267" t="s">
        <v>98</v>
      </c>
      <c r="AJ1164" s="271">
        <v>103</v>
      </c>
      <c r="AK1164" s="267"/>
      <c r="AL1164" s="256">
        <v>18581200</v>
      </c>
      <c r="AM1164" s="256">
        <v>20507300</v>
      </c>
      <c r="AN1164" s="267"/>
      <c r="AO1164" s="267"/>
      <c r="AP1164" s="267"/>
      <c r="AQ1164" s="267"/>
      <c r="AR1164" s="267"/>
      <c r="AS1164" s="267"/>
      <c r="AT1164" s="267"/>
      <c r="AU1164" s="267" t="s">
        <v>98</v>
      </c>
    </row>
    <row r="1165" spans="1:47" x14ac:dyDescent="0.2">
      <c r="A1165" s="209">
        <v>11</v>
      </c>
      <c r="B1165" s="209" t="s">
        <v>99</v>
      </c>
      <c r="C1165" s="267" t="s">
        <v>49</v>
      </c>
      <c r="D1165" s="267" t="s">
        <v>50</v>
      </c>
      <c r="E1165" s="267" t="s">
        <v>50</v>
      </c>
      <c r="F1165" s="267" t="s">
        <v>51</v>
      </c>
      <c r="G1165" s="267" t="s">
        <v>52</v>
      </c>
      <c r="H1165" s="267" t="s">
        <v>53</v>
      </c>
      <c r="I1165" s="267" t="s">
        <v>54</v>
      </c>
      <c r="J1165" s="267" t="s">
        <v>55</v>
      </c>
      <c r="K1165" s="267">
        <v>80111600</v>
      </c>
      <c r="L1165" s="267"/>
      <c r="M1165" s="267"/>
      <c r="N1165" s="267"/>
      <c r="O1165" s="267"/>
      <c r="P1165" s="267" t="s">
        <v>100</v>
      </c>
      <c r="Q1165" s="256">
        <v>5665000</v>
      </c>
      <c r="R1165" s="267">
        <v>1</v>
      </c>
      <c r="S1165" s="256">
        <v>65147500</v>
      </c>
      <c r="T1165" s="267" t="s">
        <v>57</v>
      </c>
      <c r="U1165" s="267" t="s">
        <v>58</v>
      </c>
      <c r="V1165" s="268">
        <v>43105</v>
      </c>
      <c r="W1165" s="267">
        <v>11.5</v>
      </c>
      <c r="X1165" s="203" t="s">
        <v>101</v>
      </c>
      <c r="Y1165" s="268">
        <v>43102</v>
      </c>
      <c r="Z1165" s="256">
        <v>65147500</v>
      </c>
      <c r="AA1165" s="267"/>
      <c r="AB1165" s="209">
        <v>131</v>
      </c>
      <c r="AC1165" s="268" t="s">
        <v>1527</v>
      </c>
      <c r="AD1165" s="256">
        <v>65147500</v>
      </c>
      <c r="AE1165" s="269">
        <f t="shared" si="117"/>
        <v>0</v>
      </c>
      <c r="AF1165" s="209">
        <v>175</v>
      </c>
      <c r="AG1165" s="270">
        <v>43118</v>
      </c>
      <c r="AH1165" s="256">
        <v>65147500</v>
      </c>
      <c r="AI1165" s="267" t="s">
        <v>102</v>
      </c>
      <c r="AJ1165" s="271">
        <v>107</v>
      </c>
      <c r="AK1165" s="267"/>
      <c r="AL1165" s="256">
        <v>30779833</v>
      </c>
      <c r="AM1165" s="256">
        <v>34367667</v>
      </c>
      <c r="AN1165" s="267"/>
      <c r="AO1165" s="267"/>
      <c r="AP1165" s="267"/>
      <c r="AQ1165" s="267"/>
      <c r="AR1165" s="267"/>
      <c r="AS1165" s="267"/>
      <c r="AT1165" s="267"/>
      <c r="AU1165" s="267" t="s">
        <v>102</v>
      </c>
    </row>
    <row r="1166" spans="1:47" x14ac:dyDescent="0.2">
      <c r="A1166" s="209">
        <v>12</v>
      </c>
      <c r="B1166" s="209" t="s">
        <v>103</v>
      </c>
      <c r="C1166" s="267" t="s">
        <v>49</v>
      </c>
      <c r="D1166" s="267" t="s">
        <v>50</v>
      </c>
      <c r="E1166" s="267" t="s">
        <v>50</v>
      </c>
      <c r="F1166" s="267" t="s">
        <v>51</v>
      </c>
      <c r="G1166" s="267" t="s">
        <v>52</v>
      </c>
      <c r="H1166" s="267" t="s">
        <v>53</v>
      </c>
      <c r="I1166" s="267" t="s">
        <v>54</v>
      </c>
      <c r="J1166" s="267" t="s">
        <v>55</v>
      </c>
      <c r="K1166" s="267">
        <v>80111600</v>
      </c>
      <c r="L1166" s="267"/>
      <c r="M1166" s="267"/>
      <c r="N1166" s="267"/>
      <c r="O1166" s="267"/>
      <c r="P1166" s="267" t="s">
        <v>104</v>
      </c>
      <c r="Q1166" s="256">
        <v>5253000</v>
      </c>
      <c r="R1166" s="267">
        <v>1</v>
      </c>
      <c r="S1166" s="256">
        <v>60409500</v>
      </c>
      <c r="T1166" s="267" t="s">
        <v>57</v>
      </c>
      <c r="U1166" s="267" t="s">
        <v>58</v>
      </c>
      <c r="V1166" s="268">
        <v>43105</v>
      </c>
      <c r="W1166" s="267">
        <v>11.5</v>
      </c>
      <c r="X1166" s="203" t="s">
        <v>105</v>
      </c>
      <c r="Y1166" s="268">
        <v>43102</v>
      </c>
      <c r="Z1166" s="256">
        <v>60409500</v>
      </c>
      <c r="AA1166" s="267"/>
      <c r="AB1166" s="209">
        <v>146</v>
      </c>
      <c r="AC1166" s="268" t="s">
        <v>1527</v>
      </c>
      <c r="AD1166" s="256">
        <v>60409500</v>
      </c>
      <c r="AE1166" s="269">
        <f t="shared" si="117"/>
        <v>0</v>
      </c>
      <c r="AF1166" s="209">
        <v>109</v>
      </c>
      <c r="AG1166" s="270">
        <v>43117</v>
      </c>
      <c r="AH1166" s="256">
        <v>60409500</v>
      </c>
      <c r="AI1166" s="267" t="s">
        <v>3718</v>
      </c>
      <c r="AJ1166" s="271">
        <v>102</v>
      </c>
      <c r="AK1166" s="267"/>
      <c r="AL1166" s="256">
        <v>28541300</v>
      </c>
      <c r="AM1166" s="256">
        <v>31868200</v>
      </c>
      <c r="AN1166" s="267"/>
      <c r="AO1166" s="267"/>
      <c r="AP1166" s="267"/>
      <c r="AQ1166" s="267"/>
      <c r="AR1166" s="267"/>
      <c r="AS1166" s="267"/>
      <c r="AT1166" s="267"/>
      <c r="AU1166" s="267" t="s">
        <v>106</v>
      </c>
    </row>
    <row r="1167" spans="1:47" x14ac:dyDescent="0.2">
      <c r="A1167" s="209">
        <v>13</v>
      </c>
      <c r="B1167" s="209" t="s">
        <v>107</v>
      </c>
      <c r="C1167" s="267" t="s">
        <v>49</v>
      </c>
      <c r="D1167" s="267" t="s">
        <v>50</v>
      </c>
      <c r="E1167" s="267" t="s">
        <v>50</v>
      </c>
      <c r="F1167" s="267" t="s">
        <v>51</v>
      </c>
      <c r="G1167" s="267" t="s">
        <v>52</v>
      </c>
      <c r="H1167" s="267" t="s">
        <v>53</v>
      </c>
      <c r="I1167" s="267" t="s">
        <v>54</v>
      </c>
      <c r="J1167" s="267" t="s">
        <v>55</v>
      </c>
      <c r="K1167" s="267">
        <v>80111600</v>
      </c>
      <c r="L1167" s="267"/>
      <c r="M1167" s="267"/>
      <c r="N1167" s="267"/>
      <c r="O1167" s="267"/>
      <c r="P1167" s="267" t="s">
        <v>108</v>
      </c>
      <c r="Q1167" s="256">
        <v>12000000</v>
      </c>
      <c r="R1167" s="267">
        <v>1</v>
      </c>
      <c r="S1167" s="256">
        <v>130900000</v>
      </c>
      <c r="T1167" s="267" t="s">
        <v>57</v>
      </c>
      <c r="U1167" s="267" t="s">
        <v>58</v>
      </c>
      <c r="V1167" s="268">
        <v>43112</v>
      </c>
      <c r="W1167" s="267">
        <v>11</v>
      </c>
      <c r="X1167" s="203" t="s">
        <v>109</v>
      </c>
      <c r="Y1167" s="268">
        <v>43102</v>
      </c>
      <c r="Z1167" s="256">
        <v>132000000</v>
      </c>
      <c r="AA1167" s="267"/>
      <c r="AB1167" s="209">
        <v>138</v>
      </c>
      <c r="AC1167" s="268" t="s">
        <v>1527</v>
      </c>
      <c r="AD1167" s="256">
        <v>130900000</v>
      </c>
      <c r="AE1167" s="269">
        <f t="shared" si="117"/>
        <v>0</v>
      </c>
      <c r="AF1167" s="209">
        <v>445</v>
      </c>
      <c r="AG1167" s="270">
        <v>43125</v>
      </c>
      <c r="AH1167" s="256">
        <v>130900000</v>
      </c>
      <c r="AI1167" s="267" t="s">
        <v>111</v>
      </c>
      <c r="AJ1167" s="271">
        <v>375</v>
      </c>
      <c r="AK1167" s="267"/>
      <c r="AL1167" s="256">
        <v>61483333</v>
      </c>
      <c r="AM1167" s="256">
        <v>69416667</v>
      </c>
      <c r="AN1167" s="267"/>
      <c r="AO1167" s="267"/>
      <c r="AP1167" s="267"/>
      <c r="AQ1167" s="267"/>
      <c r="AR1167" s="267"/>
      <c r="AS1167" s="267"/>
      <c r="AT1167" s="267"/>
      <c r="AU1167" s="267" t="s">
        <v>111</v>
      </c>
    </row>
    <row r="1168" spans="1:47" x14ac:dyDescent="0.2">
      <c r="A1168" s="209">
        <v>14</v>
      </c>
      <c r="B1168" s="209" t="s">
        <v>112</v>
      </c>
      <c r="C1168" s="267" t="s">
        <v>49</v>
      </c>
      <c r="D1168" s="267" t="s">
        <v>50</v>
      </c>
      <c r="E1168" s="267" t="s">
        <v>50</v>
      </c>
      <c r="F1168" s="267" t="s">
        <v>51</v>
      </c>
      <c r="G1168" s="267" t="s">
        <v>52</v>
      </c>
      <c r="H1168" s="267" t="s">
        <v>53</v>
      </c>
      <c r="I1168" s="267" t="s">
        <v>54</v>
      </c>
      <c r="J1168" s="267" t="s">
        <v>55</v>
      </c>
      <c r="K1168" s="267">
        <v>80111600</v>
      </c>
      <c r="L1168" s="267"/>
      <c r="M1168" s="267"/>
      <c r="N1168" s="267"/>
      <c r="O1168" s="267"/>
      <c r="P1168" s="267" t="s">
        <v>113</v>
      </c>
      <c r="Q1168" s="256">
        <v>6000000</v>
      </c>
      <c r="R1168" s="267">
        <v>1</v>
      </c>
      <c r="S1168" s="256">
        <v>66000000</v>
      </c>
      <c r="T1168" s="267" t="s">
        <v>57</v>
      </c>
      <c r="U1168" s="267" t="s">
        <v>58</v>
      </c>
      <c r="V1168" s="268">
        <v>43112</v>
      </c>
      <c r="W1168" s="267">
        <v>11</v>
      </c>
      <c r="X1168" s="203" t="s">
        <v>114</v>
      </c>
      <c r="Y1168" s="268">
        <v>43102</v>
      </c>
      <c r="Z1168" s="256">
        <v>66000000</v>
      </c>
      <c r="AA1168" s="267"/>
      <c r="AB1168" s="209">
        <v>137</v>
      </c>
      <c r="AC1168" s="268" t="s">
        <v>1527</v>
      </c>
      <c r="AD1168" s="256">
        <v>66000000</v>
      </c>
      <c r="AE1168" s="269">
        <f t="shared" si="117"/>
        <v>0</v>
      </c>
      <c r="AF1168" s="209">
        <v>439</v>
      </c>
      <c r="AG1168" s="270">
        <v>43125</v>
      </c>
      <c r="AH1168" s="256">
        <v>66000000</v>
      </c>
      <c r="AI1168" s="267" t="s">
        <v>115</v>
      </c>
      <c r="AJ1168" s="271">
        <v>379</v>
      </c>
      <c r="AK1168" s="267"/>
      <c r="AL1168" s="256">
        <v>31000000</v>
      </c>
      <c r="AM1168" s="256">
        <v>35000000</v>
      </c>
      <c r="AN1168" s="267"/>
      <c r="AO1168" s="267"/>
      <c r="AP1168" s="267"/>
      <c r="AQ1168" s="267"/>
      <c r="AR1168" s="267"/>
      <c r="AS1168" s="267"/>
      <c r="AT1168" s="267"/>
      <c r="AU1168" s="267" t="s">
        <v>115</v>
      </c>
    </row>
    <row r="1169" spans="1:47" x14ac:dyDescent="0.2">
      <c r="A1169" s="209">
        <v>15</v>
      </c>
      <c r="B1169" s="209" t="s">
        <v>117</v>
      </c>
      <c r="C1169" s="267" t="s">
        <v>49</v>
      </c>
      <c r="D1169" s="267" t="s">
        <v>50</v>
      </c>
      <c r="E1169" s="267" t="s">
        <v>50</v>
      </c>
      <c r="F1169" s="267" t="s">
        <v>51</v>
      </c>
      <c r="G1169" s="267" t="s">
        <v>52</v>
      </c>
      <c r="H1169" s="267" t="s">
        <v>53</v>
      </c>
      <c r="I1169" s="267" t="s">
        <v>54</v>
      </c>
      <c r="J1169" s="267" t="s">
        <v>55</v>
      </c>
      <c r="K1169" s="267">
        <v>80111600</v>
      </c>
      <c r="L1169" s="267"/>
      <c r="M1169" s="267"/>
      <c r="N1169" s="267"/>
      <c r="O1169" s="267"/>
      <c r="P1169" s="267" t="s">
        <v>118</v>
      </c>
      <c r="Q1169" s="256">
        <v>6180000</v>
      </c>
      <c r="R1169" s="267">
        <v>1</v>
      </c>
      <c r="S1169" s="256">
        <v>71070000</v>
      </c>
      <c r="T1169" s="267" t="s">
        <v>57</v>
      </c>
      <c r="U1169" s="267" t="s">
        <v>58</v>
      </c>
      <c r="V1169" s="268">
        <v>43112</v>
      </c>
      <c r="W1169" s="267">
        <v>11.5</v>
      </c>
      <c r="X1169" s="203" t="s">
        <v>119</v>
      </c>
      <c r="Y1169" s="268">
        <v>43102</v>
      </c>
      <c r="Z1169" s="256">
        <v>71070000</v>
      </c>
      <c r="AA1169" s="267"/>
      <c r="AB1169" s="209">
        <v>136</v>
      </c>
      <c r="AC1169" s="268" t="s">
        <v>1527</v>
      </c>
      <c r="AD1169" s="256">
        <v>71070000</v>
      </c>
      <c r="AE1169" s="269">
        <f t="shared" si="117"/>
        <v>0</v>
      </c>
      <c r="AF1169" s="209">
        <v>48</v>
      </c>
      <c r="AG1169" s="270">
        <v>43116</v>
      </c>
      <c r="AH1169" s="256">
        <v>71070000</v>
      </c>
      <c r="AI1169" s="267" t="s">
        <v>120</v>
      </c>
      <c r="AJ1169" s="271">
        <v>52</v>
      </c>
      <c r="AK1169" s="267"/>
      <c r="AL1169" s="256">
        <v>33784000</v>
      </c>
      <c r="AM1169" s="256">
        <v>37286000</v>
      </c>
      <c r="AN1169" s="267"/>
      <c r="AO1169" s="267"/>
      <c r="AP1169" s="267"/>
      <c r="AQ1169" s="267"/>
      <c r="AR1169" s="267"/>
      <c r="AS1169" s="267"/>
      <c r="AT1169" s="267"/>
      <c r="AU1169" s="267" t="s">
        <v>120</v>
      </c>
    </row>
    <row r="1170" spans="1:47" x14ac:dyDescent="0.2">
      <c r="A1170" s="209">
        <v>16</v>
      </c>
      <c r="B1170" s="209" t="s">
        <v>121</v>
      </c>
      <c r="C1170" s="267" t="s">
        <v>49</v>
      </c>
      <c r="D1170" s="267" t="s">
        <v>50</v>
      </c>
      <c r="E1170" s="267" t="s">
        <v>50</v>
      </c>
      <c r="F1170" s="267" t="s">
        <v>51</v>
      </c>
      <c r="G1170" s="267" t="s">
        <v>52</v>
      </c>
      <c r="H1170" s="267" t="s">
        <v>53</v>
      </c>
      <c r="I1170" s="267" t="s">
        <v>54</v>
      </c>
      <c r="J1170" s="267" t="s">
        <v>55</v>
      </c>
      <c r="K1170" s="267">
        <v>80111600</v>
      </c>
      <c r="L1170" s="267"/>
      <c r="M1170" s="267"/>
      <c r="N1170" s="267"/>
      <c r="O1170" s="267"/>
      <c r="P1170" s="267" t="s">
        <v>3719</v>
      </c>
      <c r="Q1170" s="256">
        <v>68425000</v>
      </c>
      <c r="R1170" s="267">
        <v>1</v>
      </c>
      <c r="S1170" s="256">
        <v>68425000</v>
      </c>
      <c r="T1170" s="267" t="s">
        <v>57</v>
      </c>
      <c r="U1170" s="267" t="s">
        <v>58</v>
      </c>
      <c r="V1170" s="268">
        <v>43112</v>
      </c>
      <c r="W1170" s="267">
        <v>11.500000078987831</v>
      </c>
      <c r="X1170" s="203" t="s">
        <v>3720</v>
      </c>
      <c r="Y1170" s="268">
        <v>43117</v>
      </c>
      <c r="Z1170" s="256">
        <v>68425000</v>
      </c>
      <c r="AA1170" s="267"/>
      <c r="AB1170" s="209">
        <v>524</v>
      </c>
      <c r="AC1170" s="268" t="s">
        <v>1507</v>
      </c>
      <c r="AD1170" s="256">
        <v>68425000</v>
      </c>
      <c r="AE1170" s="269">
        <f t="shared" si="117"/>
        <v>0</v>
      </c>
      <c r="AF1170" s="209">
        <v>308</v>
      </c>
      <c r="AG1170" s="270">
        <v>43122</v>
      </c>
      <c r="AH1170" s="256">
        <v>68425000</v>
      </c>
      <c r="AI1170" s="267" t="s">
        <v>2494</v>
      </c>
      <c r="AJ1170" s="271">
        <v>280</v>
      </c>
      <c r="AK1170" s="267"/>
      <c r="AL1170" s="256">
        <v>28758333</v>
      </c>
      <c r="AM1170" s="256">
        <v>39666667</v>
      </c>
      <c r="AN1170" s="267"/>
      <c r="AO1170" s="267"/>
      <c r="AP1170" s="267"/>
      <c r="AQ1170" s="267"/>
      <c r="AR1170" s="267"/>
      <c r="AS1170" s="267"/>
      <c r="AT1170" s="267"/>
      <c r="AU1170" s="267" t="s">
        <v>122</v>
      </c>
    </row>
    <row r="1171" spans="1:47" x14ac:dyDescent="0.2">
      <c r="A1171" s="209">
        <v>17</v>
      </c>
      <c r="B1171" s="209" t="s">
        <v>123</v>
      </c>
      <c r="C1171" s="267" t="s">
        <v>49</v>
      </c>
      <c r="D1171" s="267" t="s">
        <v>50</v>
      </c>
      <c r="E1171" s="267" t="s">
        <v>50</v>
      </c>
      <c r="F1171" s="267" t="s">
        <v>51</v>
      </c>
      <c r="G1171" s="267" t="s">
        <v>52</v>
      </c>
      <c r="H1171" s="267" t="s">
        <v>53</v>
      </c>
      <c r="I1171" s="267" t="s">
        <v>54</v>
      </c>
      <c r="J1171" s="267" t="s">
        <v>55</v>
      </c>
      <c r="K1171" s="267">
        <v>80111600</v>
      </c>
      <c r="L1171" s="267"/>
      <c r="M1171" s="267"/>
      <c r="N1171" s="267"/>
      <c r="O1171" s="267"/>
      <c r="P1171" s="267" t="s">
        <v>124</v>
      </c>
      <c r="Q1171" s="256">
        <v>4120000</v>
      </c>
      <c r="R1171" s="267">
        <v>1</v>
      </c>
      <c r="S1171" s="256">
        <v>47380000</v>
      </c>
      <c r="T1171" s="267" t="s">
        <v>57</v>
      </c>
      <c r="U1171" s="267" t="s">
        <v>58</v>
      </c>
      <c r="V1171" s="268">
        <v>43112</v>
      </c>
      <c r="W1171" s="267">
        <v>11.5</v>
      </c>
      <c r="X1171" s="203" t="s">
        <v>125</v>
      </c>
      <c r="Y1171" s="268">
        <v>43102</v>
      </c>
      <c r="Z1171" s="256">
        <v>47380000</v>
      </c>
      <c r="AA1171" s="267"/>
      <c r="AB1171" s="209">
        <v>125</v>
      </c>
      <c r="AC1171" s="268" t="s">
        <v>1513</v>
      </c>
      <c r="AD1171" s="256">
        <v>47380000</v>
      </c>
      <c r="AE1171" s="269">
        <f t="shared" si="117"/>
        <v>0</v>
      </c>
      <c r="AF1171" s="209">
        <v>37</v>
      </c>
      <c r="AG1171" s="270">
        <v>43116</v>
      </c>
      <c r="AH1171" s="256">
        <v>47380000</v>
      </c>
      <c r="AI1171" s="267" t="s">
        <v>3721</v>
      </c>
      <c r="AJ1171" s="271">
        <v>47</v>
      </c>
      <c r="AK1171" s="267"/>
      <c r="AL1171" s="256">
        <v>22522667</v>
      </c>
      <c r="AM1171" s="256">
        <v>24857333</v>
      </c>
      <c r="AN1171" s="267"/>
      <c r="AO1171" s="267"/>
      <c r="AP1171" s="267"/>
      <c r="AQ1171" s="267"/>
      <c r="AR1171" s="267"/>
      <c r="AS1171" s="267"/>
      <c r="AT1171" s="267"/>
      <c r="AU1171" s="267" t="s">
        <v>126</v>
      </c>
    </row>
    <row r="1172" spans="1:47" x14ac:dyDescent="0.2">
      <c r="A1172" s="209">
        <v>18</v>
      </c>
      <c r="B1172" s="209" t="s">
        <v>127</v>
      </c>
      <c r="C1172" s="267" t="s">
        <v>49</v>
      </c>
      <c r="D1172" s="267" t="s">
        <v>50</v>
      </c>
      <c r="E1172" s="267" t="s">
        <v>50</v>
      </c>
      <c r="F1172" s="267" t="s">
        <v>51</v>
      </c>
      <c r="G1172" s="267" t="s">
        <v>52</v>
      </c>
      <c r="H1172" s="267" t="s">
        <v>53</v>
      </c>
      <c r="I1172" s="267" t="s">
        <v>54</v>
      </c>
      <c r="J1172" s="267" t="s">
        <v>55</v>
      </c>
      <c r="K1172" s="267">
        <v>80111600</v>
      </c>
      <c r="L1172" s="267"/>
      <c r="M1172" s="267"/>
      <c r="N1172" s="267"/>
      <c r="O1172" s="267"/>
      <c r="P1172" s="267" t="s">
        <v>128</v>
      </c>
      <c r="Q1172" s="256">
        <v>3399000</v>
      </c>
      <c r="R1172" s="267">
        <v>1</v>
      </c>
      <c r="S1172" s="256">
        <v>39088500</v>
      </c>
      <c r="T1172" s="267" t="s">
        <v>57</v>
      </c>
      <c r="U1172" s="267" t="s">
        <v>58</v>
      </c>
      <c r="V1172" s="268">
        <v>43112</v>
      </c>
      <c r="W1172" s="267">
        <v>11.5</v>
      </c>
      <c r="X1172" s="203" t="s">
        <v>129</v>
      </c>
      <c r="Y1172" s="268">
        <v>43102</v>
      </c>
      <c r="Z1172" s="256">
        <v>39088500</v>
      </c>
      <c r="AA1172" s="267"/>
      <c r="AB1172" s="209">
        <v>124</v>
      </c>
      <c r="AC1172" s="268" t="s">
        <v>1513</v>
      </c>
      <c r="AD1172" s="256">
        <v>39088500</v>
      </c>
      <c r="AE1172" s="269">
        <f t="shared" si="117"/>
        <v>0</v>
      </c>
      <c r="AF1172" s="209">
        <v>302</v>
      </c>
      <c r="AG1172" s="270">
        <v>43122</v>
      </c>
      <c r="AH1172" s="256">
        <v>39088500</v>
      </c>
      <c r="AI1172" s="267" t="s">
        <v>3722</v>
      </c>
      <c r="AJ1172" s="271">
        <v>268</v>
      </c>
      <c r="AK1172" s="267"/>
      <c r="AL1172" s="256">
        <v>17901400</v>
      </c>
      <c r="AM1172" s="256">
        <v>21187100</v>
      </c>
      <c r="AN1172" s="267"/>
      <c r="AO1172" s="267"/>
      <c r="AP1172" s="267"/>
      <c r="AQ1172" s="267"/>
      <c r="AR1172" s="267"/>
      <c r="AS1172" s="267"/>
      <c r="AT1172" s="267"/>
      <c r="AU1172" s="267" t="s">
        <v>130</v>
      </c>
    </row>
    <row r="1173" spans="1:47" x14ac:dyDescent="0.2">
      <c r="A1173" s="209">
        <v>19</v>
      </c>
      <c r="B1173" s="209" t="s">
        <v>65</v>
      </c>
      <c r="C1173" s="267" t="s">
        <v>49</v>
      </c>
      <c r="D1173" s="267" t="s">
        <v>50</v>
      </c>
      <c r="E1173" s="267" t="s">
        <v>50</v>
      </c>
      <c r="F1173" s="267" t="s">
        <v>51</v>
      </c>
      <c r="G1173" s="267" t="s">
        <v>52</v>
      </c>
      <c r="H1173" s="267" t="s">
        <v>53</v>
      </c>
      <c r="I1173" s="267" t="s">
        <v>54</v>
      </c>
      <c r="J1173" s="267" t="s">
        <v>55</v>
      </c>
      <c r="K1173" s="267">
        <v>80111600</v>
      </c>
      <c r="L1173" s="267"/>
      <c r="M1173" s="267"/>
      <c r="N1173" s="267"/>
      <c r="O1173" s="267"/>
      <c r="P1173" s="267" t="s">
        <v>3723</v>
      </c>
      <c r="Q1173" s="256">
        <v>51479400.138333298</v>
      </c>
      <c r="R1173" s="267">
        <v>1</v>
      </c>
      <c r="S1173" s="256">
        <v>0.13833329826593399</v>
      </c>
      <c r="T1173" s="267" t="s">
        <v>57</v>
      </c>
      <c r="U1173" s="267" t="s">
        <v>58</v>
      </c>
      <c r="V1173" s="268">
        <v>43112</v>
      </c>
      <c r="W1173" s="267">
        <v>6</v>
      </c>
      <c r="X1173" s="203" t="s">
        <v>3724</v>
      </c>
      <c r="Y1173" s="268">
        <v>43117</v>
      </c>
      <c r="Z1173" s="256">
        <v>51479400</v>
      </c>
      <c r="AA1173" s="267"/>
      <c r="AB1173" s="209"/>
      <c r="AC1173" s="268"/>
      <c r="AD1173" s="256"/>
      <c r="AE1173" s="269">
        <f t="shared" si="117"/>
        <v>0.13833329826593399</v>
      </c>
      <c r="AF1173" s="209"/>
      <c r="AG1173" s="270"/>
      <c r="AH1173" s="256"/>
      <c r="AI1173" s="267"/>
      <c r="AJ1173" s="271">
        <v>389</v>
      </c>
      <c r="AK1173" s="267"/>
      <c r="AL1173" s="256"/>
      <c r="AM1173" s="256"/>
      <c r="AN1173" s="267"/>
      <c r="AO1173" s="267"/>
      <c r="AP1173" s="267"/>
      <c r="AQ1173" s="267"/>
      <c r="AR1173" s="267"/>
      <c r="AS1173" s="267"/>
      <c r="AT1173" s="267"/>
      <c r="AU1173" s="267" t="s">
        <v>131</v>
      </c>
    </row>
    <row r="1174" spans="1:47" x14ac:dyDescent="0.2">
      <c r="A1174" s="209">
        <v>20</v>
      </c>
      <c r="B1174" s="209" t="s">
        <v>132</v>
      </c>
      <c r="C1174" s="267" t="s">
        <v>49</v>
      </c>
      <c r="D1174" s="267" t="s">
        <v>50</v>
      </c>
      <c r="E1174" s="267" t="s">
        <v>50</v>
      </c>
      <c r="F1174" s="267" t="s">
        <v>51</v>
      </c>
      <c r="G1174" s="267" t="s">
        <v>52</v>
      </c>
      <c r="H1174" s="267" t="s">
        <v>53</v>
      </c>
      <c r="I1174" s="267" t="s">
        <v>54</v>
      </c>
      <c r="J1174" s="267" t="s">
        <v>55</v>
      </c>
      <c r="K1174" s="267">
        <v>80111600</v>
      </c>
      <c r="L1174" s="267"/>
      <c r="M1174" s="267"/>
      <c r="N1174" s="267"/>
      <c r="O1174" s="267"/>
      <c r="P1174" s="267" t="s">
        <v>133</v>
      </c>
      <c r="Q1174" s="256">
        <v>5665000</v>
      </c>
      <c r="R1174" s="267">
        <v>1</v>
      </c>
      <c r="S1174" s="256">
        <v>65147500</v>
      </c>
      <c r="T1174" s="267" t="s">
        <v>57</v>
      </c>
      <c r="U1174" s="267" t="s">
        <v>58</v>
      </c>
      <c r="V1174" s="268">
        <v>43112</v>
      </c>
      <c r="W1174" s="267">
        <v>11.5</v>
      </c>
      <c r="X1174" s="203" t="s">
        <v>134</v>
      </c>
      <c r="Y1174" s="268">
        <v>43102</v>
      </c>
      <c r="Z1174" s="256">
        <v>65147500</v>
      </c>
      <c r="AA1174" s="267"/>
      <c r="AB1174" s="209">
        <v>123</v>
      </c>
      <c r="AC1174" s="268" t="s">
        <v>1513</v>
      </c>
      <c r="AD1174" s="256">
        <v>65147500</v>
      </c>
      <c r="AE1174" s="269">
        <f t="shared" si="117"/>
        <v>0</v>
      </c>
      <c r="AF1174" s="209">
        <v>76</v>
      </c>
      <c r="AG1174" s="270">
        <v>43116</v>
      </c>
      <c r="AH1174" s="256">
        <v>65147500</v>
      </c>
      <c r="AI1174" s="267" t="s">
        <v>3725</v>
      </c>
      <c r="AJ1174" s="271">
        <v>64</v>
      </c>
      <c r="AK1174" s="267"/>
      <c r="AL1174" s="256">
        <v>30968667</v>
      </c>
      <c r="AM1174" s="256">
        <v>34178833</v>
      </c>
      <c r="AN1174" s="267"/>
      <c r="AO1174" s="267"/>
      <c r="AP1174" s="267"/>
      <c r="AQ1174" s="267"/>
      <c r="AR1174" s="267"/>
      <c r="AS1174" s="267"/>
      <c r="AT1174" s="267"/>
      <c r="AU1174" s="267" t="s">
        <v>135</v>
      </c>
    </row>
    <row r="1175" spans="1:47" x14ac:dyDescent="0.2">
      <c r="A1175" s="209">
        <v>21</v>
      </c>
      <c r="B1175" s="209" t="s">
        <v>136</v>
      </c>
      <c r="C1175" s="267" t="s">
        <v>49</v>
      </c>
      <c r="D1175" s="267" t="s">
        <v>50</v>
      </c>
      <c r="E1175" s="267" t="s">
        <v>50</v>
      </c>
      <c r="F1175" s="267" t="s">
        <v>51</v>
      </c>
      <c r="G1175" s="267" t="s">
        <v>52</v>
      </c>
      <c r="H1175" s="267" t="s">
        <v>53</v>
      </c>
      <c r="I1175" s="267" t="s">
        <v>54</v>
      </c>
      <c r="J1175" s="267" t="s">
        <v>55</v>
      </c>
      <c r="K1175" s="267">
        <v>80111600</v>
      </c>
      <c r="L1175" s="267"/>
      <c r="M1175" s="267"/>
      <c r="N1175" s="267"/>
      <c r="O1175" s="267"/>
      <c r="P1175" s="267" t="s">
        <v>137</v>
      </c>
      <c r="Q1175" s="256">
        <v>5253000</v>
      </c>
      <c r="R1175" s="267">
        <v>1</v>
      </c>
      <c r="S1175" s="256">
        <v>60409500</v>
      </c>
      <c r="T1175" s="267" t="s">
        <v>57</v>
      </c>
      <c r="U1175" s="267" t="s">
        <v>58</v>
      </c>
      <c r="V1175" s="268">
        <v>43112</v>
      </c>
      <c r="W1175" s="267">
        <v>11.5</v>
      </c>
      <c r="X1175" s="203" t="s">
        <v>138</v>
      </c>
      <c r="Y1175" s="268">
        <v>43102</v>
      </c>
      <c r="Z1175" s="256">
        <v>60409500</v>
      </c>
      <c r="AA1175" s="267"/>
      <c r="AB1175" s="209">
        <v>122</v>
      </c>
      <c r="AC1175" s="268" t="s">
        <v>1513</v>
      </c>
      <c r="AD1175" s="256">
        <v>60409500</v>
      </c>
      <c r="AE1175" s="269">
        <f t="shared" si="117"/>
        <v>0</v>
      </c>
      <c r="AF1175" s="209">
        <v>150</v>
      </c>
      <c r="AG1175" s="270">
        <v>43117</v>
      </c>
      <c r="AH1175" s="256">
        <v>60409500</v>
      </c>
      <c r="AI1175" s="267" t="s">
        <v>139</v>
      </c>
      <c r="AJ1175" s="271">
        <v>157</v>
      </c>
      <c r="AK1175" s="267"/>
      <c r="AL1175" s="256">
        <v>28541300</v>
      </c>
      <c r="AM1175" s="256">
        <v>31868200</v>
      </c>
      <c r="AN1175" s="267"/>
      <c r="AO1175" s="267"/>
      <c r="AP1175" s="267"/>
      <c r="AQ1175" s="267"/>
      <c r="AR1175" s="267"/>
      <c r="AS1175" s="267"/>
      <c r="AT1175" s="267"/>
      <c r="AU1175" s="267" t="s">
        <v>139</v>
      </c>
    </row>
    <row r="1176" spans="1:47" x14ac:dyDescent="0.2">
      <c r="A1176" s="209">
        <v>22</v>
      </c>
      <c r="B1176" s="209" t="s">
        <v>140</v>
      </c>
      <c r="C1176" s="267" t="s">
        <v>49</v>
      </c>
      <c r="D1176" s="267" t="s">
        <v>50</v>
      </c>
      <c r="E1176" s="267" t="s">
        <v>50</v>
      </c>
      <c r="F1176" s="267" t="s">
        <v>51</v>
      </c>
      <c r="G1176" s="267" t="s">
        <v>52</v>
      </c>
      <c r="H1176" s="267" t="s">
        <v>53</v>
      </c>
      <c r="I1176" s="267" t="s">
        <v>54</v>
      </c>
      <c r="J1176" s="267" t="s">
        <v>55</v>
      </c>
      <c r="K1176" s="267">
        <v>80111600</v>
      </c>
      <c r="L1176" s="267"/>
      <c r="M1176" s="267"/>
      <c r="N1176" s="267"/>
      <c r="O1176" s="267"/>
      <c r="P1176" s="267" t="s">
        <v>141</v>
      </c>
      <c r="Q1176" s="256">
        <v>4532000</v>
      </c>
      <c r="R1176" s="267">
        <v>1</v>
      </c>
      <c r="S1176" s="256">
        <v>52118000</v>
      </c>
      <c r="T1176" s="267" t="s">
        <v>57</v>
      </c>
      <c r="U1176" s="267" t="s">
        <v>58</v>
      </c>
      <c r="V1176" s="268">
        <v>43112</v>
      </c>
      <c r="W1176" s="267">
        <v>11.5</v>
      </c>
      <c r="X1176" s="203" t="s">
        <v>142</v>
      </c>
      <c r="Y1176" s="268">
        <v>43102</v>
      </c>
      <c r="Z1176" s="256">
        <v>52118000</v>
      </c>
      <c r="AA1176" s="267"/>
      <c r="AB1176" s="209">
        <v>121</v>
      </c>
      <c r="AC1176" s="268" t="s">
        <v>1513</v>
      </c>
      <c r="AD1176" s="256">
        <v>52118000</v>
      </c>
      <c r="AE1176" s="269">
        <f t="shared" si="117"/>
        <v>0</v>
      </c>
      <c r="AF1176" s="209">
        <v>69</v>
      </c>
      <c r="AG1176" s="270">
        <v>43116</v>
      </c>
      <c r="AH1176" s="256">
        <v>52118000</v>
      </c>
      <c r="AI1176" s="267" t="s">
        <v>143</v>
      </c>
      <c r="AJ1176" s="271">
        <v>63</v>
      </c>
      <c r="AK1176" s="267"/>
      <c r="AL1176" s="256">
        <v>24774933</v>
      </c>
      <c r="AM1176" s="256">
        <v>27343067</v>
      </c>
      <c r="AN1176" s="267"/>
      <c r="AO1176" s="267"/>
      <c r="AP1176" s="267"/>
      <c r="AQ1176" s="267"/>
      <c r="AR1176" s="267"/>
      <c r="AS1176" s="267"/>
      <c r="AT1176" s="267"/>
      <c r="AU1176" s="267" t="s">
        <v>143</v>
      </c>
    </row>
    <row r="1177" spans="1:47" x14ac:dyDescent="0.2">
      <c r="A1177" s="209">
        <v>23</v>
      </c>
      <c r="B1177" s="209" t="s">
        <v>144</v>
      </c>
      <c r="C1177" s="267" t="s">
        <v>49</v>
      </c>
      <c r="D1177" s="267" t="s">
        <v>50</v>
      </c>
      <c r="E1177" s="267" t="s">
        <v>50</v>
      </c>
      <c r="F1177" s="267" t="s">
        <v>51</v>
      </c>
      <c r="G1177" s="267" t="s">
        <v>52</v>
      </c>
      <c r="H1177" s="267" t="s">
        <v>53</v>
      </c>
      <c r="I1177" s="267" t="s">
        <v>54</v>
      </c>
      <c r="J1177" s="267" t="s">
        <v>55</v>
      </c>
      <c r="K1177" s="267">
        <v>80111600</v>
      </c>
      <c r="L1177" s="267"/>
      <c r="M1177" s="267"/>
      <c r="N1177" s="267"/>
      <c r="O1177" s="267"/>
      <c r="P1177" s="267" t="s">
        <v>3726</v>
      </c>
      <c r="Q1177" s="256">
        <v>3399000</v>
      </c>
      <c r="R1177" s="267">
        <v>1</v>
      </c>
      <c r="S1177" s="256"/>
      <c r="T1177" s="267" t="s">
        <v>57</v>
      </c>
      <c r="U1177" s="267" t="s">
        <v>58</v>
      </c>
      <c r="V1177" s="268">
        <v>43112</v>
      </c>
      <c r="W1177" s="267">
        <v>1.0862165342747867</v>
      </c>
      <c r="X1177" s="203" t="s">
        <v>3727</v>
      </c>
      <c r="Y1177" s="268">
        <v>43102</v>
      </c>
      <c r="Z1177" s="256"/>
      <c r="AA1177" s="267"/>
      <c r="AB1177" s="209"/>
      <c r="AC1177" s="268"/>
      <c r="AD1177" s="256"/>
      <c r="AE1177" s="269">
        <f t="shared" si="117"/>
        <v>0</v>
      </c>
      <c r="AF1177" s="209"/>
      <c r="AG1177" s="270"/>
      <c r="AH1177" s="256"/>
      <c r="AI1177" s="267"/>
      <c r="AJ1177" s="271"/>
      <c r="AK1177" s="267"/>
      <c r="AL1177" s="256"/>
      <c r="AM1177" s="256"/>
      <c r="AN1177" s="267"/>
      <c r="AO1177" s="267"/>
      <c r="AP1177" s="267"/>
      <c r="AQ1177" s="267"/>
      <c r="AR1177" s="267"/>
      <c r="AS1177" s="267"/>
      <c r="AT1177" s="267"/>
      <c r="AU1177" s="267" t="s">
        <v>147</v>
      </c>
    </row>
    <row r="1178" spans="1:47" x14ac:dyDescent="0.2">
      <c r="A1178" s="209">
        <v>23</v>
      </c>
      <c r="B1178" s="209" t="s">
        <v>144</v>
      </c>
      <c r="C1178" s="267" t="s">
        <v>49</v>
      </c>
      <c r="D1178" s="267" t="s">
        <v>50</v>
      </c>
      <c r="E1178" s="267" t="s">
        <v>50</v>
      </c>
      <c r="F1178" s="267" t="s">
        <v>51</v>
      </c>
      <c r="G1178" s="267" t="s">
        <v>52</v>
      </c>
      <c r="H1178" s="267" t="s">
        <v>53</v>
      </c>
      <c r="I1178" s="267" t="s">
        <v>54</v>
      </c>
      <c r="J1178" s="267" t="s">
        <v>55</v>
      </c>
      <c r="K1178" s="267">
        <v>80111600</v>
      </c>
      <c r="L1178" s="267"/>
      <c r="M1178" s="267"/>
      <c r="N1178" s="267"/>
      <c r="O1178" s="267"/>
      <c r="P1178" s="267" t="s">
        <v>145</v>
      </c>
      <c r="Q1178" s="256">
        <v>14280000</v>
      </c>
      <c r="R1178" s="267">
        <v>6</v>
      </c>
      <c r="S1178" s="256">
        <v>85680000</v>
      </c>
      <c r="T1178" s="267" t="s">
        <v>57</v>
      </c>
      <c r="U1178" s="267" t="s">
        <v>58</v>
      </c>
      <c r="V1178" s="267">
        <v>43279</v>
      </c>
      <c r="W1178" s="267">
        <v>6</v>
      </c>
      <c r="X1178" s="201" t="s">
        <v>3728</v>
      </c>
      <c r="Y1178" s="267">
        <v>43279</v>
      </c>
      <c r="Z1178" s="267">
        <v>85680000</v>
      </c>
      <c r="AA1178" s="267"/>
      <c r="AB1178" s="204">
        <v>930</v>
      </c>
      <c r="AC1178" s="272">
        <v>43279</v>
      </c>
      <c r="AD1178" s="256">
        <v>85680000</v>
      </c>
      <c r="AE1178" s="269">
        <f t="shared" si="117"/>
        <v>0</v>
      </c>
      <c r="AF1178" s="209">
        <v>2427</v>
      </c>
      <c r="AG1178" s="267">
        <v>43285</v>
      </c>
      <c r="AH1178" s="267">
        <v>85680000</v>
      </c>
      <c r="AI1178" s="267" t="s">
        <v>3729</v>
      </c>
      <c r="AJ1178" s="271"/>
      <c r="AK1178" s="267"/>
      <c r="AL1178" s="256">
        <v>0</v>
      </c>
      <c r="AM1178" s="256">
        <v>85680000</v>
      </c>
      <c r="AN1178" s="267"/>
      <c r="AO1178" s="267"/>
      <c r="AP1178" s="267" t="s">
        <v>110</v>
      </c>
      <c r="AQ1178" s="267">
        <v>43279</v>
      </c>
      <c r="AR1178" s="267" t="s">
        <v>146</v>
      </c>
      <c r="AS1178" s="267">
        <v>43279</v>
      </c>
      <c r="AT1178" s="267" t="s">
        <v>60</v>
      </c>
      <c r="AU1178" s="267" t="s">
        <v>147</v>
      </c>
    </row>
    <row r="1179" spans="1:47" x14ac:dyDescent="0.2">
      <c r="A1179" s="209">
        <v>24</v>
      </c>
      <c r="B1179" s="209" t="s">
        <v>148</v>
      </c>
      <c r="C1179" s="267" t="s">
        <v>49</v>
      </c>
      <c r="D1179" s="267" t="s">
        <v>50</v>
      </c>
      <c r="E1179" s="267" t="s">
        <v>50</v>
      </c>
      <c r="F1179" s="267" t="s">
        <v>51</v>
      </c>
      <c r="G1179" s="267" t="s">
        <v>52</v>
      </c>
      <c r="H1179" s="267" t="s">
        <v>53</v>
      </c>
      <c r="I1179" s="267" t="s">
        <v>54</v>
      </c>
      <c r="J1179" s="267" t="s">
        <v>55</v>
      </c>
      <c r="K1179" s="267">
        <v>80111600</v>
      </c>
      <c r="L1179" s="267"/>
      <c r="M1179" s="267"/>
      <c r="N1179" s="267"/>
      <c r="O1179" s="267"/>
      <c r="P1179" s="267" t="s">
        <v>149</v>
      </c>
      <c r="Q1179" s="256">
        <v>5253000</v>
      </c>
      <c r="R1179" s="267">
        <v>1</v>
      </c>
      <c r="S1179" s="256">
        <v>60409500</v>
      </c>
      <c r="T1179" s="267" t="s">
        <v>57</v>
      </c>
      <c r="U1179" s="267" t="s">
        <v>58</v>
      </c>
      <c r="V1179" s="268">
        <v>43112</v>
      </c>
      <c r="W1179" s="267">
        <v>11.5</v>
      </c>
      <c r="X1179" s="203" t="s">
        <v>150</v>
      </c>
      <c r="Y1179" s="268">
        <v>43102</v>
      </c>
      <c r="Z1179" s="256">
        <v>60409500</v>
      </c>
      <c r="AA1179" s="267"/>
      <c r="AB1179" s="209">
        <v>120</v>
      </c>
      <c r="AC1179" s="268" t="s">
        <v>1513</v>
      </c>
      <c r="AD1179" s="256">
        <v>60409500</v>
      </c>
      <c r="AE1179" s="269">
        <f t="shared" si="117"/>
        <v>0</v>
      </c>
      <c r="AF1179" s="209">
        <v>225</v>
      </c>
      <c r="AG1179" s="270">
        <v>43118</v>
      </c>
      <c r="AH1179" s="256">
        <v>60409500</v>
      </c>
      <c r="AI1179" s="267" t="s">
        <v>151</v>
      </c>
      <c r="AJ1179" s="271">
        <v>197</v>
      </c>
      <c r="AK1179" s="267"/>
      <c r="AL1179" s="256">
        <v>28366200</v>
      </c>
      <c r="AM1179" s="256">
        <v>32043300</v>
      </c>
      <c r="AN1179" s="267"/>
      <c r="AO1179" s="267"/>
      <c r="AP1179" s="267"/>
      <c r="AQ1179" s="267"/>
      <c r="AR1179" s="267"/>
      <c r="AS1179" s="267"/>
      <c r="AT1179" s="267"/>
      <c r="AU1179" s="267" t="s">
        <v>151</v>
      </c>
    </row>
    <row r="1180" spans="1:47" x14ac:dyDescent="0.2">
      <c r="A1180" s="209">
        <v>25</v>
      </c>
      <c r="B1180" s="209" t="s">
        <v>152</v>
      </c>
      <c r="C1180" s="267" t="s">
        <v>49</v>
      </c>
      <c r="D1180" s="267" t="s">
        <v>50</v>
      </c>
      <c r="E1180" s="267" t="s">
        <v>50</v>
      </c>
      <c r="F1180" s="267" t="s">
        <v>51</v>
      </c>
      <c r="G1180" s="267" t="s">
        <v>153</v>
      </c>
      <c r="H1180" s="267" t="s">
        <v>153</v>
      </c>
      <c r="I1180" s="267" t="s">
        <v>54</v>
      </c>
      <c r="J1180" s="267" t="s">
        <v>55</v>
      </c>
      <c r="K1180" s="267">
        <v>80111600</v>
      </c>
      <c r="L1180" s="267"/>
      <c r="M1180" s="267"/>
      <c r="N1180" s="267"/>
      <c r="O1180" s="267"/>
      <c r="P1180" s="267" t="s">
        <v>154</v>
      </c>
      <c r="Q1180" s="256">
        <v>3326900</v>
      </c>
      <c r="R1180" s="267">
        <v>1</v>
      </c>
      <c r="S1180" s="256">
        <v>38259350</v>
      </c>
      <c r="T1180" s="267"/>
      <c r="U1180" s="267" t="s">
        <v>58</v>
      </c>
      <c r="V1180" s="268">
        <v>43112</v>
      </c>
      <c r="W1180" s="267">
        <v>11.5</v>
      </c>
      <c r="X1180" s="203" t="s">
        <v>155</v>
      </c>
      <c r="Y1180" s="268">
        <v>43102</v>
      </c>
      <c r="Z1180" s="256">
        <v>38259350</v>
      </c>
      <c r="AA1180" s="267"/>
      <c r="AB1180" s="209">
        <v>119</v>
      </c>
      <c r="AC1180" s="268" t="s">
        <v>1513</v>
      </c>
      <c r="AD1180" s="256">
        <v>38259350</v>
      </c>
      <c r="AE1180" s="269">
        <f t="shared" si="117"/>
        <v>0</v>
      </c>
      <c r="AF1180" s="209">
        <v>103</v>
      </c>
      <c r="AG1180" s="270">
        <v>43116</v>
      </c>
      <c r="AH1180" s="256">
        <v>38259350</v>
      </c>
      <c r="AI1180" s="267" t="s">
        <v>156</v>
      </c>
      <c r="AJ1180" s="271">
        <v>91</v>
      </c>
      <c r="AK1180" s="267"/>
      <c r="AL1180" s="256">
        <v>18297950</v>
      </c>
      <c r="AM1180" s="256">
        <v>19961400</v>
      </c>
      <c r="AN1180" s="267"/>
      <c r="AO1180" s="267"/>
      <c r="AP1180" s="267"/>
      <c r="AQ1180" s="267"/>
      <c r="AR1180" s="267"/>
      <c r="AS1180" s="267"/>
      <c r="AT1180" s="267"/>
      <c r="AU1180" s="267" t="s">
        <v>156</v>
      </c>
    </row>
    <row r="1181" spans="1:47" x14ac:dyDescent="0.2">
      <c r="A1181" s="209">
        <v>26</v>
      </c>
      <c r="B1181" s="209" t="s">
        <v>157</v>
      </c>
      <c r="C1181" s="267" t="s">
        <v>49</v>
      </c>
      <c r="D1181" s="267" t="s">
        <v>50</v>
      </c>
      <c r="E1181" s="267" t="s">
        <v>50</v>
      </c>
      <c r="F1181" s="267" t="s">
        <v>51</v>
      </c>
      <c r="G1181" s="267" t="s">
        <v>153</v>
      </c>
      <c r="H1181" s="267" t="s">
        <v>153</v>
      </c>
      <c r="I1181" s="267" t="s">
        <v>54</v>
      </c>
      <c r="J1181" s="267" t="s">
        <v>55</v>
      </c>
      <c r="K1181" s="267">
        <v>80111600</v>
      </c>
      <c r="L1181" s="267"/>
      <c r="M1181" s="267"/>
      <c r="N1181" s="267"/>
      <c r="O1181" s="267"/>
      <c r="P1181" s="267" t="s">
        <v>158</v>
      </c>
      <c r="Q1181" s="256">
        <v>2472000</v>
      </c>
      <c r="R1181" s="267">
        <v>1</v>
      </c>
      <c r="S1181" s="256">
        <v>28428000</v>
      </c>
      <c r="T1181" s="267"/>
      <c r="U1181" s="267" t="s">
        <v>58</v>
      </c>
      <c r="V1181" s="268">
        <v>43105</v>
      </c>
      <c r="W1181" s="267">
        <v>11.5</v>
      </c>
      <c r="X1181" s="203" t="s">
        <v>159</v>
      </c>
      <c r="Y1181" s="268">
        <v>43102</v>
      </c>
      <c r="Z1181" s="256">
        <v>28428000</v>
      </c>
      <c r="AA1181" s="267"/>
      <c r="AB1181" s="209">
        <v>150</v>
      </c>
      <c r="AC1181" s="268" t="s">
        <v>1527</v>
      </c>
      <c r="AD1181" s="256">
        <v>28428000</v>
      </c>
      <c r="AE1181" s="269">
        <f t="shared" si="117"/>
        <v>0</v>
      </c>
      <c r="AF1181" s="209">
        <v>433</v>
      </c>
      <c r="AG1181" s="270">
        <v>43124</v>
      </c>
      <c r="AH1181" s="256">
        <v>28428000</v>
      </c>
      <c r="AI1181" s="267" t="s">
        <v>3730</v>
      </c>
      <c r="AJ1181" s="271">
        <v>374</v>
      </c>
      <c r="AK1181" s="267"/>
      <c r="AL1181" s="256">
        <v>12854400</v>
      </c>
      <c r="AM1181" s="256">
        <v>15573600</v>
      </c>
      <c r="AN1181" s="267"/>
      <c r="AO1181" s="267"/>
      <c r="AP1181" s="267"/>
      <c r="AQ1181" s="267"/>
      <c r="AR1181" s="267"/>
      <c r="AS1181" s="267"/>
      <c r="AT1181" s="267"/>
      <c r="AU1181" s="267" t="s">
        <v>160</v>
      </c>
    </row>
    <row r="1182" spans="1:47" x14ac:dyDescent="0.2">
      <c r="A1182" s="209">
        <v>27</v>
      </c>
      <c r="B1182" s="209" t="s">
        <v>161</v>
      </c>
      <c r="C1182" s="267" t="s">
        <v>49</v>
      </c>
      <c r="D1182" s="267" t="s">
        <v>50</v>
      </c>
      <c r="E1182" s="267" t="s">
        <v>50</v>
      </c>
      <c r="F1182" s="267" t="s">
        <v>51</v>
      </c>
      <c r="G1182" s="267" t="s">
        <v>153</v>
      </c>
      <c r="H1182" s="267" t="s">
        <v>153</v>
      </c>
      <c r="I1182" s="267" t="s">
        <v>54</v>
      </c>
      <c r="J1182" s="267" t="s">
        <v>55</v>
      </c>
      <c r="K1182" s="267">
        <v>80111600</v>
      </c>
      <c r="L1182" s="267"/>
      <c r="M1182" s="267"/>
      <c r="N1182" s="267"/>
      <c r="O1182" s="267"/>
      <c r="P1182" s="267" t="s">
        <v>162</v>
      </c>
      <c r="Q1182" s="256">
        <v>1545000</v>
      </c>
      <c r="R1182" s="267">
        <v>1</v>
      </c>
      <c r="S1182" s="256">
        <v>17767500</v>
      </c>
      <c r="T1182" s="267"/>
      <c r="U1182" s="267" t="s">
        <v>58</v>
      </c>
      <c r="V1182" s="268">
        <v>43105</v>
      </c>
      <c r="W1182" s="267">
        <v>11.5</v>
      </c>
      <c r="X1182" s="203" t="s">
        <v>163</v>
      </c>
      <c r="Y1182" s="268">
        <v>43102</v>
      </c>
      <c r="Z1182" s="256">
        <v>17767500</v>
      </c>
      <c r="AA1182" s="267"/>
      <c r="AB1182" s="209">
        <v>149</v>
      </c>
      <c r="AC1182" s="268" t="s">
        <v>1527</v>
      </c>
      <c r="AD1182" s="256">
        <v>17767500</v>
      </c>
      <c r="AE1182" s="269">
        <f t="shared" si="117"/>
        <v>0</v>
      </c>
      <c r="AF1182" s="209">
        <v>432</v>
      </c>
      <c r="AG1182" s="270">
        <v>43124</v>
      </c>
      <c r="AH1182" s="256">
        <v>17767500</v>
      </c>
      <c r="AI1182" s="267" t="s">
        <v>3731</v>
      </c>
      <c r="AJ1182" s="271">
        <v>373</v>
      </c>
      <c r="AK1182" s="267"/>
      <c r="AL1182" s="256">
        <v>8034000</v>
      </c>
      <c r="AM1182" s="256">
        <v>9733500</v>
      </c>
      <c r="AN1182" s="267"/>
      <c r="AO1182" s="267"/>
      <c r="AP1182" s="267"/>
      <c r="AQ1182" s="267"/>
      <c r="AR1182" s="267"/>
      <c r="AS1182" s="267"/>
      <c r="AT1182" s="267"/>
      <c r="AU1182" s="267" t="s">
        <v>164</v>
      </c>
    </row>
    <row r="1183" spans="1:47" x14ac:dyDescent="0.2">
      <c r="A1183" s="209">
        <v>28</v>
      </c>
      <c r="B1183" s="209" t="s">
        <v>165</v>
      </c>
      <c r="C1183" s="267" t="s">
        <v>49</v>
      </c>
      <c r="D1183" s="267" t="s">
        <v>50</v>
      </c>
      <c r="E1183" s="267" t="s">
        <v>50</v>
      </c>
      <c r="F1183" s="267" t="s">
        <v>51</v>
      </c>
      <c r="G1183" s="267" t="s">
        <v>153</v>
      </c>
      <c r="H1183" s="267" t="s">
        <v>153</v>
      </c>
      <c r="I1183" s="267" t="s">
        <v>54</v>
      </c>
      <c r="J1183" s="267" t="s">
        <v>55</v>
      </c>
      <c r="K1183" s="267">
        <v>80111600</v>
      </c>
      <c r="L1183" s="267"/>
      <c r="M1183" s="267"/>
      <c r="N1183" s="267"/>
      <c r="O1183" s="267"/>
      <c r="P1183" s="267" t="s">
        <v>166</v>
      </c>
      <c r="Q1183" s="256">
        <v>2472000</v>
      </c>
      <c r="R1183" s="267">
        <v>1</v>
      </c>
      <c r="S1183" s="256">
        <v>28428000</v>
      </c>
      <c r="T1183" s="267"/>
      <c r="U1183" s="267" t="s">
        <v>58</v>
      </c>
      <c r="V1183" s="268">
        <v>43105</v>
      </c>
      <c r="W1183" s="267">
        <v>11.5</v>
      </c>
      <c r="X1183" s="203" t="s">
        <v>167</v>
      </c>
      <c r="Y1183" s="268">
        <v>43102</v>
      </c>
      <c r="Z1183" s="256">
        <v>28428000</v>
      </c>
      <c r="AA1183" s="267"/>
      <c r="AB1183" s="209">
        <v>148</v>
      </c>
      <c r="AC1183" s="268" t="s">
        <v>1527</v>
      </c>
      <c r="AD1183" s="256">
        <v>28428000</v>
      </c>
      <c r="AE1183" s="269">
        <f t="shared" si="117"/>
        <v>0</v>
      </c>
      <c r="AF1183" s="209">
        <v>118</v>
      </c>
      <c r="AG1183" s="270">
        <v>43117</v>
      </c>
      <c r="AH1183" s="256">
        <v>28428000</v>
      </c>
      <c r="AI1183" s="267" t="s">
        <v>168</v>
      </c>
      <c r="AJ1183" s="271">
        <v>97</v>
      </c>
      <c r="AK1183" s="267"/>
      <c r="AL1183" s="256">
        <v>13431200</v>
      </c>
      <c r="AM1183" s="256">
        <v>14996800</v>
      </c>
      <c r="AN1183" s="267"/>
      <c r="AO1183" s="267"/>
      <c r="AP1183" s="267"/>
      <c r="AQ1183" s="267"/>
      <c r="AR1183" s="267"/>
      <c r="AS1183" s="267"/>
      <c r="AT1183" s="267"/>
      <c r="AU1183" s="267" t="s">
        <v>168</v>
      </c>
    </row>
    <row r="1184" spans="1:47" x14ac:dyDescent="0.2">
      <c r="A1184" s="209">
        <v>29</v>
      </c>
      <c r="B1184" s="209" t="s">
        <v>169</v>
      </c>
      <c r="C1184" s="267" t="s">
        <v>49</v>
      </c>
      <c r="D1184" s="267" t="s">
        <v>50</v>
      </c>
      <c r="E1184" s="267" t="s">
        <v>50</v>
      </c>
      <c r="F1184" s="267" t="s">
        <v>51</v>
      </c>
      <c r="G1184" s="267" t="s">
        <v>153</v>
      </c>
      <c r="H1184" s="267" t="s">
        <v>153</v>
      </c>
      <c r="I1184" s="267" t="s">
        <v>54</v>
      </c>
      <c r="J1184" s="267" t="s">
        <v>55</v>
      </c>
      <c r="K1184" s="267">
        <v>80111600</v>
      </c>
      <c r="L1184" s="267"/>
      <c r="M1184" s="267"/>
      <c r="N1184" s="267"/>
      <c r="O1184" s="267"/>
      <c r="P1184" s="267" t="s">
        <v>170</v>
      </c>
      <c r="Q1184" s="256">
        <v>1545000</v>
      </c>
      <c r="R1184" s="267">
        <v>1</v>
      </c>
      <c r="S1184" s="256">
        <v>17767500</v>
      </c>
      <c r="T1184" s="267"/>
      <c r="U1184" s="267" t="s">
        <v>58</v>
      </c>
      <c r="V1184" s="268">
        <v>43105</v>
      </c>
      <c r="W1184" s="267">
        <v>11.5</v>
      </c>
      <c r="X1184" s="203" t="s">
        <v>171</v>
      </c>
      <c r="Y1184" s="268">
        <v>43102</v>
      </c>
      <c r="Z1184" s="256">
        <v>17767500</v>
      </c>
      <c r="AA1184" s="267"/>
      <c r="AB1184" s="209">
        <v>147</v>
      </c>
      <c r="AC1184" s="268" t="s">
        <v>1527</v>
      </c>
      <c r="AD1184" s="256">
        <v>17767500</v>
      </c>
      <c r="AE1184" s="269">
        <f t="shared" si="117"/>
        <v>0</v>
      </c>
      <c r="AF1184" s="209">
        <v>442</v>
      </c>
      <c r="AG1184" s="270">
        <v>43125</v>
      </c>
      <c r="AH1184" s="256">
        <v>17767500</v>
      </c>
      <c r="AI1184" s="267" t="s">
        <v>3732</v>
      </c>
      <c r="AJ1184" s="271">
        <v>377</v>
      </c>
      <c r="AK1184" s="267"/>
      <c r="AL1184" s="256">
        <v>8034000</v>
      </c>
      <c r="AM1184" s="256">
        <v>9733500</v>
      </c>
      <c r="AN1184" s="267"/>
      <c r="AO1184" s="267"/>
      <c r="AP1184" s="267"/>
      <c r="AQ1184" s="267"/>
      <c r="AR1184" s="267"/>
      <c r="AS1184" s="267"/>
      <c r="AT1184" s="267"/>
      <c r="AU1184" s="267" t="s">
        <v>172</v>
      </c>
    </row>
    <row r="1185" spans="1:47" x14ac:dyDescent="0.2">
      <c r="A1185" s="209">
        <v>30</v>
      </c>
      <c r="B1185" s="209" t="s">
        <v>173</v>
      </c>
      <c r="C1185" s="267" t="s">
        <v>49</v>
      </c>
      <c r="D1185" s="267" t="s">
        <v>50</v>
      </c>
      <c r="E1185" s="267" t="s">
        <v>50</v>
      </c>
      <c r="F1185" s="267" t="s">
        <v>51</v>
      </c>
      <c r="G1185" s="267" t="s">
        <v>153</v>
      </c>
      <c r="H1185" s="267" t="s">
        <v>153</v>
      </c>
      <c r="I1185" s="267" t="s">
        <v>54</v>
      </c>
      <c r="J1185" s="267" t="s">
        <v>55</v>
      </c>
      <c r="K1185" s="267">
        <v>80111600</v>
      </c>
      <c r="L1185" s="267"/>
      <c r="M1185" s="267"/>
      <c r="N1185" s="267"/>
      <c r="O1185" s="267"/>
      <c r="P1185" s="267" t="s">
        <v>174</v>
      </c>
      <c r="Q1185" s="256">
        <v>3038500</v>
      </c>
      <c r="R1185" s="267">
        <v>1</v>
      </c>
      <c r="S1185" s="256">
        <v>34942750</v>
      </c>
      <c r="T1185" s="267"/>
      <c r="U1185" s="267" t="s">
        <v>58</v>
      </c>
      <c r="V1185" s="268">
        <v>43112</v>
      </c>
      <c r="W1185" s="267">
        <v>11.5</v>
      </c>
      <c r="X1185" s="203" t="s">
        <v>175</v>
      </c>
      <c r="Y1185" s="268">
        <v>43102</v>
      </c>
      <c r="Z1185" s="256">
        <v>34942750</v>
      </c>
      <c r="AA1185" s="267"/>
      <c r="AB1185" s="209">
        <v>118</v>
      </c>
      <c r="AC1185" s="268" t="s">
        <v>1513</v>
      </c>
      <c r="AD1185" s="256">
        <v>34942750</v>
      </c>
      <c r="AE1185" s="269">
        <f t="shared" si="117"/>
        <v>0</v>
      </c>
      <c r="AF1185" s="209">
        <v>73</v>
      </c>
      <c r="AG1185" s="270">
        <v>43116</v>
      </c>
      <c r="AH1185" s="256">
        <v>34942750</v>
      </c>
      <c r="AI1185" s="267" t="s">
        <v>176</v>
      </c>
      <c r="AJ1185" s="271">
        <v>59</v>
      </c>
      <c r="AK1185" s="267"/>
      <c r="AL1185" s="256">
        <v>16610467</v>
      </c>
      <c r="AM1185" s="256">
        <v>18332283</v>
      </c>
      <c r="AN1185" s="267"/>
      <c r="AO1185" s="267"/>
      <c r="AP1185" s="267"/>
      <c r="AQ1185" s="267"/>
      <c r="AR1185" s="267"/>
      <c r="AS1185" s="267"/>
      <c r="AT1185" s="267"/>
      <c r="AU1185" s="267" t="s">
        <v>176</v>
      </c>
    </row>
    <row r="1186" spans="1:47" x14ac:dyDescent="0.2">
      <c r="A1186" s="209">
        <v>31</v>
      </c>
      <c r="B1186" s="209" t="s">
        <v>177</v>
      </c>
      <c r="C1186" s="267" t="s">
        <v>49</v>
      </c>
      <c r="D1186" s="267" t="s">
        <v>50</v>
      </c>
      <c r="E1186" s="267" t="s">
        <v>50</v>
      </c>
      <c r="F1186" s="267" t="s">
        <v>51</v>
      </c>
      <c r="G1186" s="267" t="s">
        <v>153</v>
      </c>
      <c r="H1186" s="267" t="s">
        <v>153</v>
      </c>
      <c r="I1186" s="267" t="s">
        <v>54</v>
      </c>
      <c r="J1186" s="267" t="s">
        <v>55</v>
      </c>
      <c r="K1186" s="267">
        <v>80111600</v>
      </c>
      <c r="L1186" s="267"/>
      <c r="M1186" s="267"/>
      <c r="N1186" s="267"/>
      <c r="O1186" s="267"/>
      <c r="P1186" s="267" t="s">
        <v>174</v>
      </c>
      <c r="Q1186" s="256">
        <v>3326900</v>
      </c>
      <c r="R1186" s="267">
        <v>1</v>
      </c>
      <c r="S1186" s="256">
        <v>20183193</v>
      </c>
      <c r="T1186" s="267"/>
      <c r="U1186" s="267" t="s">
        <v>58</v>
      </c>
      <c r="V1186" s="268">
        <v>43112</v>
      </c>
      <c r="W1186" s="267">
        <v>11.5</v>
      </c>
      <c r="X1186" s="203" t="s">
        <v>178</v>
      </c>
      <c r="Y1186" s="268">
        <v>43102</v>
      </c>
      <c r="Z1186" s="256">
        <v>38259350</v>
      </c>
      <c r="AA1186" s="267"/>
      <c r="AB1186" s="209">
        <v>117</v>
      </c>
      <c r="AC1186" s="268" t="s">
        <v>1513</v>
      </c>
      <c r="AD1186" s="256">
        <v>19961400</v>
      </c>
      <c r="AE1186" s="269">
        <f t="shared" si="117"/>
        <v>221793</v>
      </c>
      <c r="AF1186" s="209">
        <v>203</v>
      </c>
      <c r="AG1186" s="270">
        <v>43118</v>
      </c>
      <c r="AH1186" s="256">
        <v>19961400</v>
      </c>
      <c r="AI1186" s="267" t="s">
        <v>179</v>
      </c>
      <c r="AJ1186" s="271">
        <v>113</v>
      </c>
      <c r="AK1186" s="267"/>
      <c r="AL1186" s="256">
        <v>18076157</v>
      </c>
      <c r="AM1186" s="256">
        <v>1885243</v>
      </c>
      <c r="AN1186" s="267"/>
      <c r="AO1186" s="267"/>
      <c r="AP1186" s="267"/>
      <c r="AQ1186" s="267"/>
      <c r="AR1186" s="267"/>
      <c r="AS1186" s="267"/>
      <c r="AT1186" s="267"/>
      <c r="AU1186" s="267" t="s">
        <v>179</v>
      </c>
    </row>
    <row r="1187" spans="1:47" x14ac:dyDescent="0.2">
      <c r="A1187" s="209">
        <v>32</v>
      </c>
      <c r="B1187" s="209" t="s">
        <v>180</v>
      </c>
      <c r="C1187" s="267" t="s">
        <v>49</v>
      </c>
      <c r="D1187" s="267" t="s">
        <v>50</v>
      </c>
      <c r="E1187" s="267" t="s">
        <v>50</v>
      </c>
      <c r="F1187" s="267" t="s">
        <v>51</v>
      </c>
      <c r="G1187" s="267" t="s">
        <v>153</v>
      </c>
      <c r="H1187" s="267" t="s">
        <v>153</v>
      </c>
      <c r="I1187" s="267" t="s">
        <v>54</v>
      </c>
      <c r="J1187" s="267" t="s">
        <v>55</v>
      </c>
      <c r="K1187" s="267">
        <v>80111600</v>
      </c>
      <c r="L1187" s="267"/>
      <c r="M1187" s="267"/>
      <c r="N1187" s="267"/>
      <c r="O1187" s="267"/>
      <c r="P1187" s="267" t="s">
        <v>181</v>
      </c>
      <c r="Q1187" s="256">
        <v>3258600</v>
      </c>
      <c r="R1187" s="267">
        <v>1</v>
      </c>
      <c r="S1187" s="256">
        <v>3258600</v>
      </c>
      <c r="T1187" s="267"/>
      <c r="U1187" s="267" t="s">
        <v>58</v>
      </c>
      <c r="V1187" s="268">
        <v>43112</v>
      </c>
      <c r="W1187" s="267">
        <v>4.5</v>
      </c>
      <c r="X1187" s="203" t="s">
        <v>182</v>
      </c>
      <c r="Y1187" s="268"/>
      <c r="Z1187" s="256"/>
      <c r="AA1187" s="267" t="s">
        <v>183</v>
      </c>
      <c r="AB1187" s="209"/>
      <c r="AC1187" s="268"/>
      <c r="AD1187" s="256"/>
      <c r="AE1187" s="269">
        <f t="shared" si="117"/>
        <v>3258600</v>
      </c>
      <c r="AF1187" s="209"/>
      <c r="AG1187" s="270"/>
      <c r="AH1187" s="256"/>
      <c r="AI1187" s="267"/>
      <c r="AJ1187" s="271"/>
      <c r="AK1187" s="267"/>
      <c r="AL1187" s="256"/>
      <c r="AM1187" s="256"/>
      <c r="AN1187" s="267"/>
      <c r="AO1187" s="267"/>
      <c r="AP1187" s="267" t="s">
        <v>184</v>
      </c>
      <c r="AQ1187" s="267">
        <v>43244</v>
      </c>
      <c r="AR1187" s="267" t="s">
        <v>185</v>
      </c>
      <c r="AS1187" s="267">
        <v>43244</v>
      </c>
      <c r="AT1187" s="267" t="s">
        <v>186</v>
      </c>
      <c r="AU1187" s="267" t="s">
        <v>131</v>
      </c>
    </row>
    <row r="1188" spans="1:47" x14ac:dyDescent="0.2">
      <c r="A1188" s="209">
        <v>33</v>
      </c>
      <c r="B1188" s="209" t="s">
        <v>187</v>
      </c>
      <c r="C1188" s="267" t="s">
        <v>49</v>
      </c>
      <c r="D1188" s="267" t="s">
        <v>50</v>
      </c>
      <c r="E1188" s="267" t="s">
        <v>50</v>
      </c>
      <c r="F1188" s="267" t="s">
        <v>51</v>
      </c>
      <c r="G1188" s="267" t="s">
        <v>153</v>
      </c>
      <c r="H1188" s="267" t="s">
        <v>153</v>
      </c>
      <c r="I1188" s="267" t="s">
        <v>54</v>
      </c>
      <c r="J1188" s="267" t="s">
        <v>55</v>
      </c>
      <c r="K1188" s="267">
        <v>80111600</v>
      </c>
      <c r="L1188" s="267"/>
      <c r="M1188" s="267"/>
      <c r="N1188" s="267"/>
      <c r="O1188" s="267"/>
      <c r="P1188" s="267" t="s">
        <v>188</v>
      </c>
      <c r="Q1188" s="256">
        <v>3038500</v>
      </c>
      <c r="R1188" s="267">
        <v>1</v>
      </c>
      <c r="S1188" s="256">
        <v>34942750</v>
      </c>
      <c r="T1188" s="267"/>
      <c r="U1188" s="267" t="s">
        <v>58</v>
      </c>
      <c r="V1188" s="268">
        <v>43112</v>
      </c>
      <c r="W1188" s="267">
        <v>11.5</v>
      </c>
      <c r="X1188" s="203" t="s">
        <v>189</v>
      </c>
      <c r="Y1188" s="268">
        <v>43102</v>
      </c>
      <c r="Z1188" s="256">
        <v>34942750</v>
      </c>
      <c r="AA1188" s="267"/>
      <c r="AB1188" s="209">
        <v>116</v>
      </c>
      <c r="AC1188" s="268" t="s">
        <v>1513</v>
      </c>
      <c r="AD1188" s="256">
        <v>34942750</v>
      </c>
      <c r="AE1188" s="269">
        <f t="shared" si="117"/>
        <v>0</v>
      </c>
      <c r="AF1188" s="209">
        <v>68</v>
      </c>
      <c r="AG1188" s="270">
        <v>43116</v>
      </c>
      <c r="AH1188" s="256">
        <v>34942750</v>
      </c>
      <c r="AI1188" s="267" t="s">
        <v>190</v>
      </c>
      <c r="AJ1188" s="271">
        <v>62</v>
      </c>
      <c r="AK1188" s="267"/>
      <c r="AL1188" s="256">
        <v>16610467</v>
      </c>
      <c r="AM1188" s="256">
        <v>18332283</v>
      </c>
      <c r="AN1188" s="267"/>
      <c r="AO1188" s="267"/>
      <c r="AP1188" s="267"/>
      <c r="AQ1188" s="267"/>
      <c r="AR1188" s="267"/>
      <c r="AS1188" s="267"/>
      <c r="AT1188" s="267"/>
      <c r="AU1188" s="267" t="s">
        <v>190</v>
      </c>
    </row>
    <row r="1189" spans="1:47" x14ac:dyDescent="0.2">
      <c r="A1189" s="209">
        <v>34</v>
      </c>
      <c r="B1189" s="209" t="s">
        <v>191</v>
      </c>
      <c r="C1189" s="267" t="s">
        <v>49</v>
      </c>
      <c r="D1189" s="267" t="s">
        <v>50</v>
      </c>
      <c r="E1189" s="267" t="s">
        <v>50</v>
      </c>
      <c r="F1189" s="267" t="s">
        <v>51</v>
      </c>
      <c r="G1189" s="267" t="s">
        <v>153</v>
      </c>
      <c r="H1189" s="267" t="s">
        <v>153</v>
      </c>
      <c r="I1189" s="267" t="s">
        <v>54</v>
      </c>
      <c r="J1189" s="267" t="s">
        <v>55</v>
      </c>
      <c r="K1189" s="267">
        <v>80111600</v>
      </c>
      <c r="L1189" s="267"/>
      <c r="M1189" s="267"/>
      <c r="N1189" s="267"/>
      <c r="O1189" s="267"/>
      <c r="P1189" s="267" t="s">
        <v>192</v>
      </c>
      <c r="Q1189" s="256">
        <v>2472000</v>
      </c>
      <c r="R1189" s="267">
        <v>1</v>
      </c>
      <c r="S1189" s="256">
        <v>28428000</v>
      </c>
      <c r="T1189" s="267"/>
      <c r="U1189" s="267" t="s">
        <v>58</v>
      </c>
      <c r="V1189" s="268">
        <v>43112</v>
      </c>
      <c r="W1189" s="267">
        <v>11.5</v>
      </c>
      <c r="X1189" s="203" t="s">
        <v>193</v>
      </c>
      <c r="Y1189" s="268">
        <v>43102</v>
      </c>
      <c r="Z1189" s="256">
        <v>28428000</v>
      </c>
      <c r="AA1189" s="267"/>
      <c r="AB1189" s="209">
        <v>115</v>
      </c>
      <c r="AC1189" s="268" t="s">
        <v>1513</v>
      </c>
      <c r="AD1189" s="256">
        <v>28428000</v>
      </c>
      <c r="AE1189" s="269">
        <f t="shared" si="117"/>
        <v>0</v>
      </c>
      <c r="AF1189" s="209">
        <v>75</v>
      </c>
      <c r="AG1189" s="270">
        <v>43116</v>
      </c>
      <c r="AH1189" s="256">
        <v>28428000</v>
      </c>
      <c r="AI1189" s="267" t="s">
        <v>194</v>
      </c>
      <c r="AJ1189" s="271">
        <v>61</v>
      </c>
      <c r="AK1189" s="267"/>
      <c r="AL1189" s="256">
        <v>13513600</v>
      </c>
      <c r="AM1189" s="256">
        <v>14914400</v>
      </c>
      <c r="AN1189" s="267"/>
      <c r="AO1189" s="267"/>
      <c r="AP1189" s="267"/>
      <c r="AQ1189" s="267"/>
      <c r="AR1189" s="267"/>
      <c r="AS1189" s="267"/>
      <c r="AT1189" s="267"/>
      <c r="AU1189" s="267" t="s">
        <v>194</v>
      </c>
    </row>
    <row r="1190" spans="1:47" x14ac:dyDescent="0.2">
      <c r="A1190" s="209">
        <v>35</v>
      </c>
      <c r="B1190" s="209" t="s">
        <v>195</v>
      </c>
      <c r="C1190" s="267" t="s">
        <v>49</v>
      </c>
      <c r="D1190" s="267" t="s">
        <v>50</v>
      </c>
      <c r="E1190" s="267" t="s">
        <v>50</v>
      </c>
      <c r="F1190" s="267" t="s">
        <v>51</v>
      </c>
      <c r="G1190" s="267" t="s">
        <v>153</v>
      </c>
      <c r="H1190" s="267" t="s">
        <v>153</v>
      </c>
      <c r="I1190" s="267" t="s">
        <v>54</v>
      </c>
      <c r="J1190" s="267" t="s">
        <v>55</v>
      </c>
      <c r="K1190" s="267">
        <v>80111600</v>
      </c>
      <c r="L1190" s="267"/>
      <c r="M1190" s="267"/>
      <c r="N1190" s="267"/>
      <c r="O1190" s="267"/>
      <c r="P1190" s="267" t="s">
        <v>181</v>
      </c>
      <c r="Q1190" s="256">
        <v>3326900</v>
      </c>
      <c r="R1190" s="267">
        <v>1</v>
      </c>
      <c r="S1190" s="256">
        <v>38259350</v>
      </c>
      <c r="T1190" s="267"/>
      <c r="U1190" s="267" t="s">
        <v>58</v>
      </c>
      <c r="V1190" s="268">
        <v>43112</v>
      </c>
      <c r="W1190" s="267">
        <v>11.5</v>
      </c>
      <c r="X1190" s="203" t="s">
        <v>196</v>
      </c>
      <c r="Y1190" s="268">
        <v>43102</v>
      </c>
      <c r="Z1190" s="256">
        <v>38259350</v>
      </c>
      <c r="AA1190" s="267"/>
      <c r="AB1190" s="209">
        <v>114</v>
      </c>
      <c r="AC1190" s="268" t="s">
        <v>1513</v>
      </c>
      <c r="AD1190" s="256">
        <v>38259350</v>
      </c>
      <c r="AE1190" s="269">
        <f t="shared" si="117"/>
        <v>0</v>
      </c>
      <c r="AF1190" s="209">
        <v>59</v>
      </c>
      <c r="AG1190" s="270">
        <v>43116</v>
      </c>
      <c r="AH1190" s="256">
        <v>38259350</v>
      </c>
      <c r="AI1190" s="267" t="s">
        <v>197</v>
      </c>
      <c r="AJ1190" s="271">
        <v>42</v>
      </c>
      <c r="AK1190" s="267"/>
      <c r="AL1190" s="256">
        <v>18187053</v>
      </c>
      <c r="AM1190" s="256">
        <v>20072297</v>
      </c>
      <c r="AN1190" s="267"/>
      <c r="AO1190" s="267"/>
      <c r="AP1190" s="267"/>
      <c r="AQ1190" s="267"/>
      <c r="AR1190" s="267"/>
      <c r="AS1190" s="267"/>
      <c r="AT1190" s="267"/>
      <c r="AU1190" s="267" t="s">
        <v>197</v>
      </c>
    </row>
    <row r="1191" spans="1:47" x14ac:dyDescent="0.2">
      <c r="A1191" s="209">
        <v>36</v>
      </c>
      <c r="B1191" s="209" t="s">
        <v>198</v>
      </c>
      <c r="C1191" s="267" t="s">
        <v>49</v>
      </c>
      <c r="D1191" s="267" t="s">
        <v>50</v>
      </c>
      <c r="E1191" s="267" t="s">
        <v>50</v>
      </c>
      <c r="F1191" s="267" t="s">
        <v>51</v>
      </c>
      <c r="G1191" s="267" t="s">
        <v>153</v>
      </c>
      <c r="H1191" s="267" t="s">
        <v>153</v>
      </c>
      <c r="I1191" s="267" t="s">
        <v>54</v>
      </c>
      <c r="J1191" s="267" t="s">
        <v>55</v>
      </c>
      <c r="K1191" s="267">
        <v>80111600</v>
      </c>
      <c r="L1191" s="267"/>
      <c r="M1191" s="267"/>
      <c r="N1191" s="267"/>
      <c r="O1191" s="267"/>
      <c r="P1191" s="267" t="s">
        <v>199</v>
      </c>
      <c r="Q1191" s="256">
        <v>3038500</v>
      </c>
      <c r="R1191" s="267">
        <v>1</v>
      </c>
      <c r="S1191" s="256">
        <v>34942750</v>
      </c>
      <c r="T1191" s="267"/>
      <c r="U1191" s="267" t="s">
        <v>58</v>
      </c>
      <c r="V1191" s="268">
        <v>43112</v>
      </c>
      <c r="W1191" s="267">
        <v>11.5</v>
      </c>
      <c r="X1191" s="203" t="s">
        <v>200</v>
      </c>
      <c r="Y1191" s="268">
        <v>43102</v>
      </c>
      <c r="Z1191" s="256">
        <v>34942750</v>
      </c>
      <c r="AA1191" s="267"/>
      <c r="AB1191" s="209">
        <v>113</v>
      </c>
      <c r="AC1191" s="268" t="s">
        <v>1513</v>
      </c>
      <c r="AD1191" s="256">
        <v>34942750</v>
      </c>
      <c r="AE1191" s="269">
        <f t="shared" si="117"/>
        <v>0</v>
      </c>
      <c r="AF1191" s="209">
        <v>41</v>
      </c>
      <c r="AG1191" s="270">
        <v>43116</v>
      </c>
      <c r="AH1191" s="256">
        <v>34942750</v>
      </c>
      <c r="AI1191" s="267" t="s">
        <v>201</v>
      </c>
      <c r="AJ1191" s="271">
        <v>49</v>
      </c>
      <c r="AK1191" s="267"/>
      <c r="AL1191" s="256">
        <v>16610467</v>
      </c>
      <c r="AM1191" s="256">
        <v>18332283</v>
      </c>
      <c r="AN1191" s="267"/>
      <c r="AO1191" s="267"/>
      <c r="AP1191" s="267"/>
      <c r="AQ1191" s="267"/>
      <c r="AR1191" s="267"/>
      <c r="AS1191" s="267"/>
      <c r="AT1191" s="267"/>
      <c r="AU1191" s="267" t="s">
        <v>201</v>
      </c>
    </row>
    <row r="1192" spans="1:47" x14ac:dyDescent="0.2">
      <c r="A1192" s="209">
        <v>37</v>
      </c>
      <c r="B1192" s="209" t="s">
        <v>202</v>
      </c>
      <c r="C1192" s="267" t="s">
        <v>49</v>
      </c>
      <c r="D1192" s="267" t="s">
        <v>50</v>
      </c>
      <c r="E1192" s="267" t="s">
        <v>50</v>
      </c>
      <c r="F1192" s="267" t="s">
        <v>51</v>
      </c>
      <c r="G1192" s="267" t="s">
        <v>153</v>
      </c>
      <c r="H1192" s="267" t="s">
        <v>153</v>
      </c>
      <c r="I1192" s="267" t="s">
        <v>54</v>
      </c>
      <c r="J1192" s="267" t="s">
        <v>55</v>
      </c>
      <c r="K1192" s="267">
        <v>80111600</v>
      </c>
      <c r="L1192" s="267"/>
      <c r="M1192" s="267"/>
      <c r="N1192" s="267"/>
      <c r="O1192" s="267"/>
      <c r="P1192" s="267" t="s">
        <v>203</v>
      </c>
      <c r="Q1192" s="256">
        <v>3326900</v>
      </c>
      <c r="R1192" s="267">
        <v>1</v>
      </c>
      <c r="S1192" s="256">
        <v>38259350</v>
      </c>
      <c r="T1192" s="267"/>
      <c r="U1192" s="267" t="s">
        <v>58</v>
      </c>
      <c r="V1192" s="268">
        <v>43112</v>
      </c>
      <c r="W1192" s="267">
        <v>11.5</v>
      </c>
      <c r="X1192" s="203" t="s">
        <v>204</v>
      </c>
      <c r="Y1192" s="268">
        <v>43102</v>
      </c>
      <c r="Z1192" s="256">
        <v>38259350</v>
      </c>
      <c r="AA1192" s="267"/>
      <c r="AB1192" s="209">
        <v>112</v>
      </c>
      <c r="AC1192" s="268" t="s">
        <v>1513</v>
      </c>
      <c r="AD1192" s="256">
        <v>38259350</v>
      </c>
      <c r="AE1192" s="269">
        <f t="shared" si="117"/>
        <v>0</v>
      </c>
      <c r="AF1192" s="209">
        <v>71</v>
      </c>
      <c r="AG1192" s="270">
        <v>43116</v>
      </c>
      <c r="AH1192" s="256">
        <v>38259350</v>
      </c>
      <c r="AI1192" s="267" t="s">
        <v>147</v>
      </c>
      <c r="AJ1192" s="271">
        <v>57</v>
      </c>
      <c r="AK1192" s="267"/>
      <c r="AL1192" s="256">
        <v>18187053</v>
      </c>
      <c r="AM1192" s="256">
        <v>20072297</v>
      </c>
      <c r="AN1192" s="267"/>
      <c r="AO1192" s="267"/>
      <c r="AP1192" s="267"/>
      <c r="AQ1192" s="267"/>
      <c r="AR1192" s="267"/>
      <c r="AS1192" s="267"/>
      <c r="AT1192" s="267"/>
      <c r="AU1192" s="267" t="s">
        <v>147</v>
      </c>
    </row>
    <row r="1193" spans="1:47" x14ac:dyDescent="0.2">
      <c r="A1193" s="209">
        <v>38</v>
      </c>
      <c r="B1193" s="209" t="s">
        <v>205</v>
      </c>
      <c r="C1193" s="267" t="s">
        <v>49</v>
      </c>
      <c r="D1193" s="267" t="s">
        <v>50</v>
      </c>
      <c r="E1193" s="267" t="s">
        <v>50</v>
      </c>
      <c r="F1193" s="267" t="s">
        <v>51</v>
      </c>
      <c r="G1193" s="267" t="s">
        <v>153</v>
      </c>
      <c r="H1193" s="267" t="s">
        <v>153</v>
      </c>
      <c r="I1193" s="267" t="s">
        <v>54</v>
      </c>
      <c r="J1193" s="267" t="s">
        <v>55</v>
      </c>
      <c r="K1193" s="267">
        <v>80111600</v>
      </c>
      <c r="L1193" s="267"/>
      <c r="M1193" s="267"/>
      <c r="N1193" s="267"/>
      <c r="O1193" s="267"/>
      <c r="P1193" s="267" t="s">
        <v>206</v>
      </c>
      <c r="Q1193" s="256">
        <v>3038500</v>
      </c>
      <c r="R1193" s="267">
        <v>1</v>
      </c>
      <c r="S1193" s="256">
        <v>34942750</v>
      </c>
      <c r="T1193" s="267"/>
      <c r="U1193" s="267" t="s">
        <v>58</v>
      </c>
      <c r="V1193" s="268">
        <v>43112</v>
      </c>
      <c r="W1193" s="267">
        <v>11.5</v>
      </c>
      <c r="X1193" s="203" t="s">
        <v>207</v>
      </c>
      <c r="Y1193" s="268">
        <v>43102</v>
      </c>
      <c r="Z1193" s="256">
        <v>34942750</v>
      </c>
      <c r="AA1193" s="267"/>
      <c r="AB1193" s="209">
        <v>111</v>
      </c>
      <c r="AC1193" s="268" t="s">
        <v>1513</v>
      </c>
      <c r="AD1193" s="256">
        <v>34942750</v>
      </c>
      <c r="AE1193" s="269">
        <f t="shared" si="117"/>
        <v>0</v>
      </c>
      <c r="AF1193" s="209">
        <v>106</v>
      </c>
      <c r="AG1193" s="270">
        <v>43116</v>
      </c>
      <c r="AH1193" s="256">
        <v>34942750</v>
      </c>
      <c r="AI1193" s="267" t="s">
        <v>208</v>
      </c>
      <c r="AJ1193" s="271">
        <v>84</v>
      </c>
      <c r="AK1193" s="267"/>
      <c r="AL1193" s="256">
        <v>16610467</v>
      </c>
      <c r="AM1193" s="256">
        <v>18332283</v>
      </c>
      <c r="AN1193" s="267"/>
      <c r="AO1193" s="267"/>
      <c r="AP1193" s="267"/>
      <c r="AQ1193" s="267"/>
      <c r="AR1193" s="267"/>
      <c r="AS1193" s="267"/>
      <c r="AT1193" s="267"/>
      <c r="AU1193" s="267" t="s">
        <v>208</v>
      </c>
    </row>
    <row r="1194" spans="1:47" x14ac:dyDescent="0.2">
      <c r="A1194" s="209">
        <v>39</v>
      </c>
      <c r="B1194" s="209" t="s">
        <v>209</v>
      </c>
      <c r="C1194" s="267" t="s">
        <v>49</v>
      </c>
      <c r="D1194" s="267" t="s">
        <v>50</v>
      </c>
      <c r="E1194" s="267" t="s">
        <v>50</v>
      </c>
      <c r="F1194" s="267" t="s">
        <v>51</v>
      </c>
      <c r="G1194" s="267" t="s">
        <v>153</v>
      </c>
      <c r="H1194" s="267" t="s">
        <v>153</v>
      </c>
      <c r="I1194" s="267" t="s">
        <v>54</v>
      </c>
      <c r="J1194" s="267" t="s">
        <v>55</v>
      </c>
      <c r="K1194" s="267">
        <v>80111600</v>
      </c>
      <c r="L1194" s="267"/>
      <c r="M1194" s="267"/>
      <c r="N1194" s="267"/>
      <c r="O1194" s="267"/>
      <c r="P1194" s="267" t="s">
        <v>199</v>
      </c>
      <c r="Q1194" s="256">
        <v>1545000</v>
      </c>
      <c r="R1194" s="267">
        <v>1</v>
      </c>
      <c r="S1194" s="256">
        <v>17767500</v>
      </c>
      <c r="T1194" s="267"/>
      <c r="U1194" s="267" t="s">
        <v>58</v>
      </c>
      <c r="V1194" s="268">
        <v>43112</v>
      </c>
      <c r="W1194" s="267">
        <v>11.5</v>
      </c>
      <c r="X1194" s="203" t="s">
        <v>210</v>
      </c>
      <c r="Y1194" s="268">
        <v>43102</v>
      </c>
      <c r="Z1194" s="256">
        <v>17767500</v>
      </c>
      <c r="AA1194" s="267"/>
      <c r="AB1194" s="209">
        <v>110</v>
      </c>
      <c r="AC1194" s="268" t="s">
        <v>1513</v>
      </c>
      <c r="AD1194" s="256">
        <v>17767500</v>
      </c>
      <c r="AE1194" s="269">
        <f t="shared" si="117"/>
        <v>0</v>
      </c>
      <c r="AF1194" s="209">
        <v>43</v>
      </c>
      <c r="AG1194" s="270">
        <v>43116</v>
      </c>
      <c r="AH1194" s="256">
        <v>17767500</v>
      </c>
      <c r="AI1194" s="267" t="s">
        <v>211</v>
      </c>
      <c r="AJ1194" s="271">
        <v>50</v>
      </c>
      <c r="AK1194" s="267"/>
      <c r="AL1194" s="256">
        <v>8446000</v>
      </c>
      <c r="AM1194" s="256">
        <v>9321500</v>
      </c>
      <c r="AN1194" s="267"/>
      <c r="AO1194" s="267"/>
      <c r="AP1194" s="267"/>
      <c r="AQ1194" s="267"/>
      <c r="AR1194" s="267"/>
      <c r="AS1194" s="267"/>
      <c r="AT1194" s="267"/>
      <c r="AU1194" s="267" t="s">
        <v>211</v>
      </c>
    </row>
    <row r="1195" spans="1:47" x14ac:dyDescent="0.2">
      <c r="A1195" s="209">
        <v>40</v>
      </c>
      <c r="B1195" s="209" t="s">
        <v>212</v>
      </c>
      <c r="C1195" s="267" t="s">
        <v>49</v>
      </c>
      <c r="D1195" s="267" t="s">
        <v>50</v>
      </c>
      <c r="E1195" s="267" t="s">
        <v>50</v>
      </c>
      <c r="F1195" s="267" t="s">
        <v>51</v>
      </c>
      <c r="G1195" s="267" t="s">
        <v>153</v>
      </c>
      <c r="H1195" s="267" t="s">
        <v>153</v>
      </c>
      <c r="I1195" s="267" t="s">
        <v>54</v>
      </c>
      <c r="J1195" s="267" t="s">
        <v>55</v>
      </c>
      <c r="K1195" s="267">
        <v>80111600</v>
      </c>
      <c r="L1195" s="267"/>
      <c r="M1195" s="267"/>
      <c r="N1195" s="267"/>
      <c r="O1195" s="267"/>
      <c r="P1195" s="267" t="s">
        <v>199</v>
      </c>
      <c r="Q1195" s="256">
        <v>1545000</v>
      </c>
      <c r="R1195" s="267">
        <v>1</v>
      </c>
      <c r="S1195" s="256">
        <v>17767500</v>
      </c>
      <c r="T1195" s="267"/>
      <c r="U1195" s="267" t="s">
        <v>58</v>
      </c>
      <c r="V1195" s="268">
        <v>43112</v>
      </c>
      <c r="W1195" s="267">
        <v>11.5</v>
      </c>
      <c r="X1195" s="203" t="s">
        <v>213</v>
      </c>
      <c r="Y1195" s="268">
        <v>43102</v>
      </c>
      <c r="Z1195" s="256">
        <v>17767500</v>
      </c>
      <c r="AA1195" s="267"/>
      <c r="AB1195" s="209">
        <v>109</v>
      </c>
      <c r="AC1195" s="268" t="s">
        <v>1513</v>
      </c>
      <c r="AD1195" s="256">
        <v>17767500</v>
      </c>
      <c r="AE1195" s="269">
        <f t="shared" si="117"/>
        <v>0</v>
      </c>
      <c r="AF1195" s="209">
        <v>36</v>
      </c>
      <c r="AG1195" s="270">
        <v>43116</v>
      </c>
      <c r="AH1195" s="256">
        <v>17767500</v>
      </c>
      <c r="AI1195" s="267" t="s">
        <v>214</v>
      </c>
      <c r="AJ1195" s="271">
        <v>46</v>
      </c>
      <c r="AK1195" s="267"/>
      <c r="AL1195" s="256">
        <v>8446000</v>
      </c>
      <c r="AM1195" s="256">
        <v>9321500</v>
      </c>
      <c r="AN1195" s="267"/>
      <c r="AO1195" s="267"/>
      <c r="AP1195" s="267"/>
      <c r="AQ1195" s="267"/>
      <c r="AR1195" s="267"/>
      <c r="AS1195" s="267"/>
      <c r="AT1195" s="267"/>
      <c r="AU1195" s="267" t="s">
        <v>214</v>
      </c>
    </row>
    <row r="1196" spans="1:47" x14ac:dyDescent="0.2">
      <c r="A1196" s="209">
        <v>41</v>
      </c>
      <c r="B1196" s="209" t="s">
        <v>215</v>
      </c>
      <c r="C1196" s="267" t="s">
        <v>49</v>
      </c>
      <c r="D1196" s="267" t="s">
        <v>50</v>
      </c>
      <c r="E1196" s="267" t="s">
        <v>50</v>
      </c>
      <c r="F1196" s="267" t="s">
        <v>51</v>
      </c>
      <c r="G1196" s="267" t="s">
        <v>153</v>
      </c>
      <c r="H1196" s="267" t="s">
        <v>153</v>
      </c>
      <c r="I1196" s="267" t="s">
        <v>54</v>
      </c>
      <c r="J1196" s="267" t="s">
        <v>55</v>
      </c>
      <c r="K1196" s="267">
        <v>80111600</v>
      </c>
      <c r="L1196" s="267"/>
      <c r="M1196" s="267"/>
      <c r="N1196" s="267"/>
      <c r="O1196" s="267"/>
      <c r="P1196" s="267" t="s">
        <v>188</v>
      </c>
      <c r="Q1196" s="256">
        <v>2472000</v>
      </c>
      <c r="R1196" s="267">
        <v>1</v>
      </c>
      <c r="S1196" s="256">
        <v>28428000</v>
      </c>
      <c r="T1196" s="267"/>
      <c r="U1196" s="267" t="s">
        <v>58</v>
      </c>
      <c r="V1196" s="268">
        <v>43112</v>
      </c>
      <c r="W1196" s="267">
        <v>11.5</v>
      </c>
      <c r="X1196" s="203" t="s">
        <v>216</v>
      </c>
      <c r="Y1196" s="268">
        <v>43102</v>
      </c>
      <c r="Z1196" s="256">
        <v>28428000</v>
      </c>
      <c r="AA1196" s="267"/>
      <c r="AB1196" s="209">
        <v>108</v>
      </c>
      <c r="AC1196" s="268" t="s">
        <v>1513</v>
      </c>
      <c r="AD1196" s="256">
        <v>28428000</v>
      </c>
      <c r="AE1196" s="269">
        <f t="shared" si="117"/>
        <v>0</v>
      </c>
      <c r="AF1196" s="209">
        <v>226</v>
      </c>
      <c r="AG1196" s="270">
        <v>43118</v>
      </c>
      <c r="AH1196" s="256">
        <v>28428000</v>
      </c>
      <c r="AI1196" s="267" t="s">
        <v>217</v>
      </c>
      <c r="AJ1196" s="271">
        <v>196</v>
      </c>
      <c r="AK1196" s="267"/>
      <c r="AL1196" s="256">
        <v>13348800</v>
      </c>
      <c r="AM1196" s="256">
        <v>15079200</v>
      </c>
      <c r="AN1196" s="267"/>
      <c r="AO1196" s="267"/>
      <c r="AP1196" s="267"/>
      <c r="AQ1196" s="267"/>
      <c r="AR1196" s="267"/>
      <c r="AS1196" s="267"/>
      <c r="AT1196" s="267"/>
      <c r="AU1196" s="267" t="s">
        <v>217</v>
      </c>
    </row>
    <row r="1197" spans="1:47" x14ac:dyDescent="0.2">
      <c r="A1197" s="209">
        <v>42</v>
      </c>
      <c r="B1197" s="209" t="s">
        <v>218</v>
      </c>
      <c r="C1197" s="267" t="s">
        <v>49</v>
      </c>
      <c r="D1197" s="267" t="s">
        <v>50</v>
      </c>
      <c r="E1197" s="267" t="s">
        <v>50</v>
      </c>
      <c r="F1197" s="267" t="s">
        <v>51</v>
      </c>
      <c r="G1197" s="267" t="s">
        <v>153</v>
      </c>
      <c r="H1197" s="267" t="s">
        <v>153</v>
      </c>
      <c r="I1197" s="267" t="s">
        <v>54</v>
      </c>
      <c r="J1197" s="267" t="s">
        <v>55</v>
      </c>
      <c r="K1197" s="267">
        <v>80111600</v>
      </c>
      <c r="L1197" s="267"/>
      <c r="M1197" s="267"/>
      <c r="N1197" s="267"/>
      <c r="O1197" s="267"/>
      <c r="P1197" s="267" t="s">
        <v>219</v>
      </c>
      <c r="Q1197" s="256">
        <v>1751000</v>
      </c>
      <c r="R1197" s="267">
        <v>1</v>
      </c>
      <c r="S1197" s="256">
        <v>20136500</v>
      </c>
      <c r="T1197" s="267"/>
      <c r="U1197" s="267" t="s">
        <v>58</v>
      </c>
      <c r="V1197" s="268">
        <v>43112</v>
      </c>
      <c r="W1197" s="267">
        <v>11.5</v>
      </c>
      <c r="X1197" s="203" t="s">
        <v>220</v>
      </c>
      <c r="Y1197" s="268">
        <v>43102</v>
      </c>
      <c r="Z1197" s="256">
        <v>20136500</v>
      </c>
      <c r="AA1197" s="267"/>
      <c r="AB1197" s="209">
        <v>107</v>
      </c>
      <c r="AC1197" s="268" t="s">
        <v>1513</v>
      </c>
      <c r="AD1197" s="256">
        <v>20136500</v>
      </c>
      <c r="AE1197" s="269">
        <f t="shared" si="117"/>
        <v>0</v>
      </c>
      <c r="AF1197" s="209">
        <v>49</v>
      </c>
      <c r="AG1197" s="270">
        <v>43116</v>
      </c>
      <c r="AH1197" s="256">
        <v>20136500</v>
      </c>
      <c r="AI1197" s="267" t="s">
        <v>221</v>
      </c>
      <c r="AJ1197" s="271">
        <v>53</v>
      </c>
      <c r="AK1197" s="267"/>
      <c r="AL1197" s="256">
        <v>9572133</v>
      </c>
      <c r="AM1197" s="256">
        <v>10564367</v>
      </c>
      <c r="AN1197" s="267"/>
      <c r="AO1197" s="267"/>
      <c r="AP1197" s="267"/>
      <c r="AQ1197" s="267"/>
      <c r="AR1197" s="267"/>
      <c r="AS1197" s="267"/>
      <c r="AT1197" s="267"/>
      <c r="AU1197" s="267" t="s">
        <v>221</v>
      </c>
    </row>
    <row r="1198" spans="1:47" x14ac:dyDescent="0.2">
      <c r="A1198" s="209">
        <v>43</v>
      </c>
      <c r="B1198" s="209" t="s">
        <v>222</v>
      </c>
      <c r="C1198" s="267" t="s">
        <v>49</v>
      </c>
      <c r="D1198" s="267" t="s">
        <v>50</v>
      </c>
      <c r="E1198" s="267" t="s">
        <v>50</v>
      </c>
      <c r="F1198" s="267" t="s">
        <v>51</v>
      </c>
      <c r="G1198" s="267" t="s">
        <v>153</v>
      </c>
      <c r="H1198" s="267" t="s">
        <v>153</v>
      </c>
      <c r="I1198" s="267" t="s">
        <v>54</v>
      </c>
      <c r="J1198" s="267" t="s">
        <v>55</v>
      </c>
      <c r="K1198" s="267">
        <v>80111600</v>
      </c>
      <c r="L1198" s="267"/>
      <c r="M1198" s="267"/>
      <c r="N1198" s="267"/>
      <c r="O1198" s="267"/>
      <c r="P1198" s="267" t="s">
        <v>223</v>
      </c>
      <c r="Q1198" s="256">
        <v>1751000</v>
      </c>
      <c r="R1198" s="267">
        <v>1</v>
      </c>
      <c r="S1198" s="256">
        <v>28428000</v>
      </c>
      <c r="T1198" s="267"/>
      <c r="U1198" s="267" t="s">
        <v>58</v>
      </c>
      <c r="V1198" s="268">
        <v>43112</v>
      </c>
      <c r="W1198" s="267">
        <v>11.5</v>
      </c>
      <c r="X1198" s="203" t="s">
        <v>3733</v>
      </c>
      <c r="Y1198" s="268">
        <v>43109</v>
      </c>
      <c r="Z1198" s="256">
        <v>28428000</v>
      </c>
      <c r="AA1198" s="267"/>
      <c r="AB1198" s="209">
        <v>436</v>
      </c>
      <c r="AC1198" s="268" t="s">
        <v>1505</v>
      </c>
      <c r="AD1198" s="256">
        <v>28428000</v>
      </c>
      <c r="AE1198" s="269">
        <f t="shared" si="117"/>
        <v>0</v>
      </c>
      <c r="AF1198" s="209">
        <v>55</v>
      </c>
      <c r="AG1198" s="270">
        <v>43116</v>
      </c>
      <c r="AH1198" s="256">
        <v>28428000</v>
      </c>
      <c r="AI1198" s="267" t="s">
        <v>224</v>
      </c>
      <c r="AJ1198" s="271">
        <v>40</v>
      </c>
      <c r="AK1198" s="267"/>
      <c r="AL1198" s="256">
        <v>13513600</v>
      </c>
      <c r="AM1198" s="256">
        <v>14914400</v>
      </c>
      <c r="AN1198" s="267"/>
      <c r="AO1198" s="267"/>
      <c r="AP1198" s="267"/>
      <c r="AQ1198" s="267"/>
      <c r="AR1198" s="267"/>
      <c r="AS1198" s="267"/>
      <c r="AT1198" s="267"/>
      <c r="AU1198" s="267" t="s">
        <v>224</v>
      </c>
    </row>
    <row r="1199" spans="1:47" x14ac:dyDescent="0.2">
      <c r="A1199" s="209">
        <v>44</v>
      </c>
      <c r="B1199" s="209" t="s">
        <v>225</v>
      </c>
      <c r="C1199" s="267" t="s">
        <v>49</v>
      </c>
      <c r="D1199" s="267" t="s">
        <v>50</v>
      </c>
      <c r="E1199" s="267" t="s">
        <v>50</v>
      </c>
      <c r="F1199" s="267" t="s">
        <v>51</v>
      </c>
      <c r="G1199" s="267" t="s">
        <v>153</v>
      </c>
      <c r="H1199" s="267" t="s">
        <v>153</v>
      </c>
      <c r="I1199" s="267" t="s">
        <v>54</v>
      </c>
      <c r="J1199" s="267" t="s">
        <v>55</v>
      </c>
      <c r="K1199" s="267">
        <v>80111600</v>
      </c>
      <c r="L1199" s="267"/>
      <c r="M1199" s="267"/>
      <c r="N1199" s="267"/>
      <c r="O1199" s="267"/>
      <c r="P1199" s="267" t="s">
        <v>226</v>
      </c>
      <c r="Q1199" s="256">
        <v>1751000</v>
      </c>
      <c r="R1199" s="267">
        <v>1</v>
      </c>
      <c r="S1199" s="256">
        <v>20136500</v>
      </c>
      <c r="T1199" s="267"/>
      <c r="U1199" s="267" t="s">
        <v>58</v>
      </c>
      <c r="V1199" s="268">
        <v>43112</v>
      </c>
      <c r="W1199" s="267">
        <v>11.5</v>
      </c>
      <c r="X1199" s="203" t="s">
        <v>227</v>
      </c>
      <c r="Y1199" s="268">
        <v>43102</v>
      </c>
      <c r="Z1199" s="256">
        <v>20136500</v>
      </c>
      <c r="AA1199" s="267"/>
      <c r="AB1199" s="209">
        <v>105</v>
      </c>
      <c r="AC1199" s="268" t="s">
        <v>1513</v>
      </c>
      <c r="AD1199" s="256">
        <v>20136500</v>
      </c>
      <c r="AE1199" s="269">
        <f t="shared" si="117"/>
        <v>0</v>
      </c>
      <c r="AF1199" s="209">
        <v>70</v>
      </c>
      <c r="AG1199" s="270">
        <v>43116</v>
      </c>
      <c r="AH1199" s="256">
        <v>20136500</v>
      </c>
      <c r="AI1199" s="267" t="s">
        <v>3734</v>
      </c>
      <c r="AJ1199" s="271">
        <v>56</v>
      </c>
      <c r="AK1199" s="267"/>
      <c r="AL1199" s="256">
        <v>9572133</v>
      </c>
      <c r="AM1199" s="256">
        <v>10564367</v>
      </c>
      <c r="AN1199" s="267"/>
      <c r="AO1199" s="267"/>
      <c r="AP1199" s="267"/>
      <c r="AQ1199" s="267"/>
      <c r="AR1199" s="267"/>
      <c r="AS1199" s="267"/>
      <c r="AT1199" s="267"/>
      <c r="AU1199" s="267" t="s">
        <v>228</v>
      </c>
    </row>
    <row r="1200" spans="1:47" x14ac:dyDescent="0.2">
      <c r="A1200" s="209">
        <v>45</v>
      </c>
      <c r="B1200" s="209" t="s">
        <v>229</v>
      </c>
      <c r="C1200" s="267" t="s">
        <v>49</v>
      </c>
      <c r="D1200" s="267" t="s">
        <v>50</v>
      </c>
      <c r="E1200" s="267" t="s">
        <v>50</v>
      </c>
      <c r="F1200" s="267" t="s">
        <v>230</v>
      </c>
      <c r="G1200" s="267" t="s">
        <v>231</v>
      </c>
      <c r="H1200" s="267" t="s">
        <v>232</v>
      </c>
      <c r="I1200" s="267" t="s">
        <v>54</v>
      </c>
      <c r="J1200" s="267" t="s">
        <v>55</v>
      </c>
      <c r="K1200" s="267">
        <v>83101800</v>
      </c>
      <c r="L1200" s="267"/>
      <c r="M1200" s="267"/>
      <c r="N1200" s="267"/>
      <c r="O1200" s="267"/>
      <c r="P1200" s="267" t="s">
        <v>233</v>
      </c>
      <c r="Q1200" s="256">
        <v>12500000</v>
      </c>
      <c r="R1200" s="267">
        <v>1</v>
      </c>
      <c r="S1200" s="256">
        <v>154617000</v>
      </c>
      <c r="T1200" s="267"/>
      <c r="U1200" s="267" t="s">
        <v>234</v>
      </c>
      <c r="V1200" s="268" t="s">
        <v>235</v>
      </c>
      <c r="W1200" s="267">
        <v>12</v>
      </c>
      <c r="X1200" s="203" t="s">
        <v>236</v>
      </c>
      <c r="Y1200" s="268"/>
      <c r="Z1200" s="256">
        <v>154617000</v>
      </c>
      <c r="AA1200" s="267"/>
      <c r="AB1200" s="209">
        <v>127</v>
      </c>
      <c r="AC1200" s="268" t="s">
        <v>1513</v>
      </c>
      <c r="AD1200" s="256">
        <v>154617000</v>
      </c>
      <c r="AE1200" s="269">
        <f t="shared" si="117"/>
        <v>0</v>
      </c>
      <c r="AF1200" s="209">
        <v>122</v>
      </c>
      <c r="AG1200" s="270">
        <v>43117</v>
      </c>
      <c r="AH1200" s="256">
        <v>11671210</v>
      </c>
      <c r="AI1200" s="267" t="s">
        <v>1573</v>
      </c>
      <c r="AJ1200" s="271">
        <v>608365</v>
      </c>
      <c r="AK1200" s="267"/>
      <c r="AL1200" s="256">
        <v>11671210</v>
      </c>
      <c r="AM1200" s="256">
        <v>0</v>
      </c>
      <c r="AN1200" s="267"/>
      <c r="AO1200" s="267"/>
      <c r="AP1200" s="267"/>
      <c r="AQ1200" s="267"/>
      <c r="AR1200" s="267"/>
      <c r="AS1200" s="267"/>
      <c r="AT1200" s="267"/>
      <c r="AU1200" s="267"/>
    </row>
    <row r="1201" spans="1:47" x14ac:dyDescent="0.2">
      <c r="A1201" s="209">
        <v>45</v>
      </c>
      <c r="B1201" s="209"/>
      <c r="C1201" s="267"/>
      <c r="D1201" s="267"/>
      <c r="E1201" s="267"/>
      <c r="F1201" s="267"/>
      <c r="G1201" s="267"/>
      <c r="H1201" s="267" t="s">
        <v>232</v>
      </c>
      <c r="I1201" s="267"/>
      <c r="J1201" s="267"/>
      <c r="K1201" s="267"/>
      <c r="L1201" s="267"/>
      <c r="M1201" s="267"/>
      <c r="N1201" s="267"/>
      <c r="O1201" s="267"/>
      <c r="P1201" s="267"/>
      <c r="Q1201" s="256"/>
      <c r="R1201" s="267"/>
      <c r="S1201" s="256"/>
      <c r="T1201" s="267"/>
      <c r="U1201" s="267"/>
      <c r="V1201" s="268"/>
      <c r="W1201" s="267"/>
      <c r="X1201" s="203"/>
      <c r="Y1201" s="268"/>
      <c r="Z1201" s="256"/>
      <c r="AA1201" s="267"/>
      <c r="AB1201" s="209"/>
      <c r="AC1201" s="268"/>
      <c r="AD1201" s="256"/>
      <c r="AE1201" s="269">
        <f t="shared" si="117"/>
        <v>0</v>
      </c>
      <c r="AF1201" s="209">
        <v>1378</v>
      </c>
      <c r="AG1201" s="270">
        <v>43147</v>
      </c>
      <c r="AH1201" s="256">
        <v>12461870</v>
      </c>
      <c r="AI1201" s="267" t="s">
        <v>1573</v>
      </c>
      <c r="AJ1201" s="271"/>
      <c r="AK1201" s="267"/>
      <c r="AL1201" s="256">
        <v>12461870</v>
      </c>
      <c r="AM1201" s="256">
        <v>0</v>
      </c>
      <c r="AN1201" s="267"/>
      <c r="AO1201" s="267"/>
      <c r="AP1201" s="267"/>
      <c r="AQ1201" s="267"/>
      <c r="AR1201" s="267"/>
      <c r="AS1201" s="267"/>
      <c r="AT1201" s="267"/>
      <c r="AU1201" s="267"/>
    </row>
    <row r="1202" spans="1:47" x14ac:dyDescent="0.2">
      <c r="A1202" s="209">
        <v>45</v>
      </c>
      <c r="B1202" s="209"/>
      <c r="C1202" s="267"/>
      <c r="D1202" s="267"/>
      <c r="E1202" s="267"/>
      <c r="F1202" s="267"/>
      <c r="G1202" s="267"/>
      <c r="H1202" s="267" t="s">
        <v>232</v>
      </c>
      <c r="I1202" s="267"/>
      <c r="J1202" s="267"/>
      <c r="K1202" s="267"/>
      <c r="L1202" s="267"/>
      <c r="M1202" s="267"/>
      <c r="N1202" s="267"/>
      <c r="O1202" s="267"/>
      <c r="P1202" s="267"/>
      <c r="Q1202" s="256"/>
      <c r="R1202" s="267"/>
      <c r="S1202" s="256"/>
      <c r="T1202" s="267"/>
      <c r="U1202" s="267"/>
      <c r="V1202" s="268"/>
      <c r="W1202" s="267"/>
      <c r="X1202" s="203"/>
      <c r="Y1202" s="268"/>
      <c r="Z1202" s="256"/>
      <c r="AA1202" s="267"/>
      <c r="AB1202" s="209"/>
      <c r="AC1202" s="268"/>
      <c r="AD1202" s="256"/>
      <c r="AE1202" s="269">
        <f t="shared" si="117"/>
        <v>0</v>
      </c>
      <c r="AF1202" s="209">
        <v>1600</v>
      </c>
      <c r="AG1202" s="270">
        <v>43179</v>
      </c>
      <c r="AH1202" s="256">
        <v>12139210</v>
      </c>
      <c r="AI1202" s="267" t="s">
        <v>1573</v>
      </c>
      <c r="AJ1202" s="271"/>
      <c r="AK1202" s="267"/>
      <c r="AL1202" s="256">
        <v>12139210</v>
      </c>
      <c r="AM1202" s="256">
        <v>0</v>
      </c>
      <c r="AN1202" s="267"/>
      <c r="AO1202" s="267"/>
      <c r="AP1202" s="267"/>
      <c r="AQ1202" s="267"/>
      <c r="AR1202" s="267"/>
      <c r="AS1202" s="267"/>
      <c r="AT1202" s="267"/>
      <c r="AU1202" s="267"/>
    </row>
    <row r="1203" spans="1:47" x14ac:dyDescent="0.2">
      <c r="A1203" s="209">
        <v>45</v>
      </c>
      <c r="B1203" s="209"/>
      <c r="C1203" s="267"/>
      <c r="D1203" s="267"/>
      <c r="E1203" s="267"/>
      <c r="F1203" s="267"/>
      <c r="G1203" s="267"/>
      <c r="H1203" s="267" t="s">
        <v>232</v>
      </c>
      <c r="I1203" s="267"/>
      <c r="J1203" s="267"/>
      <c r="K1203" s="267"/>
      <c r="L1203" s="267"/>
      <c r="M1203" s="267"/>
      <c r="N1203" s="267"/>
      <c r="O1203" s="267"/>
      <c r="P1203" s="267"/>
      <c r="Q1203" s="256"/>
      <c r="R1203" s="267"/>
      <c r="S1203" s="256"/>
      <c r="T1203" s="267"/>
      <c r="U1203" s="267"/>
      <c r="V1203" s="268"/>
      <c r="W1203" s="267"/>
      <c r="X1203" s="203"/>
      <c r="Y1203" s="268"/>
      <c r="Z1203" s="256"/>
      <c r="AA1203" s="267"/>
      <c r="AB1203" s="209"/>
      <c r="AC1203" s="268"/>
      <c r="AD1203" s="256"/>
      <c r="AE1203" s="269">
        <f t="shared" si="117"/>
        <v>0</v>
      </c>
      <c r="AF1203" s="209">
        <v>1805</v>
      </c>
      <c r="AG1203" s="270">
        <v>43207</v>
      </c>
      <c r="AH1203" s="256">
        <v>14173580</v>
      </c>
      <c r="AI1203" s="267" t="s">
        <v>1573</v>
      </c>
      <c r="AJ1203" s="271"/>
      <c r="AK1203" s="267"/>
      <c r="AL1203" s="256">
        <v>14173580</v>
      </c>
      <c r="AM1203" s="256">
        <v>0</v>
      </c>
      <c r="AN1203" s="267"/>
      <c r="AO1203" s="267"/>
      <c r="AP1203" s="267"/>
      <c r="AQ1203" s="267"/>
      <c r="AR1203" s="267"/>
      <c r="AS1203" s="267"/>
      <c r="AT1203" s="267"/>
      <c r="AU1203" s="267"/>
    </row>
    <row r="1204" spans="1:47" x14ac:dyDescent="0.2">
      <c r="A1204" s="209">
        <v>45</v>
      </c>
      <c r="B1204" s="209"/>
      <c r="C1204" s="267"/>
      <c r="D1204" s="267"/>
      <c r="E1204" s="267"/>
      <c r="F1204" s="267"/>
      <c r="G1204" s="267"/>
      <c r="H1204" s="267" t="s">
        <v>232</v>
      </c>
      <c r="I1204" s="267"/>
      <c r="J1204" s="267"/>
      <c r="K1204" s="267"/>
      <c r="L1204" s="267"/>
      <c r="M1204" s="267"/>
      <c r="N1204" s="267"/>
      <c r="O1204" s="267"/>
      <c r="P1204" s="267"/>
      <c r="Q1204" s="256"/>
      <c r="R1204" s="267"/>
      <c r="S1204" s="256"/>
      <c r="T1204" s="267"/>
      <c r="U1204" s="267"/>
      <c r="V1204" s="268"/>
      <c r="W1204" s="267"/>
      <c r="X1204" s="203"/>
      <c r="Y1204" s="268"/>
      <c r="Z1204" s="256"/>
      <c r="AA1204" s="267"/>
      <c r="AB1204" s="209"/>
      <c r="AC1204" s="268"/>
      <c r="AD1204" s="256"/>
      <c r="AE1204" s="269">
        <f t="shared" si="117"/>
        <v>0</v>
      </c>
      <c r="AF1204" s="209">
        <v>1917</v>
      </c>
      <c r="AG1204" s="270">
        <v>43241</v>
      </c>
      <c r="AH1204" s="256">
        <v>13018290</v>
      </c>
      <c r="AI1204" s="267" t="s">
        <v>1573</v>
      </c>
      <c r="AJ1204" s="271"/>
      <c r="AK1204" s="267"/>
      <c r="AL1204" s="256">
        <v>13018290</v>
      </c>
      <c r="AM1204" s="256">
        <v>0</v>
      </c>
      <c r="AN1204" s="267"/>
      <c r="AO1204" s="267"/>
      <c r="AP1204" s="267"/>
      <c r="AQ1204" s="267"/>
      <c r="AR1204" s="267"/>
      <c r="AS1204" s="267"/>
      <c r="AT1204" s="267"/>
      <c r="AU1204" s="267"/>
    </row>
    <row r="1205" spans="1:47" x14ac:dyDescent="0.2">
      <c r="A1205" s="209">
        <v>45</v>
      </c>
      <c r="B1205" s="209"/>
      <c r="C1205" s="267"/>
      <c r="D1205" s="267"/>
      <c r="E1205" s="267"/>
      <c r="F1205" s="267"/>
      <c r="G1205" s="267"/>
      <c r="H1205" s="267" t="s">
        <v>232</v>
      </c>
      <c r="I1205" s="267"/>
      <c r="J1205" s="267"/>
      <c r="K1205" s="267"/>
      <c r="L1205" s="267"/>
      <c r="M1205" s="267"/>
      <c r="N1205" s="267"/>
      <c r="O1205" s="267"/>
      <c r="P1205" s="267"/>
      <c r="Q1205" s="256"/>
      <c r="R1205" s="267"/>
      <c r="S1205" s="256"/>
      <c r="T1205" s="267"/>
      <c r="U1205" s="267"/>
      <c r="V1205" s="268"/>
      <c r="W1205" s="267"/>
      <c r="X1205" s="203"/>
      <c r="Y1205" s="268"/>
      <c r="Z1205" s="256"/>
      <c r="AA1205" s="267"/>
      <c r="AB1205" s="209"/>
      <c r="AC1205" s="268"/>
      <c r="AD1205" s="256"/>
      <c r="AE1205" s="269">
        <f t="shared" si="117"/>
        <v>0</v>
      </c>
      <c r="AF1205" s="209">
        <v>2037</v>
      </c>
      <c r="AG1205" s="270">
        <v>43271</v>
      </c>
      <c r="AH1205" s="256">
        <v>12747380</v>
      </c>
      <c r="AI1205" s="267" t="s">
        <v>1573</v>
      </c>
      <c r="AJ1205" s="271"/>
      <c r="AK1205" s="267"/>
      <c r="AL1205" s="256">
        <v>12747380</v>
      </c>
      <c r="AM1205" s="256">
        <v>0</v>
      </c>
      <c r="AN1205" s="267"/>
      <c r="AO1205" s="267"/>
      <c r="AP1205" s="267"/>
      <c r="AQ1205" s="267"/>
      <c r="AR1205" s="267"/>
      <c r="AS1205" s="267"/>
      <c r="AT1205" s="267"/>
      <c r="AU1205" s="267"/>
    </row>
    <row r="1206" spans="1:47" x14ac:dyDescent="0.2">
      <c r="A1206" s="209">
        <v>45</v>
      </c>
      <c r="B1206" s="209"/>
      <c r="C1206" s="267"/>
      <c r="D1206" s="267"/>
      <c r="E1206" s="267"/>
      <c r="F1206" s="267"/>
      <c r="G1206" s="267"/>
      <c r="H1206" s="267" t="s">
        <v>232</v>
      </c>
      <c r="I1206" s="267"/>
      <c r="J1206" s="267"/>
      <c r="K1206" s="267"/>
      <c r="L1206" s="267"/>
      <c r="M1206" s="267"/>
      <c r="N1206" s="267"/>
      <c r="O1206" s="267"/>
      <c r="P1206" s="267"/>
      <c r="Q1206" s="256"/>
      <c r="R1206" s="267"/>
      <c r="S1206" s="256"/>
      <c r="T1206" s="267"/>
      <c r="U1206" s="267"/>
      <c r="V1206" s="268"/>
      <c r="W1206" s="267"/>
      <c r="X1206" s="203"/>
      <c r="Y1206" s="268"/>
      <c r="Z1206" s="256"/>
      <c r="AA1206" s="267"/>
      <c r="AB1206" s="209"/>
      <c r="AC1206" s="268"/>
      <c r="AD1206" s="256"/>
      <c r="AE1206" s="269">
        <f t="shared" si="117"/>
        <v>0</v>
      </c>
      <c r="AF1206" s="209">
        <v>2502</v>
      </c>
      <c r="AG1206" s="270">
        <v>43299</v>
      </c>
      <c r="AH1206" s="256">
        <v>12613650</v>
      </c>
      <c r="AI1206" s="267" t="s">
        <v>1573</v>
      </c>
      <c r="AJ1206" s="271"/>
      <c r="AK1206" s="267"/>
      <c r="AL1206" s="256">
        <v>12613650</v>
      </c>
      <c r="AM1206" s="256">
        <v>0</v>
      </c>
      <c r="AN1206" s="267"/>
      <c r="AO1206" s="267"/>
      <c r="AP1206" s="267"/>
      <c r="AQ1206" s="267"/>
      <c r="AR1206" s="267"/>
      <c r="AS1206" s="267"/>
      <c r="AT1206" s="267"/>
      <c r="AU1206" s="267"/>
    </row>
    <row r="1207" spans="1:47" x14ac:dyDescent="0.2">
      <c r="A1207" s="209">
        <v>45</v>
      </c>
      <c r="B1207" s="209"/>
      <c r="C1207" s="267"/>
      <c r="D1207" s="267"/>
      <c r="E1207" s="267"/>
      <c r="F1207" s="267"/>
      <c r="G1207" s="267"/>
      <c r="H1207" s="267" t="s">
        <v>232</v>
      </c>
      <c r="I1207" s="267"/>
      <c r="J1207" s="267"/>
      <c r="K1207" s="267"/>
      <c r="L1207" s="267"/>
      <c r="M1207" s="267"/>
      <c r="N1207" s="267"/>
      <c r="O1207" s="267"/>
      <c r="P1207" s="267"/>
      <c r="Q1207" s="256"/>
      <c r="R1207" s="267"/>
      <c r="S1207" s="256"/>
      <c r="T1207" s="267"/>
      <c r="U1207" s="267"/>
      <c r="V1207" s="268"/>
      <c r="W1207" s="267"/>
      <c r="X1207" s="203"/>
      <c r="Y1207" s="268"/>
      <c r="Z1207" s="256"/>
      <c r="AA1207" s="267"/>
      <c r="AB1207" s="209">
        <v>909</v>
      </c>
      <c r="AC1207" s="268">
        <v>43273</v>
      </c>
      <c r="AD1207" s="256">
        <v>450000</v>
      </c>
      <c r="AE1207" s="269">
        <f t="shared" si="117"/>
        <v>-450000</v>
      </c>
      <c r="AF1207" s="209">
        <v>2549</v>
      </c>
      <c r="AG1207" s="270">
        <v>43312</v>
      </c>
      <c r="AH1207" s="256">
        <v>450000</v>
      </c>
      <c r="AI1207" s="267" t="s">
        <v>3735</v>
      </c>
      <c r="AJ1207" s="271"/>
      <c r="AK1207" s="267"/>
      <c r="AL1207" s="256">
        <v>0</v>
      </c>
      <c r="AM1207" s="256">
        <v>450000</v>
      </c>
      <c r="AN1207" s="267"/>
      <c r="AO1207" s="267"/>
      <c r="AP1207" s="267"/>
      <c r="AQ1207" s="267"/>
      <c r="AR1207" s="267"/>
      <c r="AS1207" s="267"/>
      <c r="AT1207" s="267"/>
      <c r="AU1207" s="267"/>
    </row>
    <row r="1208" spans="1:47" x14ac:dyDescent="0.2">
      <c r="A1208" s="209">
        <v>46</v>
      </c>
      <c r="B1208" s="209" t="s">
        <v>237</v>
      </c>
      <c r="C1208" s="267" t="s">
        <v>49</v>
      </c>
      <c r="D1208" s="267" t="s">
        <v>50</v>
      </c>
      <c r="E1208" s="267" t="s">
        <v>50</v>
      </c>
      <c r="F1208" s="267" t="s">
        <v>230</v>
      </c>
      <c r="G1208" s="267" t="s">
        <v>231</v>
      </c>
      <c r="H1208" s="267" t="s">
        <v>238</v>
      </c>
      <c r="I1208" s="267" t="s">
        <v>54</v>
      </c>
      <c r="J1208" s="267" t="s">
        <v>55</v>
      </c>
      <c r="K1208" s="267">
        <v>83101500</v>
      </c>
      <c r="L1208" s="267"/>
      <c r="M1208" s="267"/>
      <c r="N1208" s="267"/>
      <c r="O1208" s="267"/>
      <c r="P1208" s="267" t="s">
        <v>239</v>
      </c>
      <c r="Q1208" s="256">
        <v>1850000</v>
      </c>
      <c r="R1208" s="267">
        <v>1</v>
      </c>
      <c r="S1208" s="256">
        <v>22866000</v>
      </c>
      <c r="T1208" s="267"/>
      <c r="U1208" s="267" t="s">
        <v>234</v>
      </c>
      <c r="V1208" s="268" t="s">
        <v>235</v>
      </c>
      <c r="W1208" s="267">
        <v>12</v>
      </c>
      <c r="X1208" s="203" t="s">
        <v>236</v>
      </c>
      <c r="Y1208" s="268"/>
      <c r="Z1208" s="256">
        <v>22866000</v>
      </c>
      <c r="AA1208" s="267"/>
      <c r="AB1208" s="209">
        <v>128</v>
      </c>
      <c r="AC1208" s="268" t="s">
        <v>1513</v>
      </c>
      <c r="AD1208" s="256">
        <v>22866000</v>
      </c>
      <c r="AE1208" s="269">
        <f t="shared" si="117"/>
        <v>0</v>
      </c>
      <c r="AF1208" s="209">
        <v>1379</v>
      </c>
      <c r="AG1208" s="270">
        <v>43147</v>
      </c>
      <c r="AH1208" s="256">
        <v>3148870</v>
      </c>
      <c r="AI1208" s="267" t="s">
        <v>1574</v>
      </c>
      <c r="AJ1208" s="271"/>
      <c r="AK1208" s="267"/>
      <c r="AL1208" s="256">
        <v>3148870</v>
      </c>
      <c r="AM1208" s="256">
        <v>0</v>
      </c>
      <c r="AN1208" s="267"/>
      <c r="AO1208" s="267"/>
      <c r="AP1208" s="267"/>
      <c r="AQ1208" s="267"/>
      <c r="AR1208" s="267"/>
      <c r="AS1208" s="267"/>
      <c r="AT1208" s="267"/>
      <c r="AU1208" s="267"/>
    </row>
    <row r="1209" spans="1:47" x14ac:dyDescent="0.2">
      <c r="A1209" s="209">
        <v>46</v>
      </c>
      <c r="B1209" s="209"/>
      <c r="C1209" s="267"/>
      <c r="D1209" s="267"/>
      <c r="E1209" s="267"/>
      <c r="F1209" s="267"/>
      <c r="G1209" s="267"/>
      <c r="H1209" s="267" t="s">
        <v>238</v>
      </c>
      <c r="I1209" s="267"/>
      <c r="J1209" s="267"/>
      <c r="K1209" s="267"/>
      <c r="L1209" s="267"/>
      <c r="M1209" s="267"/>
      <c r="N1209" s="267"/>
      <c r="O1209" s="267"/>
      <c r="P1209" s="267"/>
      <c r="Q1209" s="256"/>
      <c r="R1209" s="267"/>
      <c r="S1209" s="256"/>
      <c r="T1209" s="267"/>
      <c r="U1209" s="267"/>
      <c r="V1209" s="268"/>
      <c r="W1209" s="267"/>
      <c r="X1209" s="203"/>
      <c r="Y1209" s="268"/>
      <c r="Z1209" s="256"/>
      <c r="AA1209" s="267"/>
      <c r="AB1209" s="209"/>
      <c r="AC1209" s="268"/>
      <c r="AD1209" s="256"/>
      <c r="AE1209" s="269">
        <f t="shared" si="117"/>
        <v>0</v>
      </c>
      <c r="AF1209" s="209">
        <v>1804</v>
      </c>
      <c r="AG1209" s="270">
        <v>43206</v>
      </c>
      <c r="AH1209" s="256">
        <v>4058310</v>
      </c>
      <c r="AI1209" s="267" t="s">
        <v>1574</v>
      </c>
      <c r="AJ1209" s="271"/>
      <c r="AK1209" s="267"/>
      <c r="AL1209" s="256">
        <v>4058310</v>
      </c>
      <c r="AM1209" s="256">
        <v>0</v>
      </c>
      <c r="AN1209" s="267"/>
      <c r="AO1209" s="267"/>
      <c r="AP1209" s="267"/>
      <c r="AQ1209" s="267"/>
      <c r="AR1209" s="267"/>
      <c r="AS1209" s="267"/>
      <c r="AT1209" s="267"/>
      <c r="AU1209" s="267"/>
    </row>
    <row r="1210" spans="1:47" x14ac:dyDescent="0.2">
      <c r="A1210" s="209">
        <v>46</v>
      </c>
      <c r="B1210" s="209"/>
      <c r="C1210" s="267"/>
      <c r="D1210" s="267"/>
      <c r="E1210" s="267"/>
      <c r="F1210" s="267"/>
      <c r="G1210" s="267"/>
      <c r="H1210" s="267" t="s">
        <v>238</v>
      </c>
      <c r="I1210" s="267"/>
      <c r="J1210" s="267"/>
      <c r="K1210" s="267"/>
      <c r="L1210" s="267"/>
      <c r="M1210" s="267"/>
      <c r="N1210" s="267"/>
      <c r="O1210" s="267"/>
      <c r="P1210" s="267"/>
      <c r="Q1210" s="256"/>
      <c r="R1210" s="267"/>
      <c r="S1210" s="256"/>
      <c r="T1210" s="267"/>
      <c r="U1210" s="267"/>
      <c r="V1210" s="268"/>
      <c r="W1210" s="267"/>
      <c r="X1210" s="203"/>
      <c r="Y1210" s="268"/>
      <c r="Z1210" s="256"/>
      <c r="AA1210" s="267"/>
      <c r="AB1210" s="209"/>
      <c r="AC1210" s="268"/>
      <c r="AD1210" s="256"/>
      <c r="AE1210" s="269">
        <f t="shared" si="117"/>
        <v>0</v>
      </c>
      <c r="AF1210" s="209">
        <v>2016</v>
      </c>
      <c r="AG1210" s="270">
        <v>43266</v>
      </c>
      <c r="AH1210" s="256">
        <v>1901250</v>
      </c>
      <c r="AI1210" s="267" t="s">
        <v>1574</v>
      </c>
      <c r="AJ1210" s="271"/>
      <c r="AK1210" s="267"/>
      <c r="AL1210" s="256">
        <v>1901250</v>
      </c>
      <c r="AM1210" s="256">
        <v>0</v>
      </c>
      <c r="AN1210" s="267"/>
      <c r="AO1210" s="267"/>
      <c r="AP1210" s="267"/>
      <c r="AQ1210" s="267"/>
      <c r="AR1210" s="267"/>
      <c r="AS1210" s="267"/>
      <c r="AT1210" s="267"/>
      <c r="AU1210" s="267"/>
    </row>
    <row r="1211" spans="1:47" x14ac:dyDescent="0.2">
      <c r="A1211" s="209">
        <v>47</v>
      </c>
      <c r="B1211" s="209" t="s">
        <v>240</v>
      </c>
      <c r="C1211" s="267" t="s">
        <v>49</v>
      </c>
      <c r="D1211" s="267" t="s">
        <v>50</v>
      </c>
      <c r="E1211" s="267" t="s">
        <v>50</v>
      </c>
      <c r="F1211" s="267" t="s">
        <v>230</v>
      </c>
      <c r="G1211" s="267" t="s">
        <v>231</v>
      </c>
      <c r="H1211" s="267" t="s">
        <v>241</v>
      </c>
      <c r="I1211" s="267" t="s">
        <v>54</v>
      </c>
      <c r="J1211" s="267" t="s">
        <v>55</v>
      </c>
      <c r="K1211" s="267">
        <v>83101500</v>
      </c>
      <c r="L1211" s="267"/>
      <c r="M1211" s="267"/>
      <c r="N1211" s="267"/>
      <c r="O1211" s="267"/>
      <c r="P1211" s="267" t="s">
        <v>242</v>
      </c>
      <c r="Q1211" s="256">
        <v>983333.33333333337</v>
      </c>
      <c r="R1211" s="267">
        <v>1</v>
      </c>
      <c r="S1211" s="256">
        <v>12144000</v>
      </c>
      <c r="T1211" s="267"/>
      <c r="U1211" s="267" t="s">
        <v>234</v>
      </c>
      <c r="V1211" s="268" t="s">
        <v>235</v>
      </c>
      <c r="W1211" s="267">
        <v>12</v>
      </c>
      <c r="X1211" s="203" t="s">
        <v>236</v>
      </c>
      <c r="Y1211" s="268"/>
      <c r="Z1211" s="256">
        <v>12144000</v>
      </c>
      <c r="AA1211" s="267"/>
      <c r="AB1211" s="209">
        <v>130</v>
      </c>
      <c r="AC1211" s="268" t="s">
        <v>1513</v>
      </c>
      <c r="AD1211" s="256">
        <v>12144000</v>
      </c>
      <c r="AE1211" s="269">
        <f t="shared" si="117"/>
        <v>0</v>
      </c>
      <c r="AF1211" s="209">
        <v>1380</v>
      </c>
      <c r="AG1211" s="270">
        <v>43147</v>
      </c>
      <c r="AH1211" s="256">
        <v>1730670</v>
      </c>
      <c r="AI1211" s="267" t="s">
        <v>1574</v>
      </c>
      <c r="AJ1211" s="271"/>
      <c r="AK1211" s="267"/>
      <c r="AL1211" s="256">
        <v>1730670</v>
      </c>
      <c r="AM1211" s="256">
        <v>0</v>
      </c>
      <c r="AN1211" s="267"/>
      <c r="AO1211" s="267"/>
      <c r="AP1211" s="267"/>
      <c r="AQ1211" s="267"/>
      <c r="AR1211" s="267"/>
      <c r="AS1211" s="267"/>
      <c r="AT1211" s="267"/>
      <c r="AU1211" s="267"/>
    </row>
    <row r="1212" spans="1:47" x14ac:dyDescent="0.2">
      <c r="A1212" s="209">
        <v>47</v>
      </c>
      <c r="B1212" s="209"/>
      <c r="C1212" s="267"/>
      <c r="D1212" s="267"/>
      <c r="E1212" s="267"/>
      <c r="F1212" s="267"/>
      <c r="G1212" s="267"/>
      <c r="H1212" s="267" t="s">
        <v>241</v>
      </c>
      <c r="I1212" s="267"/>
      <c r="J1212" s="267"/>
      <c r="K1212" s="267"/>
      <c r="L1212" s="267"/>
      <c r="M1212" s="267"/>
      <c r="N1212" s="267"/>
      <c r="O1212" s="267"/>
      <c r="P1212" s="267"/>
      <c r="Q1212" s="256"/>
      <c r="R1212" s="267"/>
      <c r="S1212" s="256"/>
      <c r="T1212" s="267"/>
      <c r="U1212" s="267"/>
      <c r="V1212" s="268"/>
      <c r="W1212" s="267"/>
      <c r="X1212" s="203"/>
      <c r="Y1212" s="268"/>
      <c r="Z1212" s="256"/>
      <c r="AA1212" s="267"/>
      <c r="AB1212" s="209"/>
      <c r="AC1212" s="268"/>
      <c r="AD1212" s="256"/>
      <c r="AE1212" s="269">
        <f t="shared" si="117"/>
        <v>0</v>
      </c>
      <c r="AF1212" s="209">
        <v>1803</v>
      </c>
      <c r="AG1212" s="270">
        <v>43206</v>
      </c>
      <c r="AH1212" s="256">
        <v>1863913</v>
      </c>
      <c r="AI1212" s="267" t="s">
        <v>1574</v>
      </c>
      <c r="AJ1212" s="271"/>
      <c r="AK1212" s="267"/>
      <c r="AL1212" s="256">
        <v>1863913</v>
      </c>
      <c r="AM1212" s="256">
        <v>0</v>
      </c>
      <c r="AN1212" s="267"/>
      <c r="AO1212" s="267"/>
      <c r="AP1212" s="267"/>
      <c r="AQ1212" s="267"/>
      <c r="AR1212" s="267"/>
      <c r="AS1212" s="267"/>
      <c r="AT1212" s="267"/>
      <c r="AU1212" s="267"/>
    </row>
    <row r="1213" spans="1:47" x14ac:dyDescent="0.2">
      <c r="A1213" s="209">
        <v>48</v>
      </c>
      <c r="B1213" s="209" t="s">
        <v>243</v>
      </c>
      <c r="C1213" s="267" t="s">
        <v>49</v>
      </c>
      <c r="D1213" s="267" t="s">
        <v>50</v>
      </c>
      <c r="E1213" s="267" t="s">
        <v>50</v>
      </c>
      <c r="F1213" s="267" t="s">
        <v>230</v>
      </c>
      <c r="G1213" s="267" t="s">
        <v>231</v>
      </c>
      <c r="H1213" s="267" t="s">
        <v>244</v>
      </c>
      <c r="I1213" s="267" t="s">
        <v>54</v>
      </c>
      <c r="J1213" s="267" t="s">
        <v>55</v>
      </c>
      <c r="K1213" s="267">
        <v>83111501</v>
      </c>
      <c r="L1213" s="267"/>
      <c r="M1213" s="267"/>
      <c r="N1213" s="267"/>
      <c r="O1213" s="267"/>
      <c r="P1213" s="267" t="s">
        <v>245</v>
      </c>
      <c r="Q1213" s="256">
        <v>7600000</v>
      </c>
      <c r="R1213" s="267">
        <v>1</v>
      </c>
      <c r="S1213" s="256">
        <v>93936000</v>
      </c>
      <c r="T1213" s="267"/>
      <c r="U1213" s="267" t="s">
        <v>234</v>
      </c>
      <c r="V1213" s="268" t="s">
        <v>235</v>
      </c>
      <c r="W1213" s="267">
        <v>12</v>
      </c>
      <c r="X1213" s="203" t="s">
        <v>236</v>
      </c>
      <c r="Y1213" s="268"/>
      <c r="Z1213" s="256">
        <v>93936000</v>
      </c>
      <c r="AA1213" s="267"/>
      <c r="AB1213" s="209">
        <v>129</v>
      </c>
      <c r="AC1213" s="268" t="s">
        <v>1513</v>
      </c>
      <c r="AD1213" s="256">
        <v>93936000</v>
      </c>
      <c r="AE1213" s="269">
        <f t="shared" si="117"/>
        <v>0</v>
      </c>
      <c r="AF1213" s="209">
        <v>313</v>
      </c>
      <c r="AG1213" s="270">
        <v>43122</v>
      </c>
      <c r="AH1213" s="256">
        <v>5467334</v>
      </c>
      <c r="AI1213" s="267" t="s">
        <v>3736</v>
      </c>
      <c r="AJ1213" s="271">
        <v>564832</v>
      </c>
      <c r="AK1213" s="267"/>
      <c r="AL1213" s="256">
        <v>5467334</v>
      </c>
      <c r="AM1213" s="256">
        <v>0</v>
      </c>
      <c r="AN1213" s="267"/>
      <c r="AO1213" s="267"/>
      <c r="AP1213" s="267"/>
      <c r="AQ1213" s="267"/>
      <c r="AR1213" s="267"/>
      <c r="AS1213" s="267"/>
      <c r="AT1213" s="267"/>
      <c r="AU1213" s="267"/>
    </row>
    <row r="1214" spans="1:47" x14ac:dyDescent="0.2">
      <c r="A1214" s="209">
        <v>49</v>
      </c>
      <c r="B1214" s="209" t="s">
        <v>246</v>
      </c>
      <c r="C1214" s="267" t="s">
        <v>49</v>
      </c>
      <c r="D1214" s="267" t="s">
        <v>50</v>
      </c>
      <c r="E1214" s="267" t="s">
        <v>50</v>
      </c>
      <c r="F1214" s="267" t="s">
        <v>230</v>
      </c>
      <c r="G1214" s="267" t="s">
        <v>231</v>
      </c>
      <c r="H1214" s="267" t="s">
        <v>247</v>
      </c>
      <c r="I1214" s="267" t="s">
        <v>54</v>
      </c>
      <c r="J1214" s="267" t="s">
        <v>55</v>
      </c>
      <c r="K1214" s="267">
        <v>86101700</v>
      </c>
      <c r="L1214" s="267"/>
      <c r="M1214" s="267"/>
      <c r="N1214" s="267"/>
      <c r="O1214" s="267"/>
      <c r="P1214" s="267" t="s">
        <v>248</v>
      </c>
      <c r="Q1214" s="256">
        <v>4895214.2857142854</v>
      </c>
      <c r="R1214" s="267">
        <v>1</v>
      </c>
      <c r="S1214" s="256">
        <v>34266500</v>
      </c>
      <c r="T1214" s="267"/>
      <c r="U1214" s="267" t="s">
        <v>249</v>
      </c>
      <c r="V1214" s="268">
        <v>43189</v>
      </c>
      <c r="W1214" s="267">
        <v>7</v>
      </c>
      <c r="X1214" s="203" t="s">
        <v>250</v>
      </c>
      <c r="Y1214" s="268">
        <v>43264</v>
      </c>
      <c r="Z1214" s="256">
        <v>34250000</v>
      </c>
      <c r="AA1214" s="267"/>
      <c r="AB1214" s="209">
        <v>890</v>
      </c>
      <c r="AC1214" s="268">
        <v>43266</v>
      </c>
      <c r="AD1214" s="256">
        <v>34250000</v>
      </c>
      <c r="AE1214" s="269">
        <f t="shared" si="117"/>
        <v>16500</v>
      </c>
      <c r="AF1214" s="209"/>
      <c r="AG1214" s="270"/>
      <c r="AH1214" s="256"/>
      <c r="AI1214" s="267"/>
      <c r="AJ1214" s="271"/>
      <c r="AK1214" s="267"/>
      <c r="AL1214" s="256"/>
      <c r="AM1214" s="256"/>
      <c r="AN1214" s="267"/>
      <c r="AO1214" s="267"/>
      <c r="AP1214" s="267"/>
      <c r="AQ1214" s="267"/>
      <c r="AR1214" s="267"/>
      <c r="AS1214" s="267"/>
      <c r="AT1214" s="267"/>
      <c r="AU1214" s="267"/>
    </row>
    <row r="1215" spans="1:47" x14ac:dyDescent="0.2">
      <c r="A1215" s="209">
        <v>50</v>
      </c>
      <c r="B1215" s="209" t="s">
        <v>251</v>
      </c>
      <c r="C1215" s="267" t="s">
        <v>49</v>
      </c>
      <c r="D1215" s="267" t="s">
        <v>50</v>
      </c>
      <c r="E1215" s="267" t="s">
        <v>50</v>
      </c>
      <c r="F1215" s="267" t="s">
        <v>230</v>
      </c>
      <c r="G1215" s="267" t="s">
        <v>231</v>
      </c>
      <c r="H1215" s="267" t="s">
        <v>247</v>
      </c>
      <c r="I1215" s="267" t="s">
        <v>54</v>
      </c>
      <c r="J1215" s="267" t="s">
        <v>55</v>
      </c>
      <c r="K1215" s="267" t="s">
        <v>252</v>
      </c>
      <c r="L1215" s="267"/>
      <c r="M1215" s="267"/>
      <c r="N1215" s="267"/>
      <c r="O1215" s="267"/>
      <c r="P1215" s="267" t="s">
        <v>253</v>
      </c>
      <c r="Q1215" s="256">
        <v>875500</v>
      </c>
      <c r="R1215" s="267">
        <v>1</v>
      </c>
      <c r="S1215" s="256">
        <v>875500</v>
      </c>
      <c r="T1215" s="267"/>
      <c r="U1215" s="267" t="s">
        <v>234</v>
      </c>
      <c r="V1215" s="268" t="s">
        <v>235</v>
      </c>
      <c r="W1215" s="267">
        <v>1</v>
      </c>
      <c r="X1215" s="203"/>
      <c r="Y1215" s="268"/>
      <c r="Z1215" s="256"/>
      <c r="AA1215" s="267"/>
      <c r="AB1215" s="209"/>
      <c r="AC1215" s="268"/>
      <c r="AD1215" s="256"/>
      <c r="AE1215" s="269">
        <f t="shared" si="117"/>
        <v>875500</v>
      </c>
      <c r="AF1215" s="209">
        <v>1456</v>
      </c>
      <c r="AG1215" s="270">
        <v>43153</v>
      </c>
      <c r="AH1215" s="256">
        <v>5852635</v>
      </c>
      <c r="AI1215" s="267" t="s">
        <v>3736</v>
      </c>
      <c r="AJ1215" s="271"/>
      <c r="AK1215" s="267"/>
      <c r="AL1215" s="256">
        <v>5852635</v>
      </c>
      <c r="AM1215" s="256">
        <v>0</v>
      </c>
      <c r="AN1215" s="267"/>
      <c r="AO1215" s="267"/>
      <c r="AP1215" s="267"/>
      <c r="AQ1215" s="267"/>
      <c r="AR1215" s="267"/>
      <c r="AS1215" s="267"/>
      <c r="AT1215" s="267"/>
      <c r="AU1215" s="267"/>
    </row>
    <row r="1216" spans="1:47" x14ac:dyDescent="0.2">
      <c r="A1216" s="209">
        <v>51</v>
      </c>
      <c r="B1216" s="209" t="s">
        <v>254</v>
      </c>
      <c r="C1216" s="267" t="s">
        <v>49</v>
      </c>
      <c r="D1216" s="267" t="s">
        <v>50</v>
      </c>
      <c r="E1216" s="267" t="s">
        <v>50</v>
      </c>
      <c r="F1216" s="267" t="s">
        <v>230</v>
      </c>
      <c r="G1216" s="267" t="s">
        <v>231</v>
      </c>
      <c r="H1216" s="267" t="s">
        <v>255</v>
      </c>
      <c r="I1216" s="267" t="s">
        <v>54</v>
      </c>
      <c r="J1216" s="267" t="s">
        <v>55</v>
      </c>
      <c r="K1216" s="267" t="s">
        <v>252</v>
      </c>
      <c r="L1216" s="267"/>
      <c r="M1216" s="267"/>
      <c r="N1216" s="267"/>
      <c r="O1216" s="267"/>
      <c r="P1216" s="267" t="s">
        <v>256</v>
      </c>
      <c r="Q1216" s="256"/>
      <c r="R1216" s="267">
        <v>1</v>
      </c>
      <c r="S1216" s="256">
        <v>7210000</v>
      </c>
      <c r="T1216" s="267"/>
      <c r="U1216" s="267" t="s">
        <v>234</v>
      </c>
      <c r="V1216" s="268" t="s">
        <v>235</v>
      </c>
      <c r="W1216" s="267" t="s">
        <v>235</v>
      </c>
      <c r="X1216" s="203" t="s">
        <v>257</v>
      </c>
      <c r="Y1216" s="268">
        <v>2022016</v>
      </c>
      <c r="Z1216" s="256">
        <v>7000000</v>
      </c>
      <c r="AA1216" s="267"/>
      <c r="AB1216" s="209">
        <v>628</v>
      </c>
      <c r="AC1216" s="268">
        <v>43136</v>
      </c>
      <c r="AD1216" s="256">
        <v>7000000</v>
      </c>
      <c r="AE1216" s="269">
        <f t="shared" si="117"/>
        <v>210000</v>
      </c>
      <c r="AF1216" s="209">
        <v>1525</v>
      </c>
      <c r="AG1216" s="270">
        <v>43164</v>
      </c>
      <c r="AH1216" s="256">
        <v>3879630</v>
      </c>
      <c r="AI1216" s="267" t="s">
        <v>518</v>
      </c>
      <c r="AJ1216" s="271"/>
      <c r="AK1216" s="267"/>
      <c r="AL1216" s="256">
        <v>3879630</v>
      </c>
      <c r="AM1216" s="256">
        <v>0</v>
      </c>
      <c r="AN1216" s="267"/>
      <c r="AO1216" s="267"/>
      <c r="AP1216" s="267"/>
      <c r="AQ1216" s="267"/>
      <c r="AR1216" s="267"/>
      <c r="AS1216" s="267"/>
      <c r="AT1216" s="267"/>
      <c r="AU1216" s="267"/>
    </row>
    <row r="1217" spans="1:47" x14ac:dyDescent="0.2">
      <c r="A1217" s="209">
        <v>51</v>
      </c>
      <c r="B1217" s="209"/>
      <c r="C1217" s="267"/>
      <c r="D1217" s="267"/>
      <c r="E1217" s="267"/>
      <c r="F1217" s="267"/>
      <c r="G1217" s="267"/>
      <c r="H1217" s="267" t="s">
        <v>255</v>
      </c>
      <c r="I1217" s="267"/>
      <c r="J1217" s="267"/>
      <c r="K1217" s="267"/>
      <c r="L1217" s="267"/>
      <c r="M1217" s="267"/>
      <c r="N1217" s="267"/>
      <c r="O1217" s="267"/>
      <c r="P1217" s="267"/>
      <c r="Q1217" s="256"/>
      <c r="R1217" s="267"/>
      <c r="S1217" s="256"/>
      <c r="T1217" s="267"/>
      <c r="U1217" s="267"/>
      <c r="V1217" s="268"/>
      <c r="W1217" s="267"/>
      <c r="X1217" s="203"/>
      <c r="Y1217" s="268"/>
      <c r="Z1217" s="256"/>
      <c r="AA1217" s="267"/>
      <c r="AB1217" s="209"/>
      <c r="AC1217" s="268"/>
      <c r="AD1217" s="256"/>
      <c r="AE1217" s="269">
        <f t="shared" si="117"/>
        <v>0</v>
      </c>
      <c r="AF1217" s="209">
        <v>1810</v>
      </c>
      <c r="AG1217" s="270">
        <v>43209</v>
      </c>
      <c r="AH1217" s="256">
        <v>505641</v>
      </c>
      <c r="AI1217" s="267" t="s">
        <v>3737</v>
      </c>
      <c r="AJ1217" s="271"/>
      <c r="AK1217" s="267"/>
      <c r="AL1217" s="256">
        <v>505641</v>
      </c>
      <c r="AM1217" s="256">
        <v>0</v>
      </c>
      <c r="AN1217" s="267"/>
      <c r="AO1217" s="267"/>
      <c r="AP1217" s="267"/>
      <c r="AQ1217" s="267"/>
      <c r="AR1217" s="267"/>
      <c r="AS1217" s="267"/>
      <c r="AT1217" s="267"/>
      <c r="AU1217" s="267"/>
    </row>
    <row r="1218" spans="1:47" x14ac:dyDescent="0.2">
      <c r="A1218" s="209">
        <v>52</v>
      </c>
      <c r="B1218" s="209" t="s">
        <v>258</v>
      </c>
      <c r="C1218" s="267" t="s">
        <v>49</v>
      </c>
      <c r="D1218" s="267" t="s">
        <v>50</v>
      </c>
      <c r="E1218" s="267" t="s">
        <v>50</v>
      </c>
      <c r="F1218" s="267" t="s">
        <v>230</v>
      </c>
      <c r="G1218" s="267" t="s">
        <v>231</v>
      </c>
      <c r="H1218" s="267" t="s">
        <v>255</v>
      </c>
      <c r="I1218" s="267" t="s">
        <v>54</v>
      </c>
      <c r="J1218" s="267" t="s">
        <v>55</v>
      </c>
      <c r="K1218" s="267">
        <v>93141506</v>
      </c>
      <c r="L1218" s="267"/>
      <c r="M1218" s="267"/>
      <c r="N1218" s="267"/>
      <c r="O1218" s="267"/>
      <c r="P1218" s="267" t="s">
        <v>259</v>
      </c>
      <c r="Q1218" s="256">
        <v>9426428.5714285709</v>
      </c>
      <c r="R1218" s="267">
        <v>1</v>
      </c>
      <c r="S1218" s="256">
        <v>63638098</v>
      </c>
      <c r="T1218" s="267" t="s">
        <v>260</v>
      </c>
      <c r="U1218" s="267" t="s">
        <v>249</v>
      </c>
      <c r="V1218" s="268">
        <v>43294</v>
      </c>
      <c r="W1218" s="267">
        <v>7</v>
      </c>
      <c r="X1218" s="203" t="s">
        <v>261</v>
      </c>
      <c r="Y1218" s="268">
        <v>43257</v>
      </c>
      <c r="Z1218" s="256">
        <v>63638000</v>
      </c>
      <c r="AA1218" s="267" t="s">
        <v>262</v>
      </c>
      <c r="AB1218" s="209">
        <v>884</v>
      </c>
      <c r="AC1218" s="268">
        <v>43259</v>
      </c>
      <c r="AD1218" s="256">
        <v>63638000</v>
      </c>
      <c r="AE1218" s="269">
        <f t="shared" si="117"/>
        <v>98</v>
      </c>
      <c r="AF1218" s="209"/>
      <c r="AG1218" s="270"/>
      <c r="AH1218" s="256"/>
      <c r="AI1218" s="267"/>
      <c r="AJ1218" s="271"/>
      <c r="AK1218" s="267"/>
      <c r="AL1218" s="256"/>
      <c r="AM1218" s="256"/>
      <c r="AN1218" s="267"/>
      <c r="AO1218" s="267"/>
      <c r="AP1218" s="267" t="s">
        <v>263</v>
      </c>
      <c r="AQ1218" s="267">
        <v>43215</v>
      </c>
      <c r="AR1218" s="267" t="s">
        <v>264</v>
      </c>
      <c r="AS1218" s="267">
        <v>43215</v>
      </c>
      <c r="AT1218" s="267"/>
      <c r="AU1218" s="267"/>
    </row>
    <row r="1219" spans="1:47" x14ac:dyDescent="0.2">
      <c r="A1219" s="209">
        <v>53</v>
      </c>
      <c r="B1219" s="209" t="s">
        <v>265</v>
      </c>
      <c r="C1219" s="267" t="s">
        <v>49</v>
      </c>
      <c r="D1219" s="267" t="s">
        <v>50</v>
      </c>
      <c r="E1219" s="267" t="s">
        <v>50</v>
      </c>
      <c r="F1219" s="267" t="s">
        <v>230</v>
      </c>
      <c r="G1219" s="267" t="s">
        <v>266</v>
      </c>
      <c r="H1219" s="267" t="s">
        <v>267</v>
      </c>
      <c r="I1219" s="267" t="s">
        <v>54</v>
      </c>
      <c r="J1219" s="267" t="s">
        <v>55</v>
      </c>
      <c r="K1219" s="267" t="s">
        <v>268</v>
      </c>
      <c r="L1219" s="267"/>
      <c r="M1219" s="267"/>
      <c r="N1219" s="267"/>
      <c r="O1219" s="267"/>
      <c r="P1219" s="267" t="s">
        <v>269</v>
      </c>
      <c r="Q1219" s="256">
        <v>27869964</v>
      </c>
      <c r="R1219" s="267">
        <v>1</v>
      </c>
      <c r="S1219" s="256">
        <v>27869964</v>
      </c>
      <c r="T1219" s="267" t="s">
        <v>270</v>
      </c>
      <c r="U1219" s="267" t="s">
        <v>324</v>
      </c>
      <c r="V1219" s="268">
        <v>43150</v>
      </c>
      <c r="W1219" s="267">
        <v>10</v>
      </c>
      <c r="X1219" s="203" t="s">
        <v>3738</v>
      </c>
      <c r="Y1219" s="268">
        <v>43269</v>
      </c>
      <c r="Z1219" s="256">
        <v>27869964</v>
      </c>
      <c r="AA1219" s="267" t="s">
        <v>271</v>
      </c>
      <c r="AB1219" s="209">
        <v>901</v>
      </c>
      <c r="AC1219" s="268">
        <v>43270</v>
      </c>
      <c r="AD1219" s="256">
        <v>27869964</v>
      </c>
      <c r="AE1219" s="269">
        <f t="shared" ref="AE1219:AE1256" si="118">S1219-AD1219</f>
        <v>0</v>
      </c>
      <c r="AF1219" s="209">
        <v>1589</v>
      </c>
      <c r="AG1219" s="270">
        <v>43175</v>
      </c>
      <c r="AH1219" s="256">
        <v>16000000</v>
      </c>
      <c r="AI1219" s="267" t="s">
        <v>3739</v>
      </c>
      <c r="AJ1219" s="271"/>
      <c r="AK1219" s="267"/>
      <c r="AL1219" s="256">
        <v>15909828</v>
      </c>
      <c r="AM1219" s="256">
        <v>90172</v>
      </c>
      <c r="AN1219" s="267"/>
      <c r="AO1219" s="267"/>
      <c r="AP1219" s="267" t="s">
        <v>3740</v>
      </c>
      <c r="AQ1219" s="267">
        <v>43266</v>
      </c>
      <c r="AR1219" s="267" t="s">
        <v>272</v>
      </c>
      <c r="AS1219" s="267">
        <v>43266</v>
      </c>
      <c r="AT1219" s="267"/>
      <c r="AU1219" s="267"/>
    </row>
    <row r="1220" spans="1:47" x14ac:dyDescent="0.2">
      <c r="A1220" s="209">
        <v>54</v>
      </c>
      <c r="B1220" s="209" t="s">
        <v>273</v>
      </c>
      <c r="C1220" s="267" t="s">
        <v>49</v>
      </c>
      <c r="D1220" s="267" t="s">
        <v>50</v>
      </c>
      <c r="E1220" s="267" t="s">
        <v>50</v>
      </c>
      <c r="F1220" s="267" t="s">
        <v>230</v>
      </c>
      <c r="G1220" s="267" t="s">
        <v>266</v>
      </c>
      <c r="H1220" s="267" t="s">
        <v>274</v>
      </c>
      <c r="I1220" s="267" t="s">
        <v>54</v>
      </c>
      <c r="J1220" s="267" t="s">
        <v>55</v>
      </c>
      <c r="K1220" s="267">
        <v>85122200</v>
      </c>
      <c r="L1220" s="267"/>
      <c r="M1220" s="267"/>
      <c r="N1220" s="267"/>
      <c r="O1220" s="267"/>
      <c r="P1220" s="267" t="s">
        <v>275</v>
      </c>
      <c r="Q1220" s="256">
        <v>6000000</v>
      </c>
      <c r="R1220" s="267"/>
      <c r="S1220" s="256">
        <v>6000000</v>
      </c>
      <c r="T1220" s="267" t="s">
        <v>260</v>
      </c>
      <c r="U1220" s="267" t="s">
        <v>276</v>
      </c>
      <c r="V1220" s="268">
        <v>43235</v>
      </c>
      <c r="W1220" s="267">
        <v>7</v>
      </c>
      <c r="X1220" s="203" t="s">
        <v>277</v>
      </c>
      <c r="Y1220" s="268">
        <v>43227</v>
      </c>
      <c r="Z1220" s="256">
        <v>5118446</v>
      </c>
      <c r="AA1220" s="267" t="s">
        <v>278</v>
      </c>
      <c r="AB1220" s="209">
        <v>822</v>
      </c>
      <c r="AC1220" s="268">
        <v>43230</v>
      </c>
      <c r="AD1220" s="256">
        <v>5118446</v>
      </c>
      <c r="AE1220" s="269">
        <f t="shared" si="118"/>
        <v>881554</v>
      </c>
      <c r="AF1220" s="209">
        <v>2550</v>
      </c>
      <c r="AG1220" s="270">
        <v>43312</v>
      </c>
      <c r="AH1220" s="256">
        <v>5003370</v>
      </c>
      <c r="AI1220" s="267" t="s">
        <v>3741</v>
      </c>
      <c r="AJ1220" s="271"/>
      <c r="AK1220" s="267"/>
      <c r="AL1220" s="256">
        <v>0</v>
      </c>
      <c r="AM1220" s="256">
        <v>5003370</v>
      </c>
      <c r="AN1220" s="267"/>
      <c r="AO1220" s="267"/>
      <c r="AP1220" s="267" t="s">
        <v>279</v>
      </c>
      <c r="AQ1220" s="267">
        <v>43227</v>
      </c>
      <c r="AR1220" s="267" t="s">
        <v>17</v>
      </c>
      <c r="AS1220" s="267">
        <v>43227</v>
      </c>
      <c r="AT1220" s="267"/>
      <c r="AU1220" s="267"/>
    </row>
    <row r="1221" spans="1:47" x14ac:dyDescent="0.2">
      <c r="A1221" s="209">
        <v>55</v>
      </c>
      <c r="B1221" s="209" t="s">
        <v>280</v>
      </c>
      <c r="C1221" s="267" t="s">
        <v>49</v>
      </c>
      <c r="D1221" s="267" t="s">
        <v>50</v>
      </c>
      <c r="E1221" s="267" t="s">
        <v>50</v>
      </c>
      <c r="F1221" s="267" t="s">
        <v>230</v>
      </c>
      <c r="G1221" s="267" t="s">
        <v>266</v>
      </c>
      <c r="H1221" s="267" t="s">
        <v>274</v>
      </c>
      <c r="I1221" s="267" t="s">
        <v>54</v>
      </c>
      <c r="J1221" s="267" t="s">
        <v>55</v>
      </c>
      <c r="K1221" s="267">
        <v>46180000</v>
      </c>
      <c r="L1221" s="267"/>
      <c r="M1221" s="267"/>
      <c r="N1221" s="267"/>
      <c r="O1221" s="267"/>
      <c r="P1221" s="267" t="s">
        <v>281</v>
      </c>
      <c r="Q1221" s="256">
        <v>3000000</v>
      </c>
      <c r="R1221" s="267"/>
      <c r="S1221" s="256">
        <v>3000000</v>
      </c>
      <c r="T1221" s="267" t="s">
        <v>270</v>
      </c>
      <c r="U1221" s="267" t="s">
        <v>276</v>
      </c>
      <c r="V1221" s="268">
        <v>43266</v>
      </c>
      <c r="W1221" s="267">
        <v>2</v>
      </c>
      <c r="X1221" s="203" t="s">
        <v>282</v>
      </c>
      <c r="Y1221" s="268">
        <v>43257</v>
      </c>
      <c r="Z1221" s="256">
        <v>2905801</v>
      </c>
      <c r="AA1221" s="267" t="s">
        <v>283</v>
      </c>
      <c r="AB1221" s="209">
        <v>885</v>
      </c>
      <c r="AC1221" s="268">
        <v>43259</v>
      </c>
      <c r="AD1221" s="256">
        <v>2905801</v>
      </c>
      <c r="AE1221" s="269">
        <f t="shared" si="118"/>
        <v>94199</v>
      </c>
      <c r="AF1221" s="209"/>
      <c r="AG1221" s="270"/>
      <c r="AH1221" s="256"/>
      <c r="AI1221" s="267"/>
      <c r="AJ1221" s="271"/>
      <c r="AK1221" s="267"/>
      <c r="AL1221" s="256"/>
      <c r="AM1221" s="256"/>
      <c r="AN1221" s="267"/>
      <c r="AO1221" s="267"/>
      <c r="AP1221" s="267" t="s">
        <v>284</v>
      </c>
      <c r="AQ1221" s="267"/>
      <c r="AR1221" s="267"/>
      <c r="AS1221" s="267"/>
      <c r="AT1221" s="267"/>
      <c r="AU1221" s="267"/>
    </row>
    <row r="1222" spans="1:47" x14ac:dyDescent="0.2">
      <c r="A1222" s="209">
        <v>56</v>
      </c>
      <c r="B1222" s="209" t="s">
        <v>285</v>
      </c>
      <c r="C1222" s="267" t="s">
        <v>49</v>
      </c>
      <c r="D1222" s="267" t="s">
        <v>50</v>
      </c>
      <c r="E1222" s="267" t="s">
        <v>50</v>
      </c>
      <c r="F1222" s="267" t="s">
        <v>230</v>
      </c>
      <c r="G1222" s="267" t="s">
        <v>266</v>
      </c>
      <c r="H1222" s="267" t="s">
        <v>274</v>
      </c>
      <c r="I1222" s="267" t="s">
        <v>54</v>
      </c>
      <c r="J1222" s="267" t="s">
        <v>55</v>
      </c>
      <c r="K1222" s="267">
        <v>46140000</v>
      </c>
      <c r="L1222" s="267"/>
      <c r="M1222" s="267"/>
      <c r="N1222" s="267"/>
      <c r="O1222" s="267"/>
      <c r="P1222" s="267" t="s">
        <v>286</v>
      </c>
      <c r="Q1222" s="256">
        <v>2000000</v>
      </c>
      <c r="R1222" s="267"/>
      <c r="S1222" s="256">
        <v>2000000</v>
      </c>
      <c r="T1222" s="267"/>
      <c r="U1222" s="267" t="s">
        <v>276</v>
      </c>
      <c r="V1222" s="268">
        <v>43335</v>
      </c>
      <c r="W1222" s="267">
        <v>2</v>
      </c>
      <c r="X1222" s="203"/>
      <c r="Y1222" s="268"/>
      <c r="Z1222" s="256"/>
      <c r="AA1222" s="267" t="s">
        <v>287</v>
      </c>
      <c r="AB1222" s="209"/>
      <c r="AC1222" s="268"/>
      <c r="AD1222" s="256"/>
      <c r="AE1222" s="269">
        <f t="shared" si="118"/>
        <v>2000000</v>
      </c>
      <c r="AF1222" s="209"/>
      <c r="AG1222" s="270"/>
      <c r="AH1222" s="256"/>
      <c r="AI1222" s="267"/>
      <c r="AJ1222" s="271"/>
      <c r="AK1222" s="267"/>
      <c r="AL1222" s="256"/>
      <c r="AM1222" s="256"/>
      <c r="AN1222" s="267"/>
      <c r="AO1222" s="267"/>
      <c r="AP1222" s="267" t="s">
        <v>284</v>
      </c>
      <c r="AQ1222" s="267"/>
      <c r="AR1222" s="267"/>
      <c r="AS1222" s="267"/>
      <c r="AT1222" s="267"/>
      <c r="AU1222" s="267"/>
    </row>
    <row r="1223" spans="1:47" x14ac:dyDescent="0.2">
      <c r="A1223" s="209">
        <v>57</v>
      </c>
      <c r="B1223" s="209" t="s">
        <v>288</v>
      </c>
      <c r="C1223" s="267" t="s">
        <v>49</v>
      </c>
      <c r="D1223" s="267" t="s">
        <v>50</v>
      </c>
      <c r="E1223" s="267" t="s">
        <v>50</v>
      </c>
      <c r="F1223" s="267" t="s">
        <v>230</v>
      </c>
      <c r="G1223" s="267" t="s">
        <v>266</v>
      </c>
      <c r="H1223" s="267" t="s">
        <v>289</v>
      </c>
      <c r="I1223" s="267" t="s">
        <v>54</v>
      </c>
      <c r="J1223" s="267" t="s">
        <v>55</v>
      </c>
      <c r="K1223" s="267">
        <v>44120000</v>
      </c>
      <c r="L1223" s="267"/>
      <c r="M1223" s="267"/>
      <c r="N1223" s="267"/>
      <c r="O1223" s="267"/>
      <c r="P1223" s="267" t="s">
        <v>290</v>
      </c>
      <c r="Q1223" s="256">
        <v>27216794</v>
      </c>
      <c r="R1223" s="267"/>
      <c r="S1223" s="256">
        <v>27216794</v>
      </c>
      <c r="T1223" s="267" t="s">
        <v>270</v>
      </c>
      <c r="U1223" s="267" t="s">
        <v>50</v>
      </c>
      <c r="V1223" s="268">
        <v>43157</v>
      </c>
      <c r="W1223" s="267">
        <v>8</v>
      </c>
      <c r="X1223" s="203" t="s">
        <v>291</v>
      </c>
      <c r="Y1223" s="268">
        <v>43158</v>
      </c>
      <c r="Z1223" s="256">
        <v>16000000</v>
      </c>
      <c r="AA1223" s="267"/>
      <c r="AB1223" s="209">
        <v>671</v>
      </c>
      <c r="AC1223" s="268">
        <v>43161</v>
      </c>
      <c r="AD1223" s="256">
        <v>16000000</v>
      </c>
      <c r="AE1223" s="269">
        <f t="shared" si="118"/>
        <v>11216794</v>
      </c>
      <c r="AF1223" s="209">
        <v>1585</v>
      </c>
      <c r="AG1223" s="270">
        <v>43174</v>
      </c>
      <c r="AH1223" s="256">
        <v>114900</v>
      </c>
      <c r="AI1223" s="267" t="s">
        <v>518</v>
      </c>
      <c r="AJ1223" s="271"/>
      <c r="AK1223" s="267"/>
      <c r="AL1223" s="256">
        <v>114900</v>
      </c>
      <c r="AM1223" s="256">
        <v>0</v>
      </c>
      <c r="AN1223" s="267"/>
      <c r="AO1223" s="267"/>
      <c r="AP1223" s="267" t="s">
        <v>292</v>
      </c>
      <c r="AQ1223" s="267"/>
      <c r="AR1223" s="267"/>
      <c r="AS1223" s="267"/>
      <c r="AT1223" s="267"/>
      <c r="AU1223" s="267"/>
    </row>
    <row r="1224" spans="1:47" x14ac:dyDescent="0.2">
      <c r="A1224" s="209">
        <v>58</v>
      </c>
      <c r="B1224" s="209" t="s">
        <v>293</v>
      </c>
      <c r="C1224" s="267" t="s">
        <v>49</v>
      </c>
      <c r="D1224" s="267" t="s">
        <v>50</v>
      </c>
      <c r="E1224" s="267" t="s">
        <v>50</v>
      </c>
      <c r="F1224" s="267" t="s">
        <v>230</v>
      </c>
      <c r="G1224" s="267" t="s">
        <v>266</v>
      </c>
      <c r="H1224" s="267" t="s">
        <v>294</v>
      </c>
      <c r="I1224" s="267" t="s">
        <v>54</v>
      </c>
      <c r="J1224" s="267" t="s">
        <v>55</v>
      </c>
      <c r="K1224" s="267">
        <v>78181700</v>
      </c>
      <c r="L1224" s="267"/>
      <c r="M1224" s="267"/>
      <c r="N1224" s="267"/>
      <c r="O1224" s="267"/>
      <c r="P1224" s="267" t="s">
        <v>295</v>
      </c>
      <c r="Q1224" s="256">
        <v>1000000</v>
      </c>
      <c r="R1224" s="267"/>
      <c r="S1224" s="256">
        <v>1000000</v>
      </c>
      <c r="T1224" s="267"/>
      <c r="U1224" s="267" t="s">
        <v>276</v>
      </c>
      <c r="V1224" s="268">
        <v>43276</v>
      </c>
      <c r="W1224" s="267">
        <v>7</v>
      </c>
      <c r="X1224" s="203"/>
      <c r="Y1224" s="268"/>
      <c r="Z1224" s="256"/>
      <c r="AA1224" s="267"/>
      <c r="AB1224" s="209"/>
      <c r="AC1224" s="268"/>
      <c r="AD1224" s="256"/>
      <c r="AE1224" s="269">
        <f t="shared" si="118"/>
        <v>1000000</v>
      </c>
      <c r="AF1224" s="209">
        <v>1619</v>
      </c>
      <c r="AG1224" s="270">
        <v>43181</v>
      </c>
      <c r="AH1224" s="256">
        <v>5483480</v>
      </c>
      <c r="AI1224" s="267" t="s">
        <v>3736</v>
      </c>
      <c r="AJ1224" s="271"/>
      <c r="AK1224" s="267"/>
      <c r="AL1224" s="256">
        <v>5483480</v>
      </c>
      <c r="AM1224" s="256">
        <v>0</v>
      </c>
      <c r="AN1224" s="267"/>
      <c r="AO1224" s="267"/>
      <c r="AP1224" s="267" t="s">
        <v>296</v>
      </c>
      <c r="AQ1224" s="267"/>
      <c r="AR1224" s="267"/>
      <c r="AS1224" s="267"/>
      <c r="AT1224" s="267"/>
      <c r="AU1224" s="267"/>
    </row>
    <row r="1225" spans="1:47" x14ac:dyDescent="0.2">
      <c r="A1225" s="209">
        <v>59</v>
      </c>
      <c r="B1225" s="209" t="s">
        <v>297</v>
      </c>
      <c r="C1225" s="267" t="s">
        <v>49</v>
      </c>
      <c r="D1225" s="267" t="s">
        <v>50</v>
      </c>
      <c r="E1225" s="267" t="s">
        <v>50</v>
      </c>
      <c r="F1225" s="267" t="s">
        <v>230</v>
      </c>
      <c r="G1225" s="267" t="s">
        <v>266</v>
      </c>
      <c r="H1225" s="267" t="s">
        <v>298</v>
      </c>
      <c r="I1225" s="267" t="s">
        <v>54</v>
      </c>
      <c r="J1225" s="267" t="s">
        <v>55</v>
      </c>
      <c r="K1225" s="267">
        <v>44120000</v>
      </c>
      <c r="L1225" s="267"/>
      <c r="M1225" s="267"/>
      <c r="N1225" s="267"/>
      <c r="O1225" s="267"/>
      <c r="P1225" s="267" t="s">
        <v>299</v>
      </c>
      <c r="Q1225" s="256">
        <v>28840000</v>
      </c>
      <c r="R1225" s="267"/>
      <c r="S1225" s="256">
        <v>28840000</v>
      </c>
      <c r="T1225" s="267"/>
      <c r="U1225" s="267" t="s">
        <v>249</v>
      </c>
      <c r="V1225" s="268">
        <v>43244</v>
      </c>
      <c r="W1225" s="267">
        <v>10</v>
      </c>
      <c r="X1225" s="203"/>
      <c r="Y1225" s="268"/>
      <c r="Z1225" s="256"/>
      <c r="AA1225" s="267"/>
      <c r="AB1225" s="209"/>
      <c r="AC1225" s="268"/>
      <c r="AD1225" s="256"/>
      <c r="AE1225" s="269">
        <f t="shared" si="118"/>
        <v>28840000</v>
      </c>
      <c r="AF1225" s="209"/>
      <c r="AG1225" s="270"/>
      <c r="AH1225" s="256"/>
      <c r="AI1225" s="267"/>
      <c r="AJ1225" s="271"/>
      <c r="AK1225" s="267"/>
      <c r="AL1225" s="256"/>
      <c r="AM1225" s="256"/>
      <c r="AN1225" s="267"/>
      <c r="AO1225" s="267"/>
      <c r="AP1225" s="267" t="s">
        <v>300</v>
      </c>
      <c r="AQ1225" s="267">
        <v>43215</v>
      </c>
      <c r="AR1225" s="267" t="s">
        <v>264</v>
      </c>
      <c r="AS1225" s="267">
        <v>43215</v>
      </c>
      <c r="AT1225" s="267"/>
      <c r="AU1225" s="267"/>
    </row>
    <row r="1226" spans="1:47" x14ac:dyDescent="0.2">
      <c r="A1226" s="209">
        <v>60</v>
      </c>
      <c r="B1226" s="209" t="s">
        <v>301</v>
      </c>
      <c r="C1226" s="267" t="s">
        <v>49</v>
      </c>
      <c r="D1226" s="267" t="s">
        <v>50</v>
      </c>
      <c r="E1226" s="267" t="s">
        <v>50</v>
      </c>
      <c r="F1226" s="267" t="s">
        <v>230</v>
      </c>
      <c r="G1226" s="267" t="s">
        <v>266</v>
      </c>
      <c r="H1226" s="267" t="s">
        <v>298</v>
      </c>
      <c r="I1226" s="267" t="s">
        <v>54</v>
      </c>
      <c r="J1226" s="267" t="s">
        <v>55</v>
      </c>
      <c r="K1226" s="267" t="s">
        <v>50</v>
      </c>
      <c r="L1226" s="267"/>
      <c r="M1226" s="267"/>
      <c r="N1226" s="267"/>
      <c r="O1226" s="267"/>
      <c r="P1226" s="267" t="s">
        <v>302</v>
      </c>
      <c r="Q1226" s="256">
        <v>8240000</v>
      </c>
      <c r="R1226" s="267"/>
      <c r="S1226" s="256">
        <v>8000000</v>
      </c>
      <c r="T1226" s="267" t="s">
        <v>50</v>
      </c>
      <c r="U1226" s="267" t="s">
        <v>234</v>
      </c>
      <c r="V1226" s="268" t="s">
        <v>235</v>
      </c>
      <c r="W1226" s="267" t="s">
        <v>235</v>
      </c>
      <c r="X1226" s="203" t="s">
        <v>303</v>
      </c>
      <c r="Y1226" s="268">
        <v>43119</v>
      </c>
      <c r="Z1226" s="256">
        <v>8000000</v>
      </c>
      <c r="AA1226" s="267" t="s">
        <v>304</v>
      </c>
      <c r="AB1226" s="209">
        <v>548</v>
      </c>
      <c r="AC1226" s="268" t="s">
        <v>3742</v>
      </c>
      <c r="AD1226" s="256">
        <v>8000000</v>
      </c>
      <c r="AE1226" s="269">
        <f t="shared" si="118"/>
        <v>0</v>
      </c>
      <c r="AF1226" s="209">
        <v>1820</v>
      </c>
      <c r="AG1226" s="270">
        <v>43209</v>
      </c>
      <c r="AH1226" s="256">
        <v>106000</v>
      </c>
      <c r="AI1226" s="267" t="s">
        <v>518</v>
      </c>
      <c r="AJ1226" s="271"/>
      <c r="AK1226" s="267"/>
      <c r="AL1226" s="256">
        <v>106000</v>
      </c>
      <c r="AM1226" s="256">
        <v>0</v>
      </c>
      <c r="AN1226" s="267"/>
      <c r="AO1226" s="267"/>
      <c r="AP1226" s="267" t="s">
        <v>305</v>
      </c>
      <c r="AQ1226" s="267">
        <v>43244</v>
      </c>
      <c r="AR1226" s="267" t="s">
        <v>306</v>
      </c>
      <c r="AS1226" s="267">
        <v>43244</v>
      </c>
      <c r="AT1226" s="267" t="s">
        <v>307</v>
      </c>
      <c r="AU1226" s="267"/>
    </row>
    <row r="1227" spans="1:47" x14ac:dyDescent="0.2">
      <c r="A1227" s="209">
        <v>60</v>
      </c>
      <c r="B1227" s="209"/>
      <c r="C1227" s="267"/>
      <c r="D1227" s="267"/>
      <c r="E1227" s="267"/>
      <c r="F1227" s="267"/>
      <c r="G1227" s="267"/>
      <c r="H1227" s="267" t="s">
        <v>298</v>
      </c>
      <c r="I1227" s="267"/>
      <c r="J1227" s="267"/>
      <c r="K1227" s="267"/>
      <c r="L1227" s="267"/>
      <c r="M1227" s="267"/>
      <c r="N1227" s="267"/>
      <c r="O1227" s="267"/>
      <c r="P1227" s="267"/>
      <c r="Q1227" s="256"/>
      <c r="R1227" s="267"/>
      <c r="S1227" s="256"/>
      <c r="T1227" s="267"/>
      <c r="U1227" s="267"/>
      <c r="V1227" s="268"/>
      <c r="W1227" s="267"/>
      <c r="X1227" s="203"/>
      <c r="Y1227" s="268"/>
      <c r="Z1227" s="256"/>
      <c r="AA1227" s="267"/>
      <c r="AB1227" s="209"/>
      <c r="AC1227" s="268"/>
      <c r="AD1227" s="256"/>
      <c r="AE1227" s="269">
        <f t="shared" si="118"/>
        <v>0</v>
      </c>
      <c r="AF1227" s="209">
        <v>1897</v>
      </c>
      <c r="AG1227" s="270">
        <v>43231</v>
      </c>
      <c r="AH1227" s="256">
        <v>13200</v>
      </c>
      <c r="AI1227" s="267" t="s">
        <v>518</v>
      </c>
      <c r="AJ1227" s="271"/>
      <c r="AK1227" s="267"/>
      <c r="AL1227" s="256">
        <v>13200</v>
      </c>
      <c r="AM1227" s="256">
        <v>0</v>
      </c>
      <c r="AN1227" s="267"/>
      <c r="AO1227" s="267"/>
      <c r="AP1227" s="267"/>
      <c r="AQ1227" s="267"/>
      <c r="AR1227" s="267"/>
      <c r="AS1227" s="267"/>
      <c r="AT1227" s="267"/>
      <c r="AU1227" s="267"/>
    </row>
    <row r="1228" spans="1:47" x14ac:dyDescent="0.2">
      <c r="A1228" s="209">
        <v>60</v>
      </c>
      <c r="B1228" s="209"/>
      <c r="C1228" s="267"/>
      <c r="D1228" s="267"/>
      <c r="E1228" s="267"/>
      <c r="F1228" s="267"/>
      <c r="G1228" s="267"/>
      <c r="H1228" s="267" t="s">
        <v>298</v>
      </c>
      <c r="I1228" s="267"/>
      <c r="J1228" s="267"/>
      <c r="K1228" s="267"/>
      <c r="L1228" s="267"/>
      <c r="M1228" s="267"/>
      <c r="N1228" s="267"/>
      <c r="O1228" s="267"/>
      <c r="P1228" s="267"/>
      <c r="Q1228" s="256"/>
      <c r="R1228" s="267"/>
      <c r="S1228" s="256"/>
      <c r="T1228" s="267"/>
      <c r="U1228" s="267"/>
      <c r="V1228" s="268"/>
      <c r="W1228" s="267"/>
      <c r="X1228" s="203"/>
      <c r="Y1228" s="268"/>
      <c r="Z1228" s="256"/>
      <c r="AA1228" s="267"/>
      <c r="AB1228" s="209"/>
      <c r="AC1228" s="268"/>
      <c r="AD1228" s="256"/>
      <c r="AE1228" s="269">
        <f t="shared" si="118"/>
        <v>0</v>
      </c>
      <c r="AF1228" s="209">
        <v>2042</v>
      </c>
      <c r="AG1228" s="270">
        <v>43271</v>
      </c>
      <c r="AH1228" s="256">
        <v>60000</v>
      </c>
      <c r="AI1228" s="267" t="s">
        <v>518</v>
      </c>
      <c r="AJ1228" s="271"/>
      <c r="AK1228" s="267"/>
      <c r="AL1228" s="256">
        <v>60000</v>
      </c>
      <c r="AM1228" s="256">
        <v>0</v>
      </c>
      <c r="AN1228" s="267"/>
      <c r="AO1228" s="267"/>
      <c r="AP1228" s="267"/>
      <c r="AQ1228" s="267"/>
      <c r="AR1228" s="267"/>
      <c r="AS1228" s="267"/>
      <c r="AT1228" s="267"/>
      <c r="AU1228" s="267"/>
    </row>
    <row r="1229" spans="1:47" x14ac:dyDescent="0.2">
      <c r="A1229" s="209">
        <v>60</v>
      </c>
      <c r="B1229" s="209"/>
      <c r="C1229" s="267"/>
      <c r="D1229" s="267"/>
      <c r="E1229" s="267"/>
      <c r="F1229" s="267"/>
      <c r="G1229" s="267"/>
      <c r="H1229" s="267" t="s">
        <v>298</v>
      </c>
      <c r="I1229" s="267"/>
      <c r="J1229" s="267"/>
      <c r="K1229" s="267"/>
      <c r="L1229" s="267"/>
      <c r="M1229" s="267"/>
      <c r="N1229" s="267"/>
      <c r="O1229" s="267"/>
      <c r="P1229" s="267"/>
      <c r="Q1229" s="256"/>
      <c r="R1229" s="267"/>
      <c r="S1229" s="256"/>
      <c r="T1229" s="267"/>
      <c r="U1229" s="267"/>
      <c r="V1229" s="268"/>
      <c r="W1229" s="267"/>
      <c r="X1229" s="203"/>
      <c r="Y1229" s="268"/>
      <c r="Z1229" s="256"/>
      <c r="AA1229" s="267"/>
      <c r="AB1229" s="209"/>
      <c r="AC1229" s="268"/>
      <c r="AD1229" s="256"/>
      <c r="AE1229" s="269">
        <f t="shared" si="118"/>
        <v>0</v>
      </c>
      <c r="AF1229" s="209">
        <v>2513</v>
      </c>
      <c r="AG1229" s="270">
        <v>43300</v>
      </c>
      <c r="AH1229" s="256">
        <v>22000</v>
      </c>
      <c r="AI1229" s="267" t="s">
        <v>518</v>
      </c>
      <c r="AJ1229" s="271"/>
      <c r="AK1229" s="267"/>
      <c r="AL1229" s="256">
        <v>22000</v>
      </c>
      <c r="AM1229" s="256">
        <v>0</v>
      </c>
      <c r="AN1229" s="267"/>
      <c r="AO1229" s="267"/>
      <c r="AP1229" s="267"/>
      <c r="AQ1229" s="267"/>
      <c r="AR1229" s="267"/>
      <c r="AS1229" s="267"/>
      <c r="AT1229" s="267"/>
      <c r="AU1229" s="267"/>
    </row>
    <row r="1230" spans="1:47" x14ac:dyDescent="0.2">
      <c r="A1230" s="209">
        <v>61</v>
      </c>
      <c r="B1230" s="209" t="s">
        <v>308</v>
      </c>
      <c r="C1230" s="267" t="s">
        <v>49</v>
      </c>
      <c r="D1230" s="267" t="s">
        <v>50</v>
      </c>
      <c r="E1230" s="267" t="s">
        <v>50</v>
      </c>
      <c r="F1230" s="267" t="s">
        <v>230</v>
      </c>
      <c r="G1230" s="267" t="s">
        <v>231</v>
      </c>
      <c r="H1230" s="267" t="s">
        <v>309</v>
      </c>
      <c r="I1230" s="267" t="s">
        <v>54</v>
      </c>
      <c r="J1230" s="267" t="s">
        <v>55</v>
      </c>
      <c r="K1230" s="267">
        <v>84131500</v>
      </c>
      <c r="L1230" s="267"/>
      <c r="M1230" s="267"/>
      <c r="N1230" s="267"/>
      <c r="O1230" s="267"/>
      <c r="P1230" s="267" t="s">
        <v>310</v>
      </c>
      <c r="Q1230" s="256">
        <v>22933333.333333332</v>
      </c>
      <c r="R1230" s="267">
        <v>1</v>
      </c>
      <c r="S1230" s="256">
        <v>270860000</v>
      </c>
      <c r="T1230" s="267"/>
      <c r="U1230" s="267" t="s">
        <v>311</v>
      </c>
      <c r="V1230" s="268">
        <v>43235</v>
      </c>
      <c r="W1230" s="267">
        <v>12</v>
      </c>
      <c r="X1230" s="203"/>
      <c r="Y1230" s="268"/>
      <c r="Z1230" s="256"/>
      <c r="AA1230" s="267"/>
      <c r="AB1230" s="209"/>
      <c r="AC1230" s="268"/>
      <c r="AD1230" s="256"/>
      <c r="AE1230" s="269">
        <f t="shared" si="118"/>
        <v>270860000</v>
      </c>
      <c r="AF1230" s="209"/>
      <c r="AG1230" s="270"/>
      <c r="AH1230" s="256"/>
      <c r="AI1230" s="267"/>
      <c r="AJ1230" s="271"/>
      <c r="AK1230" s="267"/>
      <c r="AL1230" s="256"/>
      <c r="AM1230" s="256"/>
      <c r="AN1230" s="267"/>
      <c r="AO1230" s="267"/>
      <c r="AP1230" s="267"/>
      <c r="AQ1230" s="267"/>
      <c r="AR1230" s="267"/>
      <c r="AS1230" s="267"/>
      <c r="AT1230" s="267"/>
      <c r="AU1230" s="267"/>
    </row>
    <row r="1231" spans="1:47" x14ac:dyDescent="0.2">
      <c r="A1231" s="209">
        <v>62</v>
      </c>
      <c r="B1231" s="209" t="s">
        <v>312</v>
      </c>
      <c r="C1231" s="267" t="s">
        <v>49</v>
      </c>
      <c r="D1231" s="267" t="s">
        <v>50</v>
      </c>
      <c r="E1231" s="267" t="s">
        <v>50</v>
      </c>
      <c r="F1231" s="267" t="s">
        <v>230</v>
      </c>
      <c r="G1231" s="267" t="s">
        <v>231</v>
      </c>
      <c r="H1231" s="267" t="s">
        <v>313</v>
      </c>
      <c r="I1231" s="267" t="s">
        <v>54</v>
      </c>
      <c r="J1231" s="267" t="s">
        <v>55</v>
      </c>
      <c r="K1231" s="267">
        <v>81161601</v>
      </c>
      <c r="L1231" s="267"/>
      <c r="M1231" s="267"/>
      <c r="N1231" s="267"/>
      <c r="O1231" s="267"/>
      <c r="P1231" s="267" t="s">
        <v>314</v>
      </c>
      <c r="Q1231" s="256">
        <v>5606666.666666667</v>
      </c>
      <c r="R1231" s="267">
        <v>1</v>
      </c>
      <c r="S1231" s="256">
        <v>34596100</v>
      </c>
      <c r="T1231" s="267" t="s">
        <v>260</v>
      </c>
      <c r="U1231" s="267" t="s">
        <v>249</v>
      </c>
      <c r="V1231" s="268">
        <v>43174</v>
      </c>
      <c r="W1231" s="267">
        <v>10</v>
      </c>
      <c r="X1231" s="203" t="s">
        <v>315</v>
      </c>
      <c r="Y1231" s="268">
        <v>43203</v>
      </c>
      <c r="Z1231" s="256">
        <v>33800000</v>
      </c>
      <c r="AA1231" s="267"/>
      <c r="AB1231" s="209">
        <v>793</v>
      </c>
      <c r="AC1231" s="268" t="s">
        <v>1578</v>
      </c>
      <c r="AD1231" s="256">
        <v>33800000</v>
      </c>
      <c r="AE1231" s="269">
        <f t="shared" si="118"/>
        <v>796100</v>
      </c>
      <c r="AF1231" s="209">
        <v>2446</v>
      </c>
      <c r="AG1231" s="270">
        <v>43286</v>
      </c>
      <c r="AH1231" s="256">
        <v>33800000</v>
      </c>
      <c r="AI1231" s="267" t="s">
        <v>1592</v>
      </c>
      <c r="AJ1231" s="271"/>
      <c r="AK1231" s="267"/>
      <c r="AL1231" s="256">
        <v>0</v>
      </c>
      <c r="AM1231" s="256">
        <v>33800000</v>
      </c>
      <c r="AN1231" s="267"/>
      <c r="AO1231" s="267"/>
      <c r="AP1231" s="267" t="s">
        <v>316</v>
      </c>
      <c r="AQ1231" s="267">
        <v>43203</v>
      </c>
      <c r="AR1231" s="267" t="s">
        <v>317</v>
      </c>
      <c r="AS1231" s="267">
        <v>43203</v>
      </c>
      <c r="AT1231" s="267"/>
      <c r="AU1231" s="267"/>
    </row>
    <row r="1232" spans="1:47" x14ac:dyDescent="0.2">
      <c r="A1232" s="209">
        <v>63</v>
      </c>
      <c r="B1232" s="209" t="s">
        <v>318</v>
      </c>
      <c r="C1232" s="267" t="s">
        <v>49</v>
      </c>
      <c r="D1232" s="267" t="s">
        <v>50</v>
      </c>
      <c r="E1232" s="267" t="s">
        <v>50</v>
      </c>
      <c r="F1232" s="267" t="s">
        <v>230</v>
      </c>
      <c r="G1232" s="267" t="s">
        <v>231</v>
      </c>
      <c r="H1232" s="267" t="s">
        <v>313</v>
      </c>
      <c r="I1232" s="267" t="s">
        <v>54</v>
      </c>
      <c r="J1232" s="267" t="s">
        <v>55</v>
      </c>
      <c r="K1232" s="267" t="s">
        <v>319</v>
      </c>
      <c r="L1232" s="267"/>
      <c r="M1232" s="267"/>
      <c r="N1232" s="267"/>
      <c r="O1232" s="267"/>
      <c r="P1232" s="267" t="s">
        <v>320</v>
      </c>
      <c r="Q1232" s="256">
        <v>22751284</v>
      </c>
      <c r="R1232" s="267">
        <v>1</v>
      </c>
      <c r="S1232" s="256">
        <v>0</v>
      </c>
      <c r="T1232" s="267" t="s">
        <v>50</v>
      </c>
      <c r="U1232" s="267" t="s">
        <v>50</v>
      </c>
      <c r="V1232" s="268">
        <v>43274</v>
      </c>
      <c r="W1232" s="267">
        <v>6</v>
      </c>
      <c r="X1232" s="203"/>
      <c r="Y1232" s="268"/>
      <c r="Z1232" s="256"/>
      <c r="AA1232" s="267"/>
      <c r="AB1232" s="209"/>
      <c r="AC1232" s="268"/>
      <c r="AD1232" s="256"/>
      <c r="AE1232" s="269">
        <f t="shared" si="118"/>
        <v>0</v>
      </c>
      <c r="AF1232" s="209">
        <v>2039</v>
      </c>
      <c r="AG1232" s="270">
        <v>43271</v>
      </c>
      <c r="AH1232" s="256">
        <v>5786059</v>
      </c>
      <c r="AI1232" s="267" t="s">
        <v>3736</v>
      </c>
      <c r="AJ1232" s="271"/>
      <c r="AK1232" s="267"/>
      <c r="AL1232" s="256">
        <v>5786059</v>
      </c>
      <c r="AM1232" s="256">
        <v>0</v>
      </c>
      <c r="AN1232" s="267"/>
      <c r="AO1232" s="267"/>
      <c r="AP1232" s="267" t="s">
        <v>321</v>
      </c>
      <c r="AQ1232" s="267"/>
      <c r="AR1232" s="267"/>
      <c r="AS1232" s="267"/>
      <c r="AT1232" s="267"/>
      <c r="AU1232" s="267"/>
    </row>
    <row r="1233" spans="1:47" x14ac:dyDescent="0.2">
      <c r="A1233" s="209">
        <v>64</v>
      </c>
      <c r="B1233" s="209" t="s">
        <v>322</v>
      </c>
      <c r="C1233" s="267" t="s">
        <v>49</v>
      </c>
      <c r="D1233" s="267" t="s">
        <v>50</v>
      </c>
      <c r="E1233" s="267" t="s">
        <v>50</v>
      </c>
      <c r="F1233" s="267" t="s">
        <v>230</v>
      </c>
      <c r="G1233" s="267" t="s">
        <v>231</v>
      </c>
      <c r="H1233" s="267" t="s">
        <v>313</v>
      </c>
      <c r="I1233" s="267" t="s">
        <v>54</v>
      </c>
      <c r="J1233" s="267" t="s">
        <v>55</v>
      </c>
      <c r="K1233" s="267">
        <v>83111603</v>
      </c>
      <c r="L1233" s="267"/>
      <c r="M1233" s="267"/>
      <c r="N1233" s="267"/>
      <c r="O1233" s="267"/>
      <c r="P1233" s="267" t="s">
        <v>323</v>
      </c>
      <c r="Q1233" s="256">
        <v>409090.90909090912</v>
      </c>
      <c r="R1233" s="267">
        <v>1</v>
      </c>
      <c r="S1233" s="256">
        <v>11865600</v>
      </c>
      <c r="T1233" s="267" t="s">
        <v>270</v>
      </c>
      <c r="U1233" s="267" t="s">
        <v>324</v>
      </c>
      <c r="V1233" s="268">
        <v>43117</v>
      </c>
      <c r="W1233" s="267">
        <v>12</v>
      </c>
      <c r="X1233" s="203" t="s">
        <v>325</v>
      </c>
      <c r="Y1233" s="268">
        <v>43117</v>
      </c>
      <c r="Z1233" s="256">
        <v>11865600</v>
      </c>
      <c r="AA1233" s="267"/>
      <c r="AB1233" s="209">
        <v>521</v>
      </c>
      <c r="AC1233" s="268" t="s">
        <v>1507</v>
      </c>
      <c r="AD1233" s="256">
        <v>11865600</v>
      </c>
      <c r="AE1233" s="269">
        <f t="shared" si="118"/>
        <v>0</v>
      </c>
      <c r="AF1233" s="209">
        <v>488</v>
      </c>
      <c r="AG1233" s="270">
        <v>43126</v>
      </c>
      <c r="AH1233" s="256">
        <v>654012</v>
      </c>
      <c r="AI1233" s="267" t="s">
        <v>1577</v>
      </c>
      <c r="AJ1233" s="271">
        <v>43506</v>
      </c>
      <c r="AK1233" s="267"/>
      <c r="AL1233" s="256">
        <v>654012</v>
      </c>
      <c r="AM1233" s="256">
        <v>0</v>
      </c>
      <c r="AN1233" s="267"/>
      <c r="AO1233" s="267"/>
      <c r="AP1233" s="267"/>
      <c r="AQ1233" s="267"/>
      <c r="AR1233" s="267"/>
      <c r="AS1233" s="267"/>
      <c r="AT1233" s="267"/>
      <c r="AU1233" s="267"/>
    </row>
    <row r="1234" spans="1:47" x14ac:dyDescent="0.2">
      <c r="A1234" s="209">
        <v>64</v>
      </c>
      <c r="B1234" s="209"/>
      <c r="C1234" s="267"/>
      <c r="D1234" s="267"/>
      <c r="E1234" s="267"/>
      <c r="F1234" s="267"/>
      <c r="G1234" s="267"/>
      <c r="H1234" s="267" t="s">
        <v>313</v>
      </c>
      <c r="I1234" s="267"/>
      <c r="J1234" s="267"/>
      <c r="K1234" s="267"/>
      <c r="L1234" s="267"/>
      <c r="M1234" s="267"/>
      <c r="N1234" s="267"/>
      <c r="O1234" s="267"/>
      <c r="P1234" s="267"/>
      <c r="Q1234" s="256"/>
      <c r="R1234" s="267"/>
      <c r="S1234" s="256"/>
      <c r="T1234" s="267"/>
      <c r="U1234" s="267"/>
      <c r="V1234" s="268"/>
      <c r="W1234" s="267"/>
      <c r="X1234" s="203"/>
      <c r="Y1234" s="268"/>
      <c r="Z1234" s="256"/>
      <c r="AA1234" s="267"/>
      <c r="AB1234" s="209"/>
      <c r="AC1234" s="268"/>
      <c r="AD1234" s="256"/>
      <c r="AE1234" s="269">
        <f t="shared" si="118"/>
        <v>0</v>
      </c>
      <c r="AF1234" s="209">
        <v>1467</v>
      </c>
      <c r="AG1234" s="270">
        <v>43154</v>
      </c>
      <c r="AH1234" s="256">
        <v>655108</v>
      </c>
      <c r="AI1234" s="267" t="s">
        <v>1577</v>
      </c>
      <c r="AJ1234" s="271"/>
      <c r="AK1234" s="267"/>
      <c r="AL1234" s="256">
        <v>655108</v>
      </c>
      <c r="AM1234" s="256">
        <v>0</v>
      </c>
      <c r="AN1234" s="267"/>
      <c r="AO1234" s="267"/>
      <c r="AP1234" s="267"/>
      <c r="AQ1234" s="267"/>
      <c r="AR1234" s="267"/>
      <c r="AS1234" s="267"/>
      <c r="AT1234" s="267"/>
      <c r="AU1234" s="267"/>
    </row>
    <row r="1235" spans="1:47" x14ac:dyDescent="0.2">
      <c r="A1235" s="209">
        <v>64</v>
      </c>
      <c r="B1235" s="209"/>
      <c r="C1235" s="267"/>
      <c r="D1235" s="267"/>
      <c r="E1235" s="267"/>
      <c r="F1235" s="267"/>
      <c r="G1235" s="267"/>
      <c r="H1235" s="267" t="s">
        <v>313</v>
      </c>
      <c r="I1235" s="267"/>
      <c r="J1235" s="267"/>
      <c r="K1235" s="267"/>
      <c r="L1235" s="267"/>
      <c r="M1235" s="267"/>
      <c r="N1235" s="267"/>
      <c r="O1235" s="267"/>
      <c r="P1235" s="267"/>
      <c r="Q1235" s="256"/>
      <c r="R1235" s="267"/>
      <c r="S1235" s="256"/>
      <c r="T1235" s="267"/>
      <c r="U1235" s="267"/>
      <c r="V1235" s="268"/>
      <c r="W1235" s="267"/>
      <c r="X1235" s="203"/>
      <c r="Y1235" s="268"/>
      <c r="Z1235" s="256"/>
      <c r="AA1235" s="267"/>
      <c r="AB1235" s="209"/>
      <c r="AC1235" s="268"/>
      <c r="AD1235" s="256"/>
      <c r="AE1235" s="269">
        <f t="shared" si="118"/>
        <v>0</v>
      </c>
      <c r="AF1235" s="209">
        <v>1659</v>
      </c>
      <c r="AG1235" s="270">
        <v>43185</v>
      </c>
      <c r="AH1235" s="256">
        <v>654012</v>
      </c>
      <c r="AI1235" s="267" t="s">
        <v>1577</v>
      </c>
      <c r="AJ1235" s="271"/>
      <c r="AK1235" s="267"/>
      <c r="AL1235" s="256">
        <v>654012</v>
      </c>
      <c r="AM1235" s="256">
        <v>0</v>
      </c>
      <c r="AN1235" s="267"/>
      <c r="AO1235" s="267"/>
      <c r="AP1235" s="267"/>
      <c r="AQ1235" s="267"/>
      <c r="AR1235" s="267"/>
      <c r="AS1235" s="267"/>
      <c r="AT1235" s="267"/>
      <c r="AU1235" s="267"/>
    </row>
    <row r="1236" spans="1:47" x14ac:dyDescent="0.2">
      <c r="A1236" s="209">
        <v>64</v>
      </c>
      <c r="B1236" s="209"/>
      <c r="C1236" s="267"/>
      <c r="D1236" s="267"/>
      <c r="E1236" s="267"/>
      <c r="F1236" s="267"/>
      <c r="G1236" s="267"/>
      <c r="H1236" s="267" t="s">
        <v>313</v>
      </c>
      <c r="I1236" s="267"/>
      <c r="J1236" s="267"/>
      <c r="K1236" s="267"/>
      <c r="L1236" s="267"/>
      <c r="M1236" s="267"/>
      <c r="N1236" s="267"/>
      <c r="O1236" s="267"/>
      <c r="P1236" s="267"/>
      <c r="Q1236" s="256"/>
      <c r="R1236" s="267"/>
      <c r="S1236" s="256"/>
      <c r="T1236" s="267"/>
      <c r="U1236" s="267"/>
      <c r="V1236" s="268"/>
      <c r="W1236" s="267"/>
      <c r="X1236" s="203"/>
      <c r="Y1236" s="268"/>
      <c r="Z1236" s="256"/>
      <c r="AA1236" s="267"/>
      <c r="AB1236" s="209"/>
      <c r="AC1236" s="268"/>
      <c r="AD1236" s="256"/>
      <c r="AE1236" s="269">
        <f t="shared" si="118"/>
        <v>0</v>
      </c>
      <c r="AF1236" s="209">
        <v>1847</v>
      </c>
      <c r="AG1236" s="270">
        <v>43217</v>
      </c>
      <c r="AH1236" s="256">
        <v>654012</v>
      </c>
      <c r="AI1236" s="267" t="s">
        <v>1577</v>
      </c>
      <c r="AJ1236" s="271"/>
      <c r="AK1236" s="267"/>
      <c r="AL1236" s="256">
        <v>654012</v>
      </c>
      <c r="AM1236" s="256">
        <v>0</v>
      </c>
      <c r="AN1236" s="267"/>
      <c r="AO1236" s="267"/>
      <c r="AP1236" s="267"/>
      <c r="AQ1236" s="267"/>
      <c r="AR1236" s="267"/>
      <c r="AS1236" s="267"/>
      <c r="AT1236" s="267"/>
      <c r="AU1236" s="267"/>
    </row>
    <row r="1237" spans="1:47" x14ac:dyDescent="0.2">
      <c r="A1237" s="209">
        <v>64</v>
      </c>
      <c r="B1237" s="209"/>
      <c r="C1237" s="267"/>
      <c r="D1237" s="267"/>
      <c r="E1237" s="267"/>
      <c r="F1237" s="267"/>
      <c r="G1237" s="267"/>
      <c r="H1237" s="267" t="s">
        <v>313</v>
      </c>
      <c r="I1237" s="267"/>
      <c r="J1237" s="267"/>
      <c r="K1237" s="267"/>
      <c r="L1237" s="267"/>
      <c r="M1237" s="267"/>
      <c r="N1237" s="267"/>
      <c r="O1237" s="267"/>
      <c r="P1237" s="267"/>
      <c r="Q1237" s="256"/>
      <c r="R1237" s="267"/>
      <c r="S1237" s="256"/>
      <c r="T1237" s="267"/>
      <c r="U1237" s="267"/>
      <c r="V1237" s="268"/>
      <c r="W1237" s="267"/>
      <c r="X1237" s="203"/>
      <c r="Y1237" s="268"/>
      <c r="Z1237" s="256"/>
      <c r="AA1237" s="267"/>
      <c r="AB1237" s="209"/>
      <c r="AC1237" s="268"/>
      <c r="AD1237" s="256"/>
      <c r="AE1237" s="269">
        <f t="shared" si="118"/>
        <v>0</v>
      </c>
      <c r="AF1237" s="209">
        <v>1958</v>
      </c>
      <c r="AG1237" s="270">
        <v>43249</v>
      </c>
      <c r="AH1237" s="256">
        <v>654012</v>
      </c>
      <c r="AI1237" s="267" t="s">
        <v>1577</v>
      </c>
      <c r="AJ1237" s="271"/>
      <c r="AK1237" s="267"/>
      <c r="AL1237" s="256">
        <v>654012</v>
      </c>
      <c r="AM1237" s="256">
        <v>0</v>
      </c>
      <c r="AN1237" s="267"/>
      <c r="AO1237" s="267"/>
      <c r="AP1237" s="267"/>
      <c r="AQ1237" s="267"/>
      <c r="AR1237" s="267"/>
      <c r="AS1237" s="267"/>
      <c r="AT1237" s="267"/>
      <c r="AU1237" s="267"/>
    </row>
    <row r="1238" spans="1:47" x14ac:dyDescent="0.2">
      <c r="A1238" s="209">
        <v>64</v>
      </c>
      <c r="B1238" s="209"/>
      <c r="C1238" s="267"/>
      <c r="D1238" s="267"/>
      <c r="E1238" s="267"/>
      <c r="F1238" s="267"/>
      <c r="G1238" s="267"/>
      <c r="H1238" s="267" t="s">
        <v>313</v>
      </c>
      <c r="I1238" s="267"/>
      <c r="J1238" s="267"/>
      <c r="K1238" s="267"/>
      <c r="L1238" s="267"/>
      <c r="M1238" s="267"/>
      <c r="N1238" s="267"/>
      <c r="O1238" s="267"/>
      <c r="P1238" s="267"/>
      <c r="Q1238" s="256"/>
      <c r="R1238" s="267"/>
      <c r="S1238" s="256"/>
      <c r="T1238" s="267"/>
      <c r="U1238" s="267"/>
      <c r="V1238" s="268"/>
      <c r="W1238" s="267"/>
      <c r="X1238" s="203"/>
      <c r="Y1238" s="268"/>
      <c r="Z1238" s="256"/>
      <c r="AA1238" s="267"/>
      <c r="AB1238" s="209"/>
      <c r="AC1238" s="268"/>
      <c r="AD1238" s="256"/>
      <c r="AE1238" s="269">
        <f t="shared" si="118"/>
        <v>0</v>
      </c>
      <c r="AF1238" s="209">
        <v>2146</v>
      </c>
      <c r="AG1238" s="270">
        <v>43277</v>
      </c>
      <c r="AH1238" s="256">
        <v>654012</v>
      </c>
      <c r="AI1238" s="267" t="s">
        <v>1577</v>
      </c>
      <c r="AJ1238" s="271"/>
      <c r="AK1238" s="267"/>
      <c r="AL1238" s="256">
        <v>654012</v>
      </c>
      <c r="AM1238" s="256">
        <v>0</v>
      </c>
      <c r="AN1238" s="267"/>
      <c r="AO1238" s="267"/>
      <c r="AP1238" s="267"/>
      <c r="AQ1238" s="267"/>
      <c r="AR1238" s="267"/>
      <c r="AS1238" s="267"/>
      <c r="AT1238" s="267"/>
      <c r="AU1238" s="267"/>
    </row>
    <row r="1239" spans="1:47" x14ac:dyDescent="0.2">
      <c r="A1239" s="209">
        <v>64</v>
      </c>
      <c r="B1239" s="209"/>
      <c r="C1239" s="267"/>
      <c r="D1239" s="267"/>
      <c r="E1239" s="267"/>
      <c r="F1239" s="267"/>
      <c r="G1239" s="267"/>
      <c r="H1239" s="267" t="s">
        <v>313</v>
      </c>
      <c r="I1239" s="267"/>
      <c r="J1239" s="267"/>
      <c r="K1239" s="267"/>
      <c r="L1239" s="267"/>
      <c r="M1239" s="267"/>
      <c r="N1239" s="267"/>
      <c r="O1239" s="267"/>
      <c r="P1239" s="267"/>
      <c r="Q1239" s="256"/>
      <c r="R1239" s="267"/>
      <c r="S1239" s="256"/>
      <c r="T1239" s="267"/>
      <c r="U1239" s="267"/>
      <c r="V1239" s="268"/>
      <c r="W1239" s="267"/>
      <c r="X1239" s="203"/>
      <c r="Y1239" s="268"/>
      <c r="Z1239" s="256"/>
      <c r="AA1239" s="267"/>
      <c r="AB1239" s="209"/>
      <c r="AC1239" s="268"/>
      <c r="AD1239" s="256"/>
      <c r="AE1239" s="269">
        <f t="shared" si="118"/>
        <v>0</v>
      </c>
      <c r="AF1239" s="209">
        <v>2532</v>
      </c>
      <c r="AG1239" s="270">
        <v>43305</v>
      </c>
      <c r="AH1239" s="256">
        <v>692722</v>
      </c>
      <c r="AI1239" s="267" t="s">
        <v>1577</v>
      </c>
      <c r="AJ1239" s="271"/>
      <c r="AK1239" s="267"/>
      <c r="AL1239" s="256">
        <v>692722</v>
      </c>
      <c r="AM1239" s="256">
        <v>0</v>
      </c>
      <c r="AN1239" s="267"/>
      <c r="AO1239" s="267"/>
      <c r="AP1239" s="267"/>
      <c r="AQ1239" s="267"/>
      <c r="AR1239" s="267"/>
      <c r="AS1239" s="267"/>
      <c r="AT1239" s="267"/>
      <c r="AU1239" s="267"/>
    </row>
    <row r="1240" spans="1:47" x14ac:dyDescent="0.2">
      <c r="A1240" s="209">
        <v>65</v>
      </c>
      <c r="B1240" s="209" t="s">
        <v>326</v>
      </c>
      <c r="C1240" s="267" t="s">
        <v>49</v>
      </c>
      <c r="D1240" s="267" t="s">
        <v>50</v>
      </c>
      <c r="E1240" s="267" t="s">
        <v>50</v>
      </c>
      <c r="F1240" s="267" t="s">
        <v>230</v>
      </c>
      <c r="G1240" s="267" t="s">
        <v>231</v>
      </c>
      <c r="H1240" s="267" t="s">
        <v>313</v>
      </c>
      <c r="I1240" s="267" t="s">
        <v>54</v>
      </c>
      <c r="J1240" s="267" t="s">
        <v>55</v>
      </c>
      <c r="K1240" s="267" t="s">
        <v>252</v>
      </c>
      <c r="L1240" s="267"/>
      <c r="M1240" s="267"/>
      <c r="N1240" s="267"/>
      <c r="O1240" s="267"/>
      <c r="P1240" s="267" t="s">
        <v>302</v>
      </c>
      <c r="Q1240" s="256">
        <v>11520000</v>
      </c>
      <c r="R1240" s="267">
        <v>1</v>
      </c>
      <c r="S1240" s="256">
        <v>180200</v>
      </c>
      <c r="T1240" s="267" t="s">
        <v>50</v>
      </c>
      <c r="U1240" s="267" t="s">
        <v>327</v>
      </c>
      <c r="V1240" s="268" t="s">
        <v>235</v>
      </c>
      <c r="W1240" s="267" t="s">
        <v>235</v>
      </c>
      <c r="X1240" s="203" t="s">
        <v>328</v>
      </c>
      <c r="Y1240" s="268">
        <v>43119</v>
      </c>
      <c r="Z1240" s="256">
        <v>45200</v>
      </c>
      <c r="AA1240" s="267"/>
      <c r="AB1240" s="209">
        <v>549</v>
      </c>
      <c r="AC1240" s="268" t="s">
        <v>3742</v>
      </c>
      <c r="AD1240" s="256">
        <v>45200</v>
      </c>
      <c r="AE1240" s="269">
        <f t="shared" si="118"/>
        <v>135000</v>
      </c>
      <c r="AF1240" s="209">
        <v>1359</v>
      </c>
      <c r="AG1240" s="270">
        <v>43146</v>
      </c>
      <c r="AH1240" s="256">
        <v>45200</v>
      </c>
      <c r="AI1240" s="267" t="s">
        <v>518</v>
      </c>
      <c r="AJ1240" s="271"/>
      <c r="AK1240" s="267"/>
      <c r="AL1240" s="256">
        <v>45200</v>
      </c>
      <c r="AM1240" s="256">
        <v>0</v>
      </c>
      <c r="AN1240" s="267"/>
      <c r="AO1240" s="267"/>
      <c r="AP1240" s="267" t="s">
        <v>329</v>
      </c>
      <c r="AQ1240" s="267"/>
      <c r="AR1240" s="267"/>
      <c r="AS1240" s="267"/>
      <c r="AT1240" s="267"/>
      <c r="AU1240" s="267"/>
    </row>
    <row r="1241" spans="1:47" x14ac:dyDescent="0.2">
      <c r="A1241" s="209">
        <v>66</v>
      </c>
      <c r="B1241" s="209" t="s">
        <v>330</v>
      </c>
      <c r="C1241" s="267" t="s">
        <v>49</v>
      </c>
      <c r="D1241" s="267" t="s">
        <v>50</v>
      </c>
      <c r="E1241" s="267" t="s">
        <v>50</v>
      </c>
      <c r="F1241" s="267" t="s">
        <v>230</v>
      </c>
      <c r="G1241" s="267" t="s">
        <v>231</v>
      </c>
      <c r="H1241" s="267" t="s">
        <v>313</v>
      </c>
      <c r="I1241" s="267" t="s">
        <v>54</v>
      </c>
      <c r="J1241" s="267" t="s">
        <v>55</v>
      </c>
      <c r="K1241" s="267">
        <v>81111500</v>
      </c>
      <c r="L1241" s="267"/>
      <c r="M1241" s="267"/>
      <c r="N1241" s="267"/>
      <c r="O1241" s="267"/>
      <c r="P1241" s="267" t="s">
        <v>331</v>
      </c>
      <c r="Q1241" s="256"/>
      <c r="R1241" s="267">
        <v>1</v>
      </c>
      <c r="S1241" s="256">
        <v>0</v>
      </c>
      <c r="T1241" s="267"/>
      <c r="U1241" s="267" t="s">
        <v>332</v>
      </c>
      <c r="V1241" s="268">
        <v>43229</v>
      </c>
      <c r="W1241" s="267">
        <v>12</v>
      </c>
      <c r="X1241" s="203"/>
      <c r="Y1241" s="268"/>
      <c r="Z1241" s="256"/>
      <c r="AA1241" s="267"/>
      <c r="AB1241" s="209"/>
      <c r="AC1241" s="268"/>
      <c r="AD1241" s="256"/>
      <c r="AE1241" s="269">
        <f t="shared" si="118"/>
        <v>0</v>
      </c>
      <c r="AF1241" s="209">
        <v>2503</v>
      </c>
      <c r="AG1241" s="270">
        <v>43299</v>
      </c>
      <c r="AH1241" s="256">
        <v>5786759</v>
      </c>
      <c r="AI1241" s="267" t="s">
        <v>3736</v>
      </c>
      <c r="AJ1241" s="271"/>
      <c r="AK1241" s="267"/>
      <c r="AL1241" s="256">
        <v>5786759</v>
      </c>
      <c r="AM1241" s="256">
        <v>0</v>
      </c>
      <c r="AN1241" s="267"/>
      <c r="AO1241" s="267"/>
      <c r="AP1241" s="267" t="s">
        <v>333</v>
      </c>
      <c r="AQ1241" s="267"/>
      <c r="AR1241" s="267"/>
      <c r="AS1241" s="267"/>
      <c r="AT1241" s="267"/>
      <c r="AU1241" s="267"/>
    </row>
    <row r="1242" spans="1:47" x14ac:dyDescent="0.2">
      <c r="A1242" s="209">
        <v>67</v>
      </c>
      <c r="B1242" s="209" t="s">
        <v>334</v>
      </c>
      <c r="C1242" s="267" t="s">
        <v>49</v>
      </c>
      <c r="D1242" s="267" t="s">
        <v>50</v>
      </c>
      <c r="E1242" s="267" t="s">
        <v>50</v>
      </c>
      <c r="F1242" s="267" t="s">
        <v>230</v>
      </c>
      <c r="G1242" s="267" t="s">
        <v>231</v>
      </c>
      <c r="H1242" s="267" t="s">
        <v>313</v>
      </c>
      <c r="I1242" s="267" t="s">
        <v>54</v>
      </c>
      <c r="J1242" s="267" t="s">
        <v>55</v>
      </c>
      <c r="K1242" s="267">
        <v>83111801</v>
      </c>
      <c r="L1242" s="267"/>
      <c r="M1242" s="267"/>
      <c r="N1242" s="267"/>
      <c r="O1242" s="267"/>
      <c r="P1242" s="267" t="s">
        <v>335</v>
      </c>
      <c r="Q1242" s="256"/>
      <c r="R1242" s="267">
        <v>1</v>
      </c>
      <c r="S1242" s="256">
        <v>0</v>
      </c>
      <c r="T1242" s="267"/>
      <c r="U1242" s="267" t="s">
        <v>276</v>
      </c>
      <c r="V1242" s="268" t="s">
        <v>235</v>
      </c>
      <c r="W1242" s="267" t="s">
        <v>235</v>
      </c>
      <c r="X1242" s="203"/>
      <c r="Y1242" s="268"/>
      <c r="Z1242" s="256"/>
      <c r="AA1242" s="267"/>
      <c r="AB1242" s="209"/>
      <c r="AC1242" s="268"/>
      <c r="AD1242" s="256"/>
      <c r="AE1242" s="269">
        <f t="shared" si="118"/>
        <v>0</v>
      </c>
      <c r="AF1242" s="209"/>
      <c r="AG1242" s="270"/>
      <c r="AH1242" s="256"/>
      <c r="AI1242" s="267"/>
      <c r="AJ1242" s="271"/>
      <c r="AK1242" s="267"/>
      <c r="AL1242" s="256"/>
      <c r="AM1242" s="256"/>
      <c r="AN1242" s="267"/>
      <c r="AO1242" s="267"/>
      <c r="AP1242" s="267" t="s">
        <v>336</v>
      </c>
      <c r="AQ1242" s="267"/>
      <c r="AR1242" s="267"/>
      <c r="AS1242" s="267"/>
      <c r="AT1242" s="267"/>
      <c r="AU1242" s="267"/>
    </row>
    <row r="1243" spans="1:47" x14ac:dyDescent="0.2">
      <c r="A1243" s="209">
        <v>68</v>
      </c>
      <c r="B1243" s="209" t="s">
        <v>337</v>
      </c>
      <c r="C1243" s="267" t="s">
        <v>49</v>
      </c>
      <c r="D1243" s="267" t="s">
        <v>50</v>
      </c>
      <c r="E1243" s="267" t="s">
        <v>50</v>
      </c>
      <c r="F1243" s="267" t="s">
        <v>230</v>
      </c>
      <c r="G1243" s="267" t="s">
        <v>231</v>
      </c>
      <c r="H1243" s="267" t="s">
        <v>313</v>
      </c>
      <c r="I1243" s="267" t="s">
        <v>54</v>
      </c>
      <c r="J1243" s="267" t="s">
        <v>55</v>
      </c>
      <c r="K1243" s="267">
        <v>72101500</v>
      </c>
      <c r="L1243" s="267"/>
      <c r="M1243" s="267"/>
      <c r="N1243" s="267"/>
      <c r="O1243" s="267"/>
      <c r="P1243" s="267" t="s">
        <v>338</v>
      </c>
      <c r="Q1243" s="256"/>
      <c r="R1243" s="267">
        <v>1</v>
      </c>
      <c r="S1243" s="256">
        <v>612136</v>
      </c>
      <c r="T1243" s="267"/>
      <c r="U1243" s="267" t="s">
        <v>339</v>
      </c>
      <c r="V1243" s="268">
        <v>43279</v>
      </c>
      <c r="W1243" s="267">
        <v>2</v>
      </c>
      <c r="X1243" s="203"/>
      <c r="Y1243" s="268"/>
      <c r="Z1243" s="256"/>
      <c r="AA1243" s="267" t="s">
        <v>340</v>
      </c>
      <c r="AB1243" s="209"/>
      <c r="AC1243" s="268"/>
      <c r="AD1243" s="256"/>
      <c r="AE1243" s="269">
        <f t="shared" si="118"/>
        <v>612136</v>
      </c>
      <c r="AF1243" s="209"/>
      <c r="AG1243" s="270"/>
      <c r="AH1243" s="256"/>
      <c r="AI1243" s="267"/>
      <c r="AJ1243" s="271"/>
      <c r="AK1243" s="267"/>
      <c r="AL1243" s="256"/>
      <c r="AM1243" s="256"/>
      <c r="AN1243" s="267"/>
      <c r="AO1243" s="267"/>
      <c r="AP1243" s="267" t="s">
        <v>305</v>
      </c>
      <c r="AQ1243" s="267">
        <v>43244</v>
      </c>
      <c r="AR1243" s="267" t="s">
        <v>306</v>
      </c>
      <c r="AS1243" s="267">
        <v>43244</v>
      </c>
      <c r="AT1243" s="267" t="s">
        <v>307</v>
      </c>
      <c r="AU1243" s="267"/>
    </row>
    <row r="1244" spans="1:47" x14ac:dyDescent="0.2">
      <c r="A1244" s="209">
        <v>69</v>
      </c>
      <c r="B1244" s="209" t="s">
        <v>341</v>
      </c>
      <c r="C1244" s="267" t="s">
        <v>49</v>
      </c>
      <c r="D1244" s="267" t="s">
        <v>50</v>
      </c>
      <c r="E1244" s="267" t="s">
        <v>50</v>
      </c>
      <c r="F1244" s="267" t="s">
        <v>230</v>
      </c>
      <c r="G1244" s="267" t="s">
        <v>231</v>
      </c>
      <c r="H1244" s="267" t="s">
        <v>342</v>
      </c>
      <c r="I1244" s="267" t="s">
        <v>54</v>
      </c>
      <c r="J1244" s="267" t="s">
        <v>55</v>
      </c>
      <c r="K1244" s="267" t="s">
        <v>50</v>
      </c>
      <c r="L1244" s="267"/>
      <c r="M1244" s="267"/>
      <c r="N1244" s="267"/>
      <c r="O1244" s="267"/>
      <c r="P1244" s="267" t="s">
        <v>302</v>
      </c>
      <c r="Q1244" s="256">
        <v>686666.66666666663</v>
      </c>
      <c r="R1244" s="267">
        <v>1</v>
      </c>
      <c r="S1244" s="256">
        <v>8000000</v>
      </c>
      <c r="T1244" s="267" t="s">
        <v>50</v>
      </c>
      <c r="U1244" s="267" t="s">
        <v>327</v>
      </c>
      <c r="V1244" s="268" t="s">
        <v>235</v>
      </c>
      <c r="W1244" s="267">
        <v>12</v>
      </c>
      <c r="X1244" s="203" t="s">
        <v>3743</v>
      </c>
      <c r="Y1244" s="268">
        <v>43119</v>
      </c>
      <c r="Z1244" s="256">
        <v>8000000</v>
      </c>
      <c r="AA1244" s="267" t="s">
        <v>3744</v>
      </c>
      <c r="AB1244" s="209">
        <v>550</v>
      </c>
      <c r="AC1244" s="268" t="s">
        <v>3745</v>
      </c>
      <c r="AD1244" s="256">
        <v>4387088</v>
      </c>
      <c r="AE1244" s="269">
        <f t="shared" si="118"/>
        <v>3612912</v>
      </c>
      <c r="AF1244" s="209">
        <v>1586</v>
      </c>
      <c r="AG1244" s="270">
        <v>43174</v>
      </c>
      <c r="AH1244" s="256">
        <v>120000</v>
      </c>
      <c r="AI1244" s="267" t="s">
        <v>518</v>
      </c>
      <c r="AJ1244" s="271"/>
      <c r="AK1244" s="267"/>
      <c r="AL1244" s="256">
        <v>120000</v>
      </c>
      <c r="AM1244" s="256">
        <v>0</v>
      </c>
      <c r="AN1244" s="267"/>
      <c r="AO1244" s="267"/>
      <c r="AP1244" s="267" t="s">
        <v>305</v>
      </c>
      <c r="AQ1244" s="267">
        <v>43244</v>
      </c>
      <c r="AR1244" s="267" t="s">
        <v>306</v>
      </c>
      <c r="AS1244" s="267">
        <v>43244</v>
      </c>
      <c r="AT1244" s="267" t="s">
        <v>307</v>
      </c>
      <c r="AU1244" s="267"/>
    </row>
    <row r="1245" spans="1:47" x14ac:dyDescent="0.2">
      <c r="A1245" s="209">
        <v>69</v>
      </c>
      <c r="B1245" s="209"/>
      <c r="C1245" s="267"/>
      <c r="D1245" s="267"/>
      <c r="E1245" s="267"/>
      <c r="F1245" s="267"/>
      <c r="G1245" s="267"/>
      <c r="H1245" s="267" t="s">
        <v>342</v>
      </c>
      <c r="I1245" s="267"/>
      <c r="J1245" s="267"/>
      <c r="K1245" s="267"/>
      <c r="L1245" s="267"/>
      <c r="M1245" s="267"/>
      <c r="N1245" s="267"/>
      <c r="O1245" s="267"/>
      <c r="P1245" s="267"/>
      <c r="Q1245" s="256"/>
      <c r="R1245" s="267"/>
      <c r="S1245" s="256"/>
      <c r="T1245" s="267"/>
      <c r="U1245" s="267"/>
      <c r="V1245" s="268"/>
      <c r="W1245" s="267"/>
      <c r="X1245" s="203"/>
      <c r="Y1245" s="268"/>
      <c r="Z1245" s="256"/>
      <c r="AA1245" s="267"/>
      <c r="AB1245" s="209"/>
      <c r="AC1245" s="268"/>
      <c r="AD1245" s="256"/>
      <c r="AE1245" s="269">
        <f t="shared" si="118"/>
        <v>0</v>
      </c>
      <c r="AF1245" s="209">
        <v>1899</v>
      </c>
      <c r="AG1245" s="270">
        <v>43231</v>
      </c>
      <c r="AH1245" s="256">
        <v>38556</v>
      </c>
      <c r="AI1245" s="267" t="s">
        <v>518</v>
      </c>
      <c r="AJ1245" s="271"/>
      <c r="AK1245" s="267"/>
      <c r="AL1245" s="256">
        <v>38556</v>
      </c>
      <c r="AM1245" s="256">
        <v>0</v>
      </c>
      <c r="AN1245" s="267"/>
      <c r="AO1245" s="267"/>
      <c r="AP1245" s="267"/>
      <c r="AQ1245" s="267"/>
      <c r="AR1245" s="267"/>
      <c r="AS1245" s="267"/>
      <c r="AT1245" s="267"/>
      <c r="AU1245" s="267"/>
    </row>
    <row r="1246" spans="1:47" x14ac:dyDescent="0.2">
      <c r="A1246" s="209">
        <v>69</v>
      </c>
      <c r="B1246" s="209"/>
      <c r="C1246" s="267"/>
      <c r="D1246" s="267"/>
      <c r="E1246" s="267"/>
      <c r="F1246" s="267"/>
      <c r="G1246" s="267"/>
      <c r="H1246" s="267" t="s">
        <v>342</v>
      </c>
      <c r="I1246" s="267"/>
      <c r="J1246" s="267"/>
      <c r="K1246" s="267"/>
      <c r="L1246" s="267"/>
      <c r="M1246" s="267"/>
      <c r="N1246" s="267"/>
      <c r="O1246" s="267"/>
      <c r="P1246" s="267"/>
      <c r="Q1246" s="256"/>
      <c r="R1246" s="267"/>
      <c r="S1246" s="256"/>
      <c r="T1246" s="267"/>
      <c r="U1246" s="267"/>
      <c r="V1246" s="268"/>
      <c r="W1246" s="267"/>
      <c r="X1246" s="203"/>
      <c r="Y1246" s="268"/>
      <c r="Z1246" s="256"/>
      <c r="AA1246" s="267"/>
      <c r="AB1246" s="209"/>
      <c r="AC1246" s="268"/>
      <c r="AD1246" s="256"/>
      <c r="AE1246" s="269">
        <f t="shared" si="118"/>
        <v>0</v>
      </c>
      <c r="AF1246" s="209">
        <v>2044</v>
      </c>
      <c r="AG1246" s="270">
        <v>43271</v>
      </c>
      <c r="AH1246" s="256">
        <v>33900</v>
      </c>
      <c r="AI1246" s="267" t="s">
        <v>518</v>
      </c>
      <c r="AJ1246" s="271"/>
      <c r="AK1246" s="267"/>
      <c r="AL1246" s="256">
        <v>33900</v>
      </c>
      <c r="AM1246" s="256">
        <v>0</v>
      </c>
      <c r="AN1246" s="267"/>
      <c r="AO1246" s="267"/>
      <c r="AP1246" s="267"/>
      <c r="AQ1246" s="267"/>
      <c r="AR1246" s="267"/>
      <c r="AS1246" s="267"/>
      <c r="AT1246" s="267"/>
      <c r="AU1246" s="267"/>
    </row>
    <row r="1247" spans="1:47" x14ac:dyDescent="0.2">
      <c r="A1247" s="209">
        <v>69</v>
      </c>
      <c r="B1247" s="209"/>
      <c r="C1247" s="267"/>
      <c r="D1247" s="267"/>
      <c r="E1247" s="267"/>
      <c r="F1247" s="267"/>
      <c r="G1247" s="267"/>
      <c r="H1247" s="267" t="s">
        <v>342</v>
      </c>
      <c r="I1247" s="267"/>
      <c r="J1247" s="267"/>
      <c r="K1247" s="267"/>
      <c r="L1247" s="267"/>
      <c r="M1247" s="267"/>
      <c r="N1247" s="267"/>
      <c r="O1247" s="267"/>
      <c r="P1247" s="267"/>
      <c r="Q1247" s="256"/>
      <c r="R1247" s="267"/>
      <c r="S1247" s="256"/>
      <c r="T1247" s="267"/>
      <c r="U1247" s="267"/>
      <c r="V1247" s="268"/>
      <c r="W1247" s="267"/>
      <c r="X1247" s="203"/>
      <c r="Y1247" s="268"/>
      <c r="Z1247" s="256"/>
      <c r="AA1247" s="267"/>
      <c r="AB1247" s="209"/>
      <c r="AC1247" s="268"/>
      <c r="AD1247" s="256"/>
      <c r="AE1247" s="269">
        <f t="shared" si="118"/>
        <v>0</v>
      </c>
      <c r="AF1247" s="209">
        <v>2515</v>
      </c>
      <c r="AG1247" s="270">
        <v>43300</v>
      </c>
      <c r="AH1247" s="256">
        <v>56700</v>
      </c>
      <c r="AI1247" s="267" t="s">
        <v>518</v>
      </c>
      <c r="AJ1247" s="271"/>
      <c r="AK1247" s="267"/>
      <c r="AL1247" s="256">
        <v>56700</v>
      </c>
      <c r="AM1247" s="256">
        <v>0</v>
      </c>
      <c r="AN1247" s="267"/>
      <c r="AO1247" s="267"/>
      <c r="AP1247" s="267"/>
      <c r="AQ1247" s="267"/>
      <c r="AR1247" s="267"/>
      <c r="AS1247" s="267"/>
      <c r="AT1247" s="267"/>
      <c r="AU1247" s="267"/>
    </row>
    <row r="1248" spans="1:47" x14ac:dyDescent="0.2">
      <c r="A1248" s="209">
        <v>70</v>
      </c>
      <c r="B1248" s="209" t="s">
        <v>343</v>
      </c>
      <c r="C1248" s="267" t="s">
        <v>49</v>
      </c>
      <c r="D1248" s="267" t="s">
        <v>50</v>
      </c>
      <c r="E1248" s="267" t="s">
        <v>50</v>
      </c>
      <c r="F1248" s="267" t="s">
        <v>230</v>
      </c>
      <c r="G1248" s="267" t="s">
        <v>231</v>
      </c>
      <c r="H1248" s="267" t="s">
        <v>342</v>
      </c>
      <c r="I1248" s="267" t="s">
        <v>54</v>
      </c>
      <c r="J1248" s="267" t="s">
        <v>55</v>
      </c>
      <c r="K1248" s="267">
        <v>82121700</v>
      </c>
      <c r="L1248" s="267"/>
      <c r="M1248" s="267"/>
      <c r="N1248" s="267"/>
      <c r="O1248" s="267"/>
      <c r="P1248" s="267" t="s">
        <v>797</v>
      </c>
      <c r="Q1248" s="256"/>
      <c r="R1248" s="267">
        <v>1</v>
      </c>
      <c r="S1248" s="256">
        <v>3174815</v>
      </c>
      <c r="T1248" s="267"/>
      <c r="U1248" s="267" t="s">
        <v>344</v>
      </c>
      <c r="V1248" s="268">
        <v>43174</v>
      </c>
      <c r="W1248" s="267">
        <v>10</v>
      </c>
      <c r="X1248" s="203" t="s">
        <v>345</v>
      </c>
      <c r="Y1248" s="268">
        <v>43201</v>
      </c>
      <c r="Z1248" s="256">
        <v>3174815</v>
      </c>
      <c r="AA1248" s="267"/>
      <c r="AB1248" s="209">
        <v>775</v>
      </c>
      <c r="AC1248" s="268" t="s">
        <v>1576</v>
      </c>
      <c r="AD1248" s="256">
        <v>3174815</v>
      </c>
      <c r="AE1248" s="269">
        <f t="shared" si="118"/>
        <v>0</v>
      </c>
      <c r="AF1248" s="209"/>
      <c r="AG1248" s="270"/>
      <c r="AH1248" s="256"/>
      <c r="AI1248" s="267"/>
      <c r="AJ1248" s="271"/>
      <c r="AK1248" s="267"/>
      <c r="AL1248" s="256"/>
      <c r="AM1248" s="256"/>
      <c r="AN1248" s="267"/>
      <c r="AO1248" s="267"/>
      <c r="AP1248" s="267" t="s">
        <v>346</v>
      </c>
      <c r="AQ1248" s="267">
        <v>43201</v>
      </c>
      <c r="AR1248" s="267" t="s">
        <v>347</v>
      </c>
      <c r="AS1248" s="267">
        <v>43201</v>
      </c>
      <c r="AT1248" s="267"/>
      <c r="AU1248" s="267"/>
    </row>
    <row r="1249" spans="1:47" x14ac:dyDescent="0.2">
      <c r="A1249" s="209">
        <v>71</v>
      </c>
      <c r="B1249" s="209" t="s">
        <v>348</v>
      </c>
      <c r="C1249" s="267" t="s">
        <v>49</v>
      </c>
      <c r="D1249" s="267" t="s">
        <v>50</v>
      </c>
      <c r="E1249" s="267" t="s">
        <v>50</v>
      </c>
      <c r="F1249" s="267" t="s">
        <v>230</v>
      </c>
      <c r="G1249" s="267" t="s">
        <v>231</v>
      </c>
      <c r="H1249" s="267" t="s">
        <v>342</v>
      </c>
      <c r="I1249" s="267" t="s">
        <v>54</v>
      </c>
      <c r="J1249" s="267" t="s">
        <v>55</v>
      </c>
      <c r="K1249" s="267">
        <v>55111500</v>
      </c>
      <c r="L1249" s="267"/>
      <c r="M1249" s="267"/>
      <c r="N1249" s="267"/>
      <c r="O1249" s="267"/>
      <c r="P1249" s="267" t="s">
        <v>3746</v>
      </c>
      <c r="Q1249" s="256"/>
      <c r="R1249" s="267">
        <v>1</v>
      </c>
      <c r="S1249" s="256">
        <v>9682000</v>
      </c>
      <c r="T1249" s="267"/>
      <c r="U1249" s="267" t="s">
        <v>58</v>
      </c>
      <c r="V1249" s="268">
        <v>43237</v>
      </c>
      <c r="W1249" s="267">
        <v>12</v>
      </c>
      <c r="X1249" s="203"/>
      <c r="Y1249" s="268"/>
      <c r="Z1249" s="256"/>
      <c r="AA1249" s="267"/>
      <c r="AB1249" s="209"/>
      <c r="AC1249" s="268"/>
      <c r="AD1249" s="256"/>
      <c r="AE1249" s="269">
        <f t="shared" si="118"/>
        <v>9682000</v>
      </c>
      <c r="AF1249" s="209"/>
      <c r="AG1249" s="270"/>
      <c r="AH1249" s="256"/>
      <c r="AI1249" s="267"/>
      <c r="AJ1249" s="271"/>
      <c r="AK1249" s="267"/>
      <c r="AL1249" s="256"/>
      <c r="AM1249" s="256"/>
      <c r="AN1249" s="267"/>
      <c r="AO1249" s="267"/>
      <c r="AP1249" s="267"/>
      <c r="AQ1249" s="267"/>
      <c r="AR1249" s="267"/>
      <c r="AS1249" s="267"/>
      <c r="AT1249" s="267"/>
      <c r="AU1249" s="267"/>
    </row>
    <row r="1250" spans="1:47" x14ac:dyDescent="0.2">
      <c r="A1250" s="209">
        <v>72</v>
      </c>
      <c r="B1250" s="209" t="s">
        <v>350</v>
      </c>
      <c r="C1250" s="267" t="s">
        <v>49</v>
      </c>
      <c r="D1250" s="267" t="s">
        <v>50</v>
      </c>
      <c r="E1250" s="267" t="s">
        <v>50</v>
      </c>
      <c r="F1250" s="267" t="s">
        <v>230</v>
      </c>
      <c r="G1250" s="267" t="s">
        <v>231</v>
      </c>
      <c r="H1250" s="267" t="s">
        <v>342</v>
      </c>
      <c r="I1250" s="267" t="s">
        <v>54</v>
      </c>
      <c r="J1250" s="267" t="s">
        <v>55</v>
      </c>
      <c r="K1250" s="267">
        <v>55111500</v>
      </c>
      <c r="L1250" s="267"/>
      <c r="M1250" s="267"/>
      <c r="N1250" s="267"/>
      <c r="O1250" s="267"/>
      <c r="P1250" s="267" t="s">
        <v>351</v>
      </c>
      <c r="Q1250" s="256"/>
      <c r="R1250" s="267">
        <v>1</v>
      </c>
      <c r="S1250" s="256">
        <v>0</v>
      </c>
      <c r="T1250" s="267"/>
      <c r="U1250" s="267" t="s">
        <v>58</v>
      </c>
      <c r="V1250" s="268">
        <v>43279</v>
      </c>
      <c r="W1250" s="267">
        <v>12</v>
      </c>
      <c r="X1250" s="203"/>
      <c r="Y1250" s="268"/>
      <c r="Z1250" s="256"/>
      <c r="AA1250" s="267"/>
      <c r="AB1250" s="209"/>
      <c r="AC1250" s="268"/>
      <c r="AD1250" s="256"/>
      <c r="AE1250" s="269">
        <f t="shared" si="118"/>
        <v>0</v>
      </c>
      <c r="AF1250" s="209"/>
      <c r="AG1250" s="270"/>
      <c r="AH1250" s="256"/>
      <c r="AI1250" s="267"/>
      <c r="AJ1250" s="271"/>
      <c r="AK1250" s="267"/>
      <c r="AL1250" s="256"/>
      <c r="AM1250" s="256"/>
      <c r="AN1250" s="267"/>
      <c r="AO1250" s="267"/>
      <c r="AP1250" s="267" t="s">
        <v>352</v>
      </c>
      <c r="AQ1250" s="267"/>
      <c r="AR1250" s="267"/>
      <c r="AS1250" s="267"/>
      <c r="AT1250" s="267"/>
      <c r="AU1250" s="267"/>
    </row>
    <row r="1251" spans="1:47" x14ac:dyDescent="0.2">
      <c r="A1251" s="209">
        <v>73</v>
      </c>
      <c r="B1251" s="209" t="s">
        <v>353</v>
      </c>
      <c r="C1251" s="267" t="s">
        <v>49</v>
      </c>
      <c r="D1251" s="267" t="s">
        <v>50</v>
      </c>
      <c r="E1251" s="267" t="s">
        <v>50</v>
      </c>
      <c r="F1251" s="267" t="s">
        <v>230</v>
      </c>
      <c r="G1251" s="267" t="s">
        <v>231</v>
      </c>
      <c r="H1251" s="267" t="s">
        <v>354</v>
      </c>
      <c r="I1251" s="267" t="s">
        <v>54</v>
      </c>
      <c r="J1251" s="267" t="s">
        <v>55</v>
      </c>
      <c r="K1251" s="267">
        <v>76111500</v>
      </c>
      <c r="L1251" s="267"/>
      <c r="M1251" s="267"/>
      <c r="N1251" s="267"/>
      <c r="O1251" s="267"/>
      <c r="P1251" s="267" t="s">
        <v>355</v>
      </c>
      <c r="Q1251" s="256"/>
      <c r="R1251" s="267">
        <v>1</v>
      </c>
      <c r="S1251" s="256">
        <v>199157327.307273</v>
      </c>
      <c r="T1251" s="267" t="s">
        <v>356</v>
      </c>
      <c r="U1251" s="267" t="s">
        <v>249</v>
      </c>
      <c r="V1251" s="268">
        <v>43132</v>
      </c>
      <c r="W1251" s="267">
        <v>12</v>
      </c>
      <c r="X1251" s="203" t="s">
        <v>3747</v>
      </c>
      <c r="Y1251" s="268">
        <v>43147</v>
      </c>
      <c r="Z1251" s="256">
        <v>172262398</v>
      </c>
      <c r="AA1251" s="267" t="s">
        <v>3748</v>
      </c>
      <c r="AB1251" s="209">
        <v>648</v>
      </c>
      <c r="AC1251" s="268">
        <v>43150</v>
      </c>
      <c r="AD1251" s="256">
        <v>157537280</v>
      </c>
      <c r="AE1251" s="269">
        <f t="shared" si="118"/>
        <v>41620047.307273</v>
      </c>
      <c r="AF1251" s="209">
        <v>1484</v>
      </c>
      <c r="AG1251" s="270">
        <v>43160</v>
      </c>
      <c r="AH1251" s="256">
        <v>157537280</v>
      </c>
      <c r="AI1251" s="267" t="s">
        <v>3749</v>
      </c>
      <c r="AJ1251" s="271"/>
      <c r="AK1251" s="267"/>
      <c r="AL1251" s="256">
        <v>67493932</v>
      </c>
      <c r="AM1251" s="256">
        <v>90043348</v>
      </c>
      <c r="AN1251" s="267"/>
      <c r="AO1251" s="267"/>
      <c r="AP1251" s="267" t="s">
        <v>3750</v>
      </c>
      <c r="AQ1251" s="267">
        <v>43207</v>
      </c>
      <c r="AR1251" s="267" t="s">
        <v>306</v>
      </c>
      <c r="AS1251" s="267">
        <v>43201</v>
      </c>
      <c r="AT1251" s="267" t="s">
        <v>357</v>
      </c>
      <c r="AU1251" s="267"/>
    </row>
    <row r="1252" spans="1:47" x14ac:dyDescent="0.2">
      <c r="A1252" s="209">
        <v>74</v>
      </c>
      <c r="B1252" s="209" t="s">
        <v>358</v>
      </c>
      <c r="C1252" s="267" t="s">
        <v>49</v>
      </c>
      <c r="D1252" s="267" t="s">
        <v>50</v>
      </c>
      <c r="E1252" s="267" t="s">
        <v>50</v>
      </c>
      <c r="F1252" s="267" t="s">
        <v>230</v>
      </c>
      <c r="G1252" s="267" t="s">
        <v>231</v>
      </c>
      <c r="H1252" s="267" t="s">
        <v>354</v>
      </c>
      <c r="I1252" s="267" t="s">
        <v>54</v>
      </c>
      <c r="J1252" s="267" t="s">
        <v>55</v>
      </c>
      <c r="K1252" s="267">
        <v>76111800</v>
      </c>
      <c r="L1252" s="267"/>
      <c r="M1252" s="267"/>
      <c r="N1252" s="267"/>
      <c r="O1252" s="267"/>
      <c r="P1252" s="267" t="s">
        <v>359</v>
      </c>
      <c r="Q1252" s="256"/>
      <c r="R1252" s="267">
        <v>1</v>
      </c>
      <c r="S1252" s="256">
        <v>0</v>
      </c>
      <c r="T1252" s="267" t="s">
        <v>50</v>
      </c>
      <c r="U1252" s="267" t="s">
        <v>50</v>
      </c>
      <c r="V1252" s="268">
        <v>43244</v>
      </c>
      <c r="W1252" s="267">
        <v>1</v>
      </c>
      <c r="X1252" s="203" t="s">
        <v>360</v>
      </c>
      <c r="Y1252" s="268">
        <v>43244</v>
      </c>
      <c r="Z1252" s="256"/>
      <c r="AA1252" s="267" t="s">
        <v>361</v>
      </c>
      <c r="AB1252" s="209"/>
      <c r="AC1252" s="268"/>
      <c r="AD1252" s="256"/>
      <c r="AE1252" s="269">
        <f t="shared" si="118"/>
        <v>0</v>
      </c>
      <c r="AF1252" s="209"/>
      <c r="AG1252" s="270"/>
      <c r="AH1252" s="256"/>
      <c r="AI1252" s="267"/>
      <c r="AJ1252" s="271"/>
      <c r="AK1252" s="267"/>
      <c r="AL1252" s="256"/>
      <c r="AM1252" s="256"/>
      <c r="AN1252" s="267"/>
      <c r="AO1252" s="267"/>
      <c r="AP1252" s="267" t="s">
        <v>362</v>
      </c>
      <c r="AQ1252" s="267" t="s">
        <v>363</v>
      </c>
      <c r="AR1252" s="267" t="s">
        <v>3751</v>
      </c>
      <c r="AS1252" s="267" t="s">
        <v>363</v>
      </c>
      <c r="AT1252" s="267" t="s">
        <v>307</v>
      </c>
      <c r="AU1252" s="267"/>
    </row>
    <row r="1253" spans="1:47" x14ac:dyDescent="0.2">
      <c r="A1253" s="209">
        <v>75</v>
      </c>
      <c r="B1253" s="209" t="s">
        <v>364</v>
      </c>
      <c r="C1253" s="267" t="s">
        <v>49</v>
      </c>
      <c r="D1253" s="267" t="s">
        <v>50</v>
      </c>
      <c r="E1253" s="267" t="s">
        <v>50</v>
      </c>
      <c r="F1253" s="267" t="s">
        <v>230</v>
      </c>
      <c r="G1253" s="267" t="s">
        <v>231</v>
      </c>
      <c r="H1253" s="267" t="s">
        <v>354</v>
      </c>
      <c r="I1253" s="267" t="s">
        <v>54</v>
      </c>
      <c r="J1253" s="267" t="s">
        <v>55</v>
      </c>
      <c r="K1253" s="267">
        <v>92101500</v>
      </c>
      <c r="L1253" s="267"/>
      <c r="M1253" s="267"/>
      <c r="N1253" s="267"/>
      <c r="O1253" s="267"/>
      <c r="P1253" s="267" t="s">
        <v>365</v>
      </c>
      <c r="Q1253" s="256"/>
      <c r="R1253" s="267">
        <v>1</v>
      </c>
      <c r="S1253" s="256">
        <v>255579128</v>
      </c>
      <c r="T1253" s="267" t="s">
        <v>356</v>
      </c>
      <c r="U1253" s="267" t="s">
        <v>311</v>
      </c>
      <c r="V1253" s="268">
        <v>43206</v>
      </c>
      <c r="W1253" s="267">
        <v>8</v>
      </c>
      <c r="X1253" s="203" t="s">
        <v>366</v>
      </c>
      <c r="Y1253" s="268">
        <v>43207</v>
      </c>
      <c r="Z1253" s="256">
        <v>255579128</v>
      </c>
      <c r="AA1253" s="267" t="s">
        <v>367</v>
      </c>
      <c r="AB1253" s="209">
        <v>791</v>
      </c>
      <c r="AC1253" s="268" t="s">
        <v>1578</v>
      </c>
      <c r="AD1253" s="256">
        <v>255579128</v>
      </c>
      <c r="AE1253" s="269">
        <f t="shared" si="118"/>
        <v>0</v>
      </c>
      <c r="AF1253" s="204"/>
      <c r="AG1253" s="192"/>
      <c r="AH1253" s="192"/>
      <c r="AI1253" s="192"/>
      <c r="AJ1253" s="271"/>
      <c r="AK1253" s="267"/>
      <c r="AL1253" s="256"/>
      <c r="AM1253" s="256"/>
      <c r="AN1253" s="267"/>
      <c r="AO1253" s="267"/>
      <c r="AP1253" s="267" t="s">
        <v>368</v>
      </c>
      <c r="AQ1253" s="267">
        <v>43207</v>
      </c>
      <c r="AR1253" s="267" t="s">
        <v>272</v>
      </c>
      <c r="AS1253" s="267">
        <v>43201</v>
      </c>
      <c r="AT1253" s="267" t="s">
        <v>369</v>
      </c>
      <c r="AU1253" s="267"/>
    </row>
    <row r="1254" spans="1:47" x14ac:dyDescent="0.2">
      <c r="A1254" s="209">
        <v>76</v>
      </c>
      <c r="B1254" s="209" t="s">
        <v>370</v>
      </c>
      <c r="C1254" s="267" t="s">
        <v>49</v>
      </c>
      <c r="D1254" s="267" t="s">
        <v>50</v>
      </c>
      <c r="E1254" s="267" t="s">
        <v>50</v>
      </c>
      <c r="F1254" s="267" t="s">
        <v>230</v>
      </c>
      <c r="G1254" s="267" t="s">
        <v>231</v>
      </c>
      <c r="H1254" s="267" t="s">
        <v>354</v>
      </c>
      <c r="I1254" s="267" t="s">
        <v>54</v>
      </c>
      <c r="J1254" s="267" t="s">
        <v>55</v>
      </c>
      <c r="K1254" s="267">
        <v>31162800</v>
      </c>
      <c r="L1254" s="267"/>
      <c r="M1254" s="267"/>
      <c r="N1254" s="267"/>
      <c r="O1254" s="267"/>
      <c r="P1254" s="267" t="s">
        <v>371</v>
      </c>
      <c r="Q1254" s="256"/>
      <c r="R1254" s="267">
        <v>1</v>
      </c>
      <c r="S1254" s="256">
        <v>16480000</v>
      </c>
      <c r="T1254" s="267"/>
      <c r="U1254" s="267" t="s">
        <v>339</v>
      </c>
      <c r="V1254" s="268">
        <v>43132</v>
      </c>
      <c r="W1254" s="267">
        <v>12</v>
      </c>
      <c r="X1254" s="203" t="s">
        <v>372</v>
      </c>
      <c r="Y1254" s="268">
        <v>43132</v>
      </c>
      <c r="Z1254" s="256">
        <v>16480000</v>
      </c>
      <c r="AA1254" s="267"/>
      <c r="AB1254" s="209">
        <v>627</v>
      </c>
      <c r="AC1254" s="268">
        <v>43133</v>
      </c>
      <c r="AD1254" s="256">
        <v>16479150</v>
      </c>
      <c r="AE1254" s="269">
        <f t="shared" si="118"/>
        <v>850</v>
      </c>
      <c r="AF1254" s="209">
        <v>1724</v>
      </c>
      <c r="AG1254" s="270">
        <v>43195</v>
      </c>
      <c r="AH1254" s="256">
        <v>16479150</v>
      </c>
      <c r="AI1254" s="267" t="s">
        <v>3752</v>
      </c>
      <c r="AJ1254" s="271"/>
      <c r="AK1254" s="267"/>
      <c r="AL1254" s="256">
        <v>1406556</v>
      </c>
      <c r="AM1254" s="256">
        <v>15072594</v>
      </c>
      <c r="AN1254" s="267"/>
      <c r="AO1254" s="267"/>
      <c r="AP1254" s="267"/>
      <c r="AQ1254" s="267"/>
      <c r="AR1254" s="267"/>
      <c r="AS1254" s="267"/>
      <c r="AT1254" s="267"/>
      <c r="AU1254" s="267"/>
    </row>
    <row r="1255" spans="1:47" x14ac:dyDescent="0.2">
      <c r="A1255" s="209">
        <v>77</v>
      </c>
      <c r="B1255" s="209" t="s">
        <v>373</v>
      </c>
      <c r="C1255" s="267" t="s">
        <v>49</v>
      </c>
      <c r="D1255" s="267" t="s">
        <v>50</v>
      </c>
      <c r="E1255" s="267" t="s">
        <v>50</v>
      </c>
      <c r="F1255" s="267" t="s">
        <v>230</v>
      </c>
      <c r="G1255" s="267" t="s">
        <v>231</v>
      </c>
      <c r="H1255" s="267" t="s">
        <v>354</v>
      </c>
      <c r="I1255" s="267" t="s">
        <v>54</v>
      </c>
      <c r="J1255" s="267" t="s">
        <v>55</v>
      </c>
      <c r="K1255" s="267">
        <v>72154302</v>
      </c>
      <c r="L1255" s="267"/>
      <c r="M1255" s="267"/>
      <c r="N1255" s="267"/>
      <c r="O1255" s="267"/>
      <c r="P1255" s="267" t="s">
        <v>3753</v>
      </c>
      <c r="Q1255" s="256"/>
      <c r="R1255" s="267">
        <v>1</v>
      </c>
      <c r="S1255" s="256">
        <v>9242839.8399999999</v>
      </c>
      <c r="T1255" s="267"/>
      <c r="U1255" s="267" t="s">
        <v>339</v>
      </c>
      <c r="V1255" s="267">
        <v>43266</v>
      </c>
      <c r="W1255" s="267">
        <v>7</v>
      </c>
      <c r="X1255" s="201" t="s">
        <v>374</v>
      </c>
      <c r="Y1255" s="267">
        <v>43307</v>
      </c>
      <c r="Z1255" s="267">
        <v>9242840</v>
      </c>
      <c r="AA1255" s="267"/>
      <c r="AB1255" s="204">
        <v>1009</v>
      </c>
      <c r="AC1255" s="272">
        <v>43311</v>
      </c>
      <c r="AD1255" s="256">
        <v>9242840</v>
      </c>
      <c r="AE1255" s="269">
        <f t="shared" si="118"/>
        <v>-0.16000000014901161</v>
      </c>
      <c r="AF1255" s="209"/>
      <c r="AG1255" s="267"/>
      <c r="AH1255" s="267"/>
      <c r="AI1255" s="267"/>
      <c r="AJ1255" s="271"/>
      <c r="AK1255" s="267"/>
      <c r="AL1255" s="256"/>
      <c r="AM1255" s="256"/>
      <c r="AN1255" s="267"/>
      <c r="AO1255" s="267"/>
      <c r="AP1255" s="267"/>
      <c r="AQ1255" s="267"/>
      <c r="AR1255" s="267"/>
      <c r="AS1255" s="267"/>
      <c r="AT1255" s="267"/>
      <c r="AU1255" s="267"/>
    </row>
    <row r="1256" spans="1:47" x14ac:dyDescent="0.2">
      <c r="A1256" s="209">
        <v>78</v>
      </c>
      <c r="B1256" s="209" t="s">
        <v>375</v>
      </c>
      <c r="C1256" s="267" t="s">
        <v>49</v>
      </c>
      <c r="D1256" s="267" t="s">
        <v>50</v>
      </c>
      <c r="E1256" s="267" t="s">
        <v>50</v>
      </c>
      <c r="F1256" s="267" t="s">
        <v>230</v>
      </c>
      <c r="G1256" s="267" t="s">
        <v>231</v>
      </c>
      <c r="H1256" s="267" t="s">
        <v>354</v>
      </c>
      <c r="I1256" s="267" t="s">
        <v>54</v>
      </c>
      <c r="J1256" s="267" t="s">
        <v>55</v>
      </c>
      <c r="K1256" s="267">
        <v>72101506</v>
      </c>
      <c r="L1256" s="267"/>
      <c r="M1256" s="267"/>
      <c r="N1256" s="267"/>
      <c r="O1256" s="267"/>
      <c r="P1256" s="267" t="s">
        <v>376</v>
      </c>
      <c r="Q1256" s="256"/>
      <c r="R1256" s="267">
        <v>1</v>
      </c>
      <c r="S1256" s="256">
        <v>5500000</v>
      </c>
      <c r="T1256" s="267" t="s">
        <v>356</v>
      </c>
      <c r="U1256" s="267" t="s">
        <v>58</v>
      </c>
      <c r="V1256" s="267">
        <v>43280</v>
      </c>
      <c r="W1256" s="267">
        <v>7</v>
      </c>
      <c r="X1256" s="201" t="s">
        <v>377</v>
      </c>
      <c r="Y1256" s="267">
        <v>43284</v>
      </c>
      <c r="Z1256" s="267">
        <v>5500000</v>
      </c>
      <c r="AA1256" s="267"/>
      <c r="AB1256" s="204">
        <v>938</v>
      </c>
      <c r="AC1256" s="272">
        <v>43285</v>
      </c>
      <c r="AD1256" s="256">
        <v>5500000</v>
      </c>
      <c r="AE1256" s="269">
        <f t="shared" si="118"/>
        <v>0</v>
      </c>
      <c r="AF1256" s="209"/>
      <c r="AG1256" s="267"/>
      <c r="AH1256" s="267"/>
      <c r="AI1256" s="267"/>
      <c r="AJ1256" s="271"/>
      <c r="AK1256" s="267"/>
      <c r="AL1256" s="256"/>
      <c r="AM1256" s="256"/>
      <c r="AN1256" s="267"/>
      <c r="AO1256" s="267"/>
      <c r="AP1256" s="267" t="s">
        <v>378</v>
      </c>
      <c r="AQ1256" s="267" t="s">
        <v>379</v>
      </c>
      <c r="AR1256" s="267" t="s">
        <v>146</v>
      </c>
      <c r="AS1256" s="267" t="s">
        <v>379</v>
      </c>
      <c r="AT1256" s="267" t="s">
        <v>380</v>
      </c>
      <c r="AU1256" s="267"/>
    </row>
    <row r="1257" spans="1:47" x14ac:dyDescent="0.2">
      <c r="A1257" s="209">
        <v>79</v>
      </c>
      <c r="B1257" s="209" t="s">
        <v>381</v>
      </c>
      <c r="C1257" s="267" t="s">
        <v>49</v>
      </c>
      <c r="D1257" s="267" t="s">
        <v>50</v>
      </c>
      <c r="E1257" s="267" t="s">
        <v>50</v>
      </c>
      <c r="F1257" s="267" t="s">
        <v>230</v>
      </c>
      <c r="G1257" s="267" t="s">
        <v>231</v>
      </c>
      <c r="H1257" s="267" t="s">
        <v>354</v>
      </c>
      <c r="I1257" s="267" t="s">
        <v>54</v>
      </c>
      <c r="J1257" s="267" t="s">
        <v>55</v>
      </c>
      <c r="K1257" s="267">
        <v>72101516</v>
      </c>
      <c r="L1257" s="267"/>
      <c r="M1257" s="267"/>
      <c r="N1257" s="267"/>
      <c r="O1257" s="267"/>
      <c r="P1257" s="267" t="s">
        <v>3754</v>
      </c>
      <c r="Q1257" s="256"/>
      <c r="R1257" s="267">
        <v>1</v>
      </c>
      <c r="S1257" s="256">
        <v>2500000</v>
      </c>
      <c r="T1257" s="267"/>
      <c r="U1257" s="267" t="s">
        <v>276</v>
      </c>
      <c r="V1257" s="268">
        <v>43391</v>
      </c>
      <c r="W1257" s="267">
        <v>2</v>
      </c>
      <c r="X1257" s="203"/>
      <c r="Y1257" s="268"/>
      <c r="Z1257" s="256"/>
      <c r="AA1257" s="267"/>
      <c r="AB1257" s="209"/>
      <c r="AC1257" s="268"/>
      <c r="AD1257" s="256"/>
      <c r="AE1257" s="269" t="e">
        <f>#REF!-AD1257</f>
        <v>#REF!</v>
      </c>
      <c r="AF1257" s="209"/>
      <c r="AG1257" s="270"/>
      <c r="AH1257" s="256"/>
      <c r="AI1257" s="267"/>
      <c r="AJ1257" s="271"/>
      <c r="AK1257" s="267"/>
      <c r="AL1257" s="256"/>
      <c r="AM1257" s="256"/>
      <c r="AN1257" s="267"/>
      <c r="AO1257" s="267"/>
      <c r="AP1257" s="267"/>
      <c r="AQ1257" s="267"/>
      <c r="AR1257" s="267"/>
      <c r="AS1257" s="267"/>
      <c r="AT1257" s="267"/>
      <c r="AU1257" s="267"/>
    </row>
    <row r="1258" spans="1:47" x14ac:dyDescent="0.2">
      <c r="A1258" s="209">
        <v>80</v>
      </c>
      <c r="B1258" s="209" t="s">
        <v>383</v>
      </c>
      <c r="C1258" s="267" t="s">
        <v>49</v>
      </c>
      <c r="D1258" s="267" t="s">
        <v>50</v>
      </c>
      <c r="E1258" s="267" t="s">
        <v>50</v>
      </c>
      <c r="F1258" s="267" t="s">
        <v>230</v>
      </c>
      <c r="G1258" s="267" t="s">
        <v>231</v>
      </c>
      <c r="H1258" s="267" t="s">
        <v>354</v>
      </c>
      <c r="I1258" s="267" t="s">
        <v>54</v>
      </c>
      <c r="J1258" s="267" t="s">
        <v>55</v>
      </c>
      <c r="K1258" s="267" t="s">
        <v>50</v>
      </c>
      <c r="L1258" s="267"/>
      <c r="M1258" s="267"/>
      <c r="N1258" s="267"/>
      <c r="O1258" s="267"/>
      <c r="P1258" s="267" t="s">
        <v>302</v>
      </c>
      <c r="Q1258" s="256"/>
      <c r="R1258" s="267"/>
      <c r="S1258" s="256">
        <v>8000000</v>
      </c>
      <c r="T1258" s="267"/>
      <c r="U1258" s="267" t="s">
        <v>234</v>
      </c>
      <c r="V1258" s="268" t="s">
        <v>235</v>
      </c>
      <c r="W1258" s="267">
        <v>12</v>
      </c>
      <c r="X1258" s="203" t="s">
        <v>384</v>
      </c>
      <c r="Y1258" s="268">
        <v>43119</v>
      </c>
      <c r="Z1258" s="256">
        <v>8000000</v>
      </c>
      <c r="AA1258" s="267" t="s">
        <v>3755</v>
      </c>
      <c r="AB1258" s="209">
        <v>542</v>
      </c>
      <c r="AC1258" s="268" t="s">
        <v>3742</v>
      </c>
      <c r="AD1258" s="256">
        <v>4488132</v>
      </c>
      <c r="AE1258" s="269">
        <f t="shared" ref="AE1258:AE1298" si="119">S1258-AD1258</f>
        <v>3511868</v>
      </c>
      <c r="AF1258" s="209">
        <v>1822</v>
      </c>
      <c r="AG1258" s="270">
        <v>43209</v>
      </c>
      <c r="AH1258" s="256">
        <v>128300</v>
      </c>
      <c r="AI1258" s="267" t="s">
        <v>518</v>
      </c>
      <c r="AJ1258" s="271"/>
      <c r="AK1258" s="267"/>
      <c r="AL1258" s="256">
        <v>128300</v>
      </c>
      <c r="AM1258" s="256">
        <v>0</v>
      </c>
      <c r="AN1258" s="267"/>
      <c r="AO1258" s="267"/>
      <c r="AP1258" s="267"/>
      <c r="AQ1258" s="267"/>
      <c r="AR1258" s="267"/>
      <c r="AS1258" s="267"/>
      <c r="AT1258" s="267"/>
      <c r="AU1258" s="267"/>
    </row>
    <row r="1259" spans="1:47" x14ac:dyDescent="0.2">
      <c r="A1259" s="209">
        <v>80</v>
      </c>
      <c r="B1259" s="209"/>
      <c r="C1259" s="267"/>
      <c r="D1259" s="267"/>
      <c r="E1259" s="267"/>
      <c r="F1259" s="267"/>
      <c r="G1259" s="267"/>
      <c r="H1259" s="267" t="s">
        <v>354</v>
      </c>
      <c r="I1259" s="267"/>
      <c r="J1259" s="267"/>
      <c r="K1259" s="267"/>
      <c r="L1259" s="267"/>
      <c r="M1259" s="267"/>
      <c r="N1259" s="267"/>
      <c r="O1259" s="267"/>
      <c r="P1259" s="267"/>
      <c r="Q1259" s="256"/>
      <c r="R1259" s="267"/>
      <c r="S1259" s="256"/>
      <c r="T1259" s="267"/>
      <c r="U1259" s="267"/>
      <c r="V1259" s="268"/>
      <c r="W1259" s="267"/>
      <c r="X1259" s="203"/>
      <c r="Y1259" s="268"/>
      <c r="Z1259" s="256"/>
      <c r="AA1259" s="267"/>
      <c r="AB1259" s="209"/>
      <c r="AC1259" s="268"/>
      <c r="AD1259" s="256"/>
      <c r="AE1259" s="269">
        <f t="shared" si="119"/>
        <v>0</v>
      </c>
      <c r="AF1259" s="209">
        <v>2045</v>
      </c>
      <c r="AG1259" s="270">
        <v>43271</v>
      </c>
      <c r="AH1259" s="256">
        <v>100000</v>
      </c>
      <c r="AI1259" s="267" t="s">
        <v>518</v>
      </c>
      <c r="AJ1259" s="271"/>
      <c r="AK1259" s="267"/>
      <c r="AL1259" s="256">
        <v>100000</v>
      </c>
      <c r="AM1259" s="256">
        <v>0</v>
      </c>
      <c r="AN1259" s="267"/>
      <c r="AO1259" s="267"/>
      <c r="AP1259" s="267"/>
      <c r="AQ1259" s="267"/>
      <c r="AR1259" s="267"/>
      <c r="AS1259" s="267"/>
      <c r="AT1259" s="267"/>
      <c r="AU1259" s="267"/>
    </row>
    <row r="1260" spans="1:47" x14ac:dyDescent="0.2">
      <c r="A1260" s="209">
        <v>80</v>
      </c>
      <c r="B1260" s="209"/>
      <c r="C1260" s="267"/>
      <c r="D1260" s="267"/>
      <c r="E1260" s="267"/>
      <c r="F1260" s="267"/>
      <c r="G1260" s="267"/>
      <c r="H1260" s="267" t="s">
        <v>354</v>
      </c>
      <c r="I1260" s="267"/>
      <c r="J1260" s="267"/>
      <c r="K1260" s="267"/>
      <c r="L1260" s="267"/>
      <c r="M1260" s="267"/>
      <c r="N1260" s="267"/>
      <c r="O1260" s="267"/>
      <c r="P1260" s="267"/>
      <c r="Q1260" s="256"/>
      <c r="R1260" s="267"/>
      <c r="S1260" s="256"/>
      <c r="T1260" s="267"/>
      <c r="U1260" s="267"/>
      <c r="V1260" s="268"/>
      <c r="W1260" s="267"/>
      <c r="X1260" s="203"/>
      <c r="Y1260" s="268"/>
      <c r="Z1260" s="256"/>
      <c r="AA1260" s="267"/>
      <c r="AB1260" s="209"/>
      <c r="AC1260" s="268"/>
      <c r="AD1260" s="256"/>
      <c r="AE1260" s="269">
        <f t="shared" si="119"/>
        <v>0</v>
      </c>
      <c r="AF1260" s="209">
        <v>2516</v>
      </c>
      <c r="AG1260" s="270">
        <v>43300</v>
      </c>
      <c r="AH1260" s="256">
        <v>121900</v>
      </c>
      <c r="AI1260" s="267" t="s">
        <v>518</v>
      </c>
      <c r="AJ1260" s="271"/>
      <c r="AK1260" s="267"/>
      <c r="AL1260" s="256">
        <v>121900</v>
      </c>
      <c r="AM1260" s="256">
        <v>0</v>
      </c>
      <c r="AN1260" s="267"/>
      <c r="AO1260" s="267"/>
      <c r="AP1260" s="267"/>
      <c r="AQ1260" s="267"/>
      <c r="AR1260" s="267"/>
      <c r="AS1260" s="267"/>
      <c r="AT1260" s="267"/>
      <c r="AU1260" s="267"/>
    </row>
    <row r="1261" spans="1:47" x14ac:dyDescent="0.2">
      <c r="A1261" s="209">
        <v>81</v>
      </c>
      <c r="B1261" s="209" t="s">
        <v>385</v>
      </c>
      <c r="C1261" s="267" t="s">
        <v>49</v>
      </c>
      <c r="D1261" s="267" t="s">
        <v>50</v>
      </c>
      <c r="E1261" s="267" t="s">
        <v>50</v>
      </c>
      <c r="F1261" s="267" t="s">
        <v>230</v>
      </c>
      <c r="G1261" s="267" t="s">
        <v>231</v>
      </c>
      <c r="H1261" s="267" t="s">
        <v>386</v>
      </c>
      <c r="I1261" s="267" t="s">
        <v>54</v>
      </c>
      <c r="J1261" s="267" t="s">
        <v>55</v>
      </c>
      <c r="K1261" s="267" t="s">
        <v>50</v>
      </c>
      <c r="L1261" s="267"/>
      <c r="M1261" s="267"/>
      <c r="N1261" s="267"/>
      <c r="O1261" s="267"/>
      <c r="P1261" s="267" t="s">
        <v>302</v>
      </c>
      <c r="Q1261" s="256">
        <v>257500</v>
      </c>
      <c r="R1261" s="267"/>
      <c r="S1261" s="256">
        <v>3000000</v>
      </c>
      <c r="T1261" s="267"/>
      <c r="U1261" s="267" t="s">
        <v>234</v>
      </c>
      <c r="V1261" s="268" t="s">
        <v>235</v>
      </c>
      <c r="W1261" s="267">
        <v>12</v>
      </c>
      <c r="X1261" s="203" t="s">
        <v>387</v>
      </c>
      <c r="Y1261" s="268">
        <v>43119</v>
      </c>
      <c r="Z1261" s="256">
        <v>3000000</v>
      </c>
      <c r="AA1261" s="267" t="s">
        <v>388</v>
      </c>
      <c r="AB1261" s="209">
        <v>547</v>
      </c>
      <c r="AC1261" s="268" t="s">
        <v>3742</v>
      </c>
      <c r="AD1261" s="256">
        <v>3000000</v>
      </c>
      <c r="AE1261" s="269">
        <f t="shared" si="119"/>
        <v>0</v>
      </c>
      <c r="AF1261" s="209">
        <v>1587</v>
      </c>
      <c r="AG1261" s="270">
        <v>43174</v>
      </c>
      <c r="AH1261" s="256">
        <v>124288</v>
      </c>
      <c r="AI1261" s="267" t="s">
        <v>518</v>
      </c>
      <c r="AJ1261" s="271"/>
      <c r="AK1261" s="267"/>
      <c r="AL1261" s="256">
        <v>124288</v>
      </c>
      <c r="AM1261" s="256">
        <v>0</v>
      </c>
      <c r="AN1261" s="267"/>
      <c r="AO1261" s="267"/>
      <c r="AP1261" s="267" t="s">
        <v>305</v>
      </c>
      <c r="AQ1261" s="267">
        <v>43244</v>
      </c>
      <c r="AR1261" s="267" t="s">
        <v>389</v>
      </c>
      <c r="AS1261" s="267">
        <v>43244</v>
      </c>
      <c r="AT1261" s="267" t="s">
        <v>390</v>
      </c>
      <c r="AU1261" s="267"/>
    </row>
    <row r="1262" spans="1:47" x14ac:dyDescent="0.2">
      <c r="A1262" s="209">
        <v>81</v>
      </c>
      <c r="B1262" s="209"/>
      <c r="C1262" s="267"/>
      <c r="D1262" s="267"/>
      <c r="E1262" s="267"/>
      <c r="F1262" s="267"/>
      <c r="G1262" s="267"/>
      <c r="H1262" s="267" t="s">
        <v>386</v>
      </c>
      <c r="I1262" s="267"/>
      <c r="J1262" s="267"/>
      <c r="K1262" s="267"/>
      <c r="L1262" s="267"/>
      <c r="M1262" s="267"/>
      <c r="N1262" s="267"/>
      <c r="O1262" s="267"/>
      <c r="P1262" s="267"/>
      <c r="Q1262" s="256"/>
      <c r="R1262" s="267"/>
      <c r="S1262" s="256"/>
      <c r="T1262" s="267"/>
      <c r="U1262" s="267"/>
      <c r="V1262" s="268"/>
      <c r="W1262" s="267"/>
      <c r="X1262" s="203"/>
      <c r="Y1262" s="268"/>
      <c r="Z1262" s="256"/>
      <c r="AA1262" s="267"/>
      <c r="AB1262" s="209"/>
      <c r="AC1262" s="268"/>
      <c r="AD1262" s="256"/>
      <c r="AE1262" s="269">
        <f t="shared" si="119"/>
        <v>0</v>
      </c>
      <c r="AF1262" s="209">
        <v>1823</v>
      </c>
      <c r="AG1262" s="270">
        <v>43209</v>
      </c>
      <c r="AH1262" s="256">
        <v>45972</v>
      </c>
      <c r="AI1262" s="267" t="s">
        <v>518</v>
      </c>
      <c r="AJ1262" s="271"/>
      <c r="AK1262" s="267"/>
      <c r="AL1262" s="256">
        <v>45972</v>
      </c>
      <c r="AM1262" s="256">
        <v>0</v>
      </c>
      <c r="AN1262" s="267"/>
      <c r="AO1262" s="267"/>
      <c r="AP1262" s="267"/>
      <c r="AQ1262" s="267"/>
      <c r="AR1262" s="267"/>
      <c r="AS1262" s="267"/>
      <c r="AT1262" s="267"/>
      <c r="AU1262" s="267"/>
    </row>
    <row r="1263" spans="1:47" x14ac:dyDescent="0.2">
      <c r="A1263" s="209">
        <v>81</v>
      </c>
      <c r="B1263" s="209"/>
      <c r="C1263" s="267"/>
      <c r="D1263" s="267"/>
      <c r="E1263" s="267"/>
      <c r="F1263" s="267"/>
      <c r="G1263" s="267"/>
      <c r="H1263" s="267" t="s">
        <v>386</v>
      </c>
      <c r="I1263" s="267"/>
      <c r="J1263" s="267"/>
      <c r="K1263" s="267"/>
      <c r="L1263" s="267"/>
      <c r="M1263" s="267"/>
      <c r="N1263" s="267"/>
      <c r="O1263" s="267"/>
      <c r="P1263" s="267"/>
      <c r="Q1263" s="256"/>
      <c r="R1263" s="267"/>
      <c r="S1263" s="256"/>
      <c r="T1263" s="267"/>
      <c r="U1263" s="267"/>
      <c r="V1263" s="268"/>
      <c r="W1263" s="267"/>
      <c r="X1263" s="203"/>
      <c r="Y1263" s="268"/>
      <c r="Z1263" s="256"/>
      <c r="AA1263" s="267"/>
      <c r="AB1263" s="209"/>
      <c r="AC1263" s="268"/>
      <c r="AD1263" s="256"/>
      <c r="AE1263" s="269">
        <f t="shared" si="119"/>
        <v>0</v>
      </c>
      <c r="AF1263" s="209">
        <v>1900</v>
      </c>
      <c r="AG1263" s="270">
        <v>43231</v>
      </c>
      <c r="AH1263" s="256">
        <v>42545</v>
      </c>
      <c r="AI1263" s="267" t="s">
        <v>518</v>
      </c>
      <c r="AJ1263" s="271"/>
      <c r="AK1263" s="267"/>
      <c r="AL1263" s="256">
        <v>42545</v>
      </c>
      <c r="AM1263" s="256">
        <v>0</v>
      </c>
      <c r="AN1263" s="267"/>
      <c r="AO1263" s="267"/>
      <c r="AP1263" s="267"/>
      <c r="AQ1263" s="267"/>
      <c r="AR1263" s="267"/>
      <c r="AS1263" s="267"/>
      <c r="AT1263" s="267"/>
      <c r="AU1263" s="267"/>
    </row>
    <row r="1264" spans="1:47" x14ac:dyDescent="0.2">
      <c r="A1264" s="209">
        <v>81</v>
      </c>
      <c r="B1264" s="209"/>
      <c r="C1264" s="267"/>
      <c r="D1264" s="267"/>
      <c r="E1264" s="267"/>
      <c r="F1264" s="267"/>
      <c r="G1264" s="267"/>
      <c r="H1264" s="267" t="s">
        <v>386</v>
      </c>
      <c r="I1264" s="267"/>
      <c r="J1264" s="267"/>
      <c r="K1264" s="267"/>
      <c r="L1264" s="267"/>
      <c r="M1264" s="267"/>
      <c r="N1264" s="267"/>
      <c r="O1264" s="267"/>
      <c r="P1264" s="267"/>
      <c r="Q1264" s="256"/>
      <c r="R1264" s="267"/>
      <c r="S1264" s="256"/>
      <c r="T1264" s="267"/>
      <c r="U1264" s="267"/>
      <c r="V1264" s="268"/>
      <c r="W1264" s="267"/>
      <c r="X1264" s="203"/>
      <c r="Y1264" s="268"/>
      <c r="Z1264" s="256"/>
      <c r="AA1264" s="267"/>
      <c r="AB1264" s="209"/>
      <c r="AC1264" s="268"/>
      <c r="AD1264" s="256"/>
      <c r="AE1264" s="269">
        <f t="shared" si="119"/>
        <v>0</v>
      </c>
      <c r="AF1264" s="209">
        <v>2046</v>
      </c>
      <c r="AG1264" s="270">
        <v>43271</v>
      </c>
      <c r="AH1264" s="256">
        <v>122094</v>
      </c>
      <c r="AI1264" s="267" t="s">
        <v>518</v>
      </c>
      <c r="AJ1264" s="271"/>
      <c r="AK1264" s="267"/>
      <c r="AL1264" s="256">
        <v>122094</v>
      </c>
      <c r="AM1264" s="256">
        <v>0</v>
      </c>
      <c r="AN1264" s="267"/>
      <c r="AO1264" s="267"/>
      <c r="AP1264" s="267"/>
      <c r="AQ1264" s="267"/>
      <c r="AR1264" s="267"/>
      <c r="AS1264" s="267"/>
      <c r="AT1264" s="267"/>
      <c r="AU1264" s="267"/>
    </row>
    <row r="1265" spans="1:47" x14ac:dyDescent="0.2">
      <c r="A1265" s="209">
        <v>81</v>
      </c>
      <c r="B1265" s="209"/>
      <c r="C1265" s="267"/>
      <c r="D1265" s="267"/>
      <c r="E1265" s="267"/>
      <c r="F1265" s="267"/>
      <c r="G1265" s="267"/>
      <c r="H1265" s="267" t="s">
        <v>386</v>
      </c>
      <c r="I1265" s="267"/>
      <c r="J1265" s="267"/>
      <c r="K1265" s="267"/>
      <c r="L1265" s="267"/>
      <c r="M1265" s="267"/>
      <c r="N1265" s="267"/>
      <c r="O1265" s="267"/>
      <c r="P1265" s="267"/>
      <c r="Q1265" s="256"/>
      <c r="R1265" s="267"/>
      <c r="S1265" s="256"/>
      <c r="T1265" s="267"/>
      <c r="U1265" s="267"/>
      <c r="V1265" s="268"/>
      <c r="W1265" s="267"/>
      <c r="X1265" s="203"/>
      <c r="Y1265" s="268"/>
      <c r="Z1265" s="256"/>
      <c r="AA1265" s="267"/>
      <c r="AB1265" s="209"/>
      <c r="AC1265" s="268"/>
      <c r="AD1265" s="256"/>
      <c r="AE1265" s="269">
        <f t="shared" si="119"/>
        <v>0</v>
      </c>
      <c r="AF1265" s="209">
        <v>2517</v>
      </c>
      <c r="AG1265" s="270">
        <v>43300</v>
      </c>
      <c r="AH1265" s="256">
        <v>126187</v>
      </c>
      <c r="AI1265" s="267" t="s">
        <v>518</v>
      </c>
      <c r="AJ1265" s="271"/>
      <c r="AK1265" s="267"/>
      <c r="AL1265" s="256">
        <v>126187</v>
      </c>
      <c r="AM1265" s="256">
        <v>0</v>
      </c>
      <c r="AN1265" s="267"/>
      <c r="AO1265" s="267"/>
      <c r="AP1265" s="267"/>
      <c r="AQ1265" s="267"/>
      <c r="AR1265" s="267"/>
      <c r="AS1265" s="267"/>
      <c r="AT1265" s="267"/>
      <c r="AU1265" s="267"/>
    </row>
    <row r="1266" spans="1:47" x14ac:dyDescent="0.2">
      <c r="A1266" s="209">
        <v>82</v>
      </c>
      <c r="B1266" s="209" t="s">
        <v>391</v>
      </c>
      <c r="C1266" s="267" t="s">
        <v>49</v>
      </c>
      <c r="D1266" s="267" t="s">
        <v>50</v>
      </c>
      <c r="E1266" s="267" t="s">
        <v>50</v>
      </c>
      <c r="F1266" s="267" t="s">
        <v>230</v>
      </c>
      <c r="G1266" s="267" t="s">
        <v>231</v>
      </c>
      <c r="H1266" s="267" t="s">
        <v>392</v>
      </c>
      <c r="I1266" s="267" t="s">
        <v>54</v>
      </c>
      <c r="J1266" s="267" t="s">
        <v>55</v>
      </c>
      <c r="K1266" s="267" t="s">
        <v>50</v>
      </c>
      <c r="L1266" s="267"/>
      <c r="M1266" s="267"/>
      <c r="N1266" s="267"/>
      <c r="O1266" s="267"/>
      <c r="P1266" s="267" t="s">
        <v>393</v>
      </c>
      <c r="Q1266" s="256">
        <v>10000000</v>
      </c>
      <c r="R1266" s="267">
        <v>1</v>
      </c>
      <c r="S1266" s="256">
        <v>10000000</v>
      </c>
      <c r="T1266" s="267" t="s">
        <v>252</v>
      </c>
      <c r="U1266" s="267" t="s">
        <v>252</v>
      </c>
      <c r="V1266" s="268" t="s">
        <v>235</v>
      </c>
      <c r="W1266" s="267" t="s">
        <v>235</v>
      </c>
      <c r="X1266" s="203"/>
      <c r="Y1266" s="268"/>
      <c r="Z1266" s="256"/>
      <c r="AA1266" s="267"/>
      <c r="AB1266" s="209"/>
      <c r="AC1266" s="268"/>
      <c r="AD1266" s="256"/>
      <c r="AE1266" s="269">
        <f t="shared" si="119"/>
        <v>10000000</v>
      </c>
      <c r="AF1266" s="209"/>
      <c r="AG1266" s="270"/>
      <c r="AH1266" s="256"/>
      <c r="AI1266" s="267"/>
      <c r="AJ1266" s="271"/>
      <c r="AK1266" s="267"/>
      <c r="AL1266" s="256"/>
      <c r="AM1266" s="256"/>
      <c r="AN1266" s="267"/>
      <c r="AO1266" s="267"/>
      <c r="AP1266" s="267"/>
      <c r="AQ1266" s="267"/>
      <c r="AR1266" s="267"/>
      <c r="AS1266" s="267"/>
      <c r="AT1266" s="267"/>
      <c r="AU1266" s="267"/>
    </row>
    <row r="1267" spans="1:47" x14ac:dyDescent="0.2">
      <c r="A1267" s="209">
        <v>83</v>
      </c>
      <c r="B1267" s="209" t="s">
        <v>394</v>
      </c>
      <c r="C1267" s="267" t="s">
        <v>49</v>
      </c>
      <c r="D1267" s="267" t="s">
        <v>50</v>
      </c>
      <c r="E1267" s="267" t="s">
        <v>50</v>
      </c>
      <c r="F1267" s="267" t="s">
        <v>230</v>
      </c>
      <c r="G1267" s="267" t="s">
        <v>231</v>
      </c>
      <c r="H1267" s="267" t="s">
        <v>313</v>
      </c>
      <c r="I1267" s="267" t="s">
        <v>54</v>
      </c>
      <c r="J1267" s="267" t="s">
        <v>55</v>
      </c>
      <c r="K1267" s="267" t="s">
        <v>319</v>
      </c>
      <c r="L1267" s="267"/>
      <c r="M1267" s="267"/>
      <c r="N1267" s="267"/>
      <c r="O1267" s="267"/>
      <c r="P1267" s="267" t="s">
        <v>401</v>
      </c>
      <c r="Q1267" s="256">
        <v>747183</v>
      </c>
      <c r="R1267" s="267">
        <v>1</v>
      </c>
      <c r="S1267" s="256">
        <v>747183</v>
      </c>
      <c r="T1267" s="267" t="s">
        <v>50</v>
      </c>
      <c r="U1267" s="267" t="s">
        <v>50</v>
      </c>
      <c r="V1267" s="268">
        <v>43117</v>
      </c>
      <c r="W1267" s="267">
        <v>1</v>
      </c>
      <c r="X1267" s="203" t="s">
        <v>395</v>
      </c>
      <c r="Y1267" s="268">
        <v>43117</v>
      </c>
      <c r="Z1267" s="256">
        <v>747183</v>
      </c>
      <c r="AA1267" s="267"/>
      <c r="AB1267" s="209">
        <v>522</v>
      </c>
      <c r="AC1267" s="268" t="s">
        <v>1507</v>
      </c>
      <c r="AD1267" s="256">
        <v>747183</v>
      </c>
      <c r="AE1267" s="269">
        <f t="shared" si="119"/>
        <v>0</v>
      </c>
      <c r="AF1267" s="209">
        <v>307</v>
      </c>
      <c r="AG1267" s="270">
        <v>43122</v>
      </c>
      <c r="AH1267" s="256">
        <v>747183</v>
      </c>
      <c r="AI1267" s="267" t="s">
        <v>3736</v>
      </c>
      <c r="AJ1267" s="271">
        <v>565515</v>
      </c>
      <c r="AK1267" s="267"/>
      <c r="AL1267" s="256">
        <v>747183</v>
      </c>
      <c r="AM1267" s="256">
        <v>0</v>
      </c>
      <c r="AN1267" s="267"/>
      <c r="AO1267" s="267"/>
      <c r="AP1267" s="267" t="s">
        <v>396</v>
      </c>
      <c r="AQ1267" s="267"/>
      <c r="AR1267" s="267"/>
      <c r="AS1267" s="267"/>
      <c r="AT1267" s="267"/>
      <c r="AU1267" s="267"/>
    </row>
    <row r="1268" spans="1:47" x14ac:dyDescent="0.2">
      <c r="A1268" s="209">
        <v>84</v>
      </c>
      <c r="B1268" s="209" t="s">
        <v>397</v>
      </c>
      <c r="C1268" s="267" t="s">
        <v>49</v>
      </c>
      <c r="D1268" s="267" t="s">
        <v>50</v>
      </c>
      <c r="E1268" s="267" t="s">
        <v>50</v>
      </c>
      <c r="F1268" s="267" t="s">
        <v>230</v>
      </c>
      <c r="G1268" s="267" t="s">
        <v>231</v>
      </c>
      <c r="H1268" s="267" t="s">
        <v>313</v>
      </c>
      <c r="I1268" s="267" t="s">
        <v>54</v>
      </c>
      <c r="J1268" s="267" t="s">
        <v>55</v>
      </c>
      <c r="K1268" s="267" t="s">
        <v>319</v>
      </c>
      <c r="L1268" s="267"/>
      <c r="M1268" s="267"/>
      <c r="N1268" s="267"/>
      <c r="O1268" s="267"/>
      <c r="P1268" s="267" t="s">
        <v>401</v>
      </c>
      <c r="Q1268" s="256">
        <v>191533</v>
      </c>
      <c r="R1268" s="267">
        <v>1</v>
      </c>
      <c r="S1268" s="256">
        <v>191533</v>
      </c>
      <c r="T1268" s="267" t="s">
        <v>50</v>
      </c>
      <c r="U1268" s="267" t="s">
        <v>50</v>
      </c>
      <c r="V1268" s="268">
        <v>43119</v>
      </c>
      <c r="W1268" s="267">
        <v>6</v>
      </c>
      <c r="X1268" s="203" t="s">
        <v>398</v>
      </c>
      <c r="Y1268" s="268">
        <v>43119</v>
      </c>
      <c r="Z1268" s="256">
        <v>191533</v>
      </c>
      <c r="AA1268" s="267"/>
      <c r="AB1268" s="209">
        <v>545</v>
      </c>
      <c r="AC1268" s="268" t="s">
        <v>3742</v>
      </c>
      <c r="AD1268" s="256">
        <v>191533</v>
      </c>
      <c r="AE1268" s="269">
        <f t="shared" si="119"/>
        <v>0</v>
      </c>
      <c r="AF1268" s="209">
        <v>319</v>
      </c>
      <c r="AG1268" s="270">
        <v>43122</v>
      </c>
      <c r="AH1268" s="256">
        <v>191533</v>
      </c>
      <c r="AI1268" s="267" t="s">
        <v>3736</v>
      </c>
      <c r="AJ1268" s="271">
        <v>565515</v>
      </c>
      <c r="AK1268" s="267"/>
      <c r="AL1268" s="256">
        <v>191533</v>
      </c>
      <c r="AM1268" s="256">
        <v>0</v>
      </c>
      <c r="AN1268" s="267"/>
      <c r="AO1268" s="267"/>
      <c r="AP1268" s="267" t="s">
        <v>399</v>
      </c>
      <c r="AQ1268" s="267"/>
      <c r="AR1268" s="267"/>
      <c r="AS1268" s="267"/>
      <c r="AT1268" s="267"/>
      <c r="AU1268" s="267"/>
    </row>
    <row r="1269" spans="1:47" x14ac:dyDescent="0.2">
      <c r="A1269" s="209">
        <v>85</v>
      </c>
      <c r="B1269" s="209" t="s">
        <v>400</v>
      </c>
      <c r="C1269" s="267" t="s">
        <v>49</v>
      </c>
      <c r="D1269" s="267" t="s">
        <v>50</v>
      </c>
      <c r="E1269" s="267" t="s">
        <v>50</v>
      </c>
      <c r="F1269" s="267" t="s">
        <v>230</v>
      </c>
      <c r="G1269" s="267" t="s">
        <v>231</v>
      </c>
      <c r="H1269" s="267" t="s">
        <v>313</v>
      </c>
      <c r="I1269" s="267" t="s">
        <v>54</v>
      </c>
      <c r="J1269" s="267" t="s">
        <v>55</v>
      </c>
      <c r="K1269" s="267" t="s">
        <v>319</v>
      </c>
      <c r="L1269" s="267"/>
      <c r="M1269" s="267"/>
      <c r="N1269" s="267"/>
      <c r="O1269" s="267"/>
      <c r="P1269" s="267" t="s">
        <v>401</v>
      </c>
      <c r="Q1269" s="256">
        <v>747185</v>
      </c>
      <c r="R1269" s="267">
        <v>1</v>
      </c>
      <c r="S1269" s="256">
        <v>747185</v>
      </c>
      <c r="T1269" s="267" t="s">
        <v>50</v>
      </c>
      <c r="U1269" s="267" t="s">
        <v>50</v>
      </c>
      <c r="V1269" s="268">
        <v>43150</v>
      </c>
      <c r="W1269" s="267">
        <v>6</v>
      </c>
      <c r="X1269" s="203" t="s">
        <v>402</v>
      </c>
      <c r="Y1269" s="268">
        <v>43150</v>
      </c>
      <c r="Z1269" s="256">
        <v>747185</v>
      </c>
      <c r="AA1269" s="267"/>
      <c r="AB1269" s="209">
        <v>653</v>
      </c>
      <c r="AC1269" s="268">
        <v>43151</v>
      </c>
      <c r="AD1269" s="256">
        <v>747185</v>
      </c>
      <c r="AE1269" s="269">
        <f t="shared" si="119"/>
        <v>0</v>
      </c>
      <c r="AF1269" s="209">
        <v>1457</v>
      </c>
      <c r="AG1269" s="270">
        <v>43153</v>
      </c>
      <c r="AH1269" s="256">
        <v>747185</v>
      </c>
      <c r="AI1269" s="267" t="s">
        <v>3736</v>
      </c>
      <c r="AJ1269" s="271"/>
      <c r="AK1269" s="267"/>
      <c r="AL1269" s="256">
        <v>747185</v>
      </c>
      <c r="AM1269" s="256">
        <v>0</v>
      </c>
      <c r="AN1269" s="267"/>
      <c r="AO1269" s="267"/>
      <c r="AP1269" s="267" t="s">
        <v>399</v>
      </c>
      <c r="AQ1269" s="267"/>
      <c r="AR1269" s="267"/>
      <c r="AS1269" s="267"/>
      <c r="AT1269" s="267"/>
      <c r="AU1269" s="267"/>
    </row>
    <row r="1270" spans="1:47" x14ac:dyDescent="0.2">
      <c r="A1270" s="209">
        <v>86</v>
      </c>
      <c r="B1270" s="209" t="s">
        <v>403</v>
      </c>
      <c r="C1270" s="267" t="s">
        <v>49</v>
      </c>
      <c r="D1270" s="267" t="s">
        <v>50</v>
      </c>
      <c r="E1270" s="267" t="s">
        <v>50</v>
      </c>
      <c r="F1270" s="267" t="s">
        <v>230</v>
      </c>
      <c r="G1270" s="267" t="s">
        <v>231</v>
      </c>
      <c r="H1270" s="267" t="s">
        <v>313</v>
      </c>
      <c r="I1270" s="267" t="s">
        <v>54</v>
      </c>
      <c r="J1270" s="267" t="s">
        <v>55</v>
      </c>
      <c r="K1270" s="267">
        <v>81161601</v>
      </c>
      <c r="L1270" s="267"/>
      <c r="M1270" s="267"/>
      <c r="N1270" s="267"/>
      <c r="O1270" s="267"/>
      <c r="P1270" s="267" t="s">
        <v>3756</v>
      </c>
      <c r="Q1270" s="256">
        <v>22000000</v>
      </c>
      <c r="R1270" s="267">
        <v>1</v>
      </c>
      <c r="S1270" s="256">
        <v>22000000</v>
      </c>
      <c r="T1270" s="267" t="s">
        <v>50</v>
      </c>
      <c r="U1270" s="267" t="s">
        <v>50</v>
      </c>
      <c r="V1270" s="268">
        <v>43174</v>
      </c>
      <c r="W1270" s="267">
        <v>3</v>
      </c>
      <c r="X1270" s="203" t="s">
        <v>404</v>
      </c>
      <c r="Y1270" s="268">
        <v>43153</v>
      </c>
      <c r="Z1270" s="256">
        <v>22000000</v>
      </c>
      <c r="AA1270" s="267"/>
      <c r="AB1270" s="209">
        <v>661</v>
      </c>
      <c r="AC1270" s="268">
        <v>43154</v>
      </c>
      <c r="AD1270" s="256">
        <v>22000000</v>
      </c>
      <c r="AE1270" s="269">
        <f t="shared" si="119"/>
        <v>0</v>
      </c>
      <c r="AF1270" s="209">
        <v>1613</v>
      </c>
      <c r="AG1270" s="270">
        <v>43181</v>
      </c>
      <c r="AH1270" s="256">
        <v>22000000</v>
      </c>
      <c r="AI1270" s="267" t="s">
        <v>1593</v>
      </c>
      <c r="AJ1270" s="271"/>
      <c r="AK1270" s="267"/>
      <c r="AL1270" s="256">
        <v>22000000</v>
      </c>
      <c r="AM1270" s="256">
        <v>0</v>
      </c>
      <c r="AN1270" s="267"/>
      <c r="AO1270" s="267"/>
      <c r="AP1270" s="267" t="s">
        <v>405</v>
      </c>
      <c r="AQ1270" s="267"/>
      <c r="AR1270" s="267"/>
      <c r="AS1270" s="267"/>
      <c r="AT1270" s="267"/>
      <c r="AU1270" s="267"/>
    </row>
    <row r="1271" spans="1:47" x14ac:dyDescent="0.2">
      <c r="A1271" s="209">
        <v>87</v>
      </c>
      <c r="B1271" s="209" t="s">
        <v>406</v>
      </c>
      <c r="C1271" s="267" t="s">
        <v>49</v>
      </c>
      <c r="D1271" s="267" t="s">
        <v>50</v>
      </c>
      <c r="E1271" s="267" t="s">
        <v>50</v>
      </c>
      <c r="F1271" s="267" t="s">
        <v>230</v>
      </c>
      <c r="G1271" s="267" t="s">
        <v>231</v>
      </c>
      <c r="H1271" s="267" t="s">
        <v>313</v>
      </c>
      <c r="I1271" s="267" t="s">
        <v>54</v>
      </c>
      <c r="J1271" s="267" t="s">
        <v>55</v>
      </c>
      <c r="K1271" s="267" t="s">
        <v>319</v>
      </c>
      <c r="L1271" s="267"/>
      <c r="M1271" s="267"/>
      <c r="N1271" s="267"/>
      <c r="O1271" s="267"/>
      <c r="P1271" s="267" t="s">
        <v>407</v>
      </c>
      <c r="Q1271" s="256"/>
      <c r="R1271" s="267"/>
      <c r="S1271" s="256"/>
      <c r="T1271" s="267" t="s">
        <v>50</v>
      </c>
      <c r="U1271" s="267" t="s">
        <v>50</v>
      </c>
      <c r="V1271" s="268">
        <v>43166</v>
      </c>
      <c r="W1271" s="267" t="s">
        <v>235</v>
      </c>
      <c r="X1271" s="203" t="s">
        <v>408</v>
      </c>
      <c r="Y1271" s="268">
        <v>43166</v>
      </c>
      <c r="Z1271" s="256"/>
      <c r="AA1271" s="267"/>
      <c r="AB1271" s="209"/>
      <c r="AC1271" s="268"/>
      <c r="AD1271" s="256"/>
      <c r="AE1271" s="269">
        <f t="shared" si="119"/>
        <v>0</v>
      </c>
      <c r="AF1271" s="209"/>
      <c r="AG1271" s="270"/>
      <c r="AH1271" s="256"/>
      <c r="AI1271" s="267"/>
      <c r="AJ1271" s="271"/>
      <c r="AK1271" s="267"/>
      <c r="AL1271" s="256"/>
      <c r="AM1271" s="256"/>
      <c r="AN1271" s="267"/>
      <c r="AO1271" s="267"/>
      <c r="AP1271" s="267" t="s">
        <v>409</v>
      </c>
      <c r="AQ1271" s="267">
        <v>38185399</v>
      </c>
      <c r="AR1271" s="267"/>
      <c r="AS1271" s="267"/>
      <c r="AT1271" s="267"/>
      <c r="AU1271" s="267"/>
    </row>
    <row r="1272" spans="1:47" x14ac:dyDescent="0.2">
      <c r="A1272" s="209">
        <v>88</v>
      </c>
      <c r="B1272" s="209" t="s">
        <v>410</v>
      </c>
      <c r="C1272" s="267" t="s">
        <v>49</v>
      </c>
      <c r="D1272" s="267" t="s">
        <v>50</v>
      </c>
      <c r="E1272" s="267" t="s">
        <v>50</v>
      </c>
      <c r="F1272" s="267" t="s">
        <v>230</v>
      </c>
      <c r="G1272" s="267" t="s">
        <v>231</v>
      </c>
      <c r="H1272" s="267" t="s">
        <v>342</v>
      </c>
      <c r="I1272" s="267" t="s">
        <v>54</v>
      </c>
      <c r="J1272" s="267" t="s">
        <v>55</v>
      </c>
      <c r="K1272" s="267" t="s">
        <v>319</v>
      </c>
      <c r="L1272" s="267"/>
      <c r="M1272" s="267"/>
      <c r="N1272" s="267"/>
      <c r="O1272" s="267"/>
      <c r="P1272" s="267" t="s">
        <v>407</v>
      </c>
      <c r="Q1272" s="256"/>
      <c r="R1272" s="267"/>
      <c r="S1272" s="256"/>
      <c r="T1272" s="267" t="s">
        <v>50</v>
      </c>
      <c r="U1272" s="267" t="s">
        <v>50</v>
      </c>
      <c r="V1272" s="268">
        <v>43166</v>
      </c>
      <c r="W1272" s="267" t="s">
        <v>235</v>
      </c>
      <c r="X1272" s="203" t="s">
        <v>411</v>
      </c>
      <c r="Y1272" s="268">
        <v>43166</v>
      </c>
      <c r="Z1272" s="256"/>
      <c r="AA1272" s="267"/>
      <c r="AB1272" s="209"/>
      <c r="AC1272" s="268"/>
      <c r="AD1272" s="256"/>
      <c r="AE1272" s="269">
        <f t="shared" si="119"/>
        <v>0</v>
      </c>
      <c r="AF1272" s="209"/>
      <c r="AG1272" s="270"/>
      <c r="AH1272" s="256"/>
      <c r="AI1272" s="267"/>
      <c r="AJ1272" s="271"/>
      <c r="AK1272" s="267"/>
      <c r="AL1272" s="256"/>
      <c r="AM1272" s="256"/>
      <c r="AN1272" s="267"/>
      <c r="AO1272" s="267"/>
      <c r="AP1272" s="267" t="s">
        <v>409</v>
      </c>
      <c r="AQ1272" s="267">
        <v>20298185</v>
      </c>
      <c r="AR1272" s="267"/>
      <c r="AS1272" s="267"/>
      <c r="AT1272" s="267"/>
      <c r="AU1272" s="267"/>
    </row>
    <row r="1273" spans="1:47" x14ac:dyDescent="0.2">
      <c r="A1273" s="209">
        <v>89</v>
      </c>
      <c r="B1273" s="209" t="s">
        <v>412</v>
      </c>
      <c r="C1273" s="267" t="s">
        <v>49</v>
      </c>
      <c r="D1273" s="267" t="s">
        <v>50</v>
      </c>
      <c r="E1273" s="267" t="s">
        <v>50</v>
      </c>
      <c r="F1273" s="267" t="s">
        <v>230</v>
      </c>
      <c r="G1273" s="267" t="s">
        <v>231</v>
      </c>
      <c r="H1273" s="267" t="s">
        <v>354</v>
      </c>
      <c r="I1273" s="267" t="s">
        <v>54</v>
      </c>
      <c r="J1273" s="267" t="s">
        <v>55</v>
      </c>
      <c r="K1273" s="267">
        <v>76111800</v>
      </c>
      <c r="L1273" s="267"/>
      <c r="M1273" s="267"/>
      <c r="N1273" s="267"/>
      <c r="O1273" s="267"/>
      <c r="P1273" s="267" t="s">
        <v>407</v>
      </c>
      <c r="Q1273" s="256"/>
      <c r="R1273" s="267"/>
      <c r="S1273" s="256"/>
      <c r="T1273" s="267" t="s">
        <v>50</v>
      </c>
      <c r="U1273" s="267" t="s">
        <v>50</v>
      </c>
      <c r="V1273" s="268">
        <v>43166</v>
      </c>
      <c r="W1273" s="267" t="s">
        <v>235</v>
      </c>
      <c r="X1273" s="203" t="s">
        <v>413</v>
      </c>
      <c r="Y1273" s="268">
        <v>43166</v>
      </c>
      <c r="Z1273" s="256"/>
      <c r="AA1273" s="267"/>
      <c r="AB1273" s="209"/>
      <c r="AC1273" s="268"/>
      <c r="AD1273" s="256"/>
      <c r="AE1273" s="269">
        <f t="shared" si="119"/>
        <v>0</v>
      </c>
      <c r="AF1273" s="209"/>
      <c r="AG1273" s="270"/>
      <c r="AH1273" s="256"/>
      <c r="AI1273" s="267"/>
      <c r="AJ1273" s="271"/>
      <c r="AK1273" s="267"/>
      <c r="AL1273" s="256"/>
      <c r="AM1273" s="256"/>
      <c r="AN1273" s="267"/>
      <c r="AO1273" s="267"/>
      <c r="AP1273" s="267" t="s">
        <v>409</v>
      </c>
      <c r="AQ1273" s="267">
        <v>13954210</v>
      </c>
      <c r="AR1273" s="267"/>
      <c r="AS1273" s="267"/>
      <c r="AT1273" s="267"/>
      <c r="AU1273" s="267"/>
    </row>
    <row r="1274" spans="1:47" x14ac:dyDescent="0.2">
      <c r="A1274" s="209">
        <v>90</v>
      </c>
      <c r="B1274" s="209" t="s">
        <v>414</v>
      </c>
      <c r="C1274" s="267" t="s">
        <v>49</v>
      </c>
      <c r="D1274" s="267" t="s">
        <v>50</v>
      </c>
      <c r="E1274" s="267" t="s">
        <v>50</v>
      </c>
      <c r="F1274" s="267" t="s">
        <v>230</v>
      </c>
      <c r="G1274" s="267" t="s">
        <v>266</v>
      </c>
      <c r="H1274" s="267" t="s">
        <v>289</v>
      </c>
      <c r="I1274" s="267" t="s">
        <v>54</v>
      </c>
      <c r="J1274" s="267" t="s">
        <v>55</v>
      </c>
      <c r="K1274" s="267">
        <v>44120000</v>
      </c>
      <c r="L1274" s="267"/>
      <c r="M1274" s="267"/>
      <c r="N1274" s="267"/>
      <c r="O1274" s="267"/>
      <c r="P1274" s="267" t="s">
        <v>407</v>
      </c>
      <c r="Q1274" s="256"/>
      <c r="R1274" s="267"/>
      <c r="S1274" s="256"/>
      <c r="T1274" s="267" t="s">
        <v>50</v>
      </c>
      <c r="U1274" s="267" t="s">
        <v>50</v>
      </c>
      <c r="V1274" s="268">
        <v>43166</v>
      </c>
      <c r="W1274" s="267" t="s">
        <v>235</v>
      </c>
      <c r="X1274" s="203" t="s">
        <v>415</v>
      </c>
      <c r="Y1274" s="268">
        <v>43166</v>
      </c>
      <c r="Z1274" s="256"/>
      <c r="AA1274" s="267"/>
      <c r="AB1274" s="209"/>
      <c r="AC1274" s="268"/>
      <c r="AD1274" s="256"/>
      <c r="AE1274" s="269">
        <f t="shared" si="119"/>
        <v>0</v>
      </c>
      <c r="AF1274" s="209"/>
      <c r="AG1274" s="270"/>
      <c r="AH1274" s="256"/>
      <c r="AI1274" s="267"/>
      <c r="AJ1274" s="271"/>
      <c r="AK1274" s="267"/>
      <c r="AL1274" s="256"/>
      <c r="AM1274" s="256"/>
      <c r="AN1274" s="267"/>
      <c r="AO1274" s="267"/>
      <c r="AP1274" s="267" t="s">
        <v>409</v>
      </c>
      <c r="AQ1274" s="267">
        <v>10662206</v>
      </c>
      <c r="AR1274" s="267"/>
      <c r="AS1274" s="267"/>
      <c r="AT1274" s="267"/>
      <c r="AU1274" s="267"/>
    </row>
    <row r="1275" spans="1:47" x14ac:dyDescent="0.2">
      <c r="A1275" s="209">
        <v>91</v>
      </c>
      <c r="B1275" s="209" t="s">
        <v>416</v>
      </c>
      <c r="C1275" s="267" t="s">
        <v>49</v>
      </c>
      <c r="D1275" s="267" t="s">
        <v>50</v>
      </c>
      <c r="E1275" s="267" t="s">
        <v>50</v>
      </c>
      <c r="F1275" s="267" t="s">
        <v>230</v>
      </c>
      <c r="G1275" s="267" t="s">
        <v>266</v>
      </c>
      <c r="H1275" s="267" t="s">
        <v>294</v>
      </c>
      <c r="I1275" s="267" t="s">
        <v>54</v>
      </c>
      <c r="J1275" s="267" t="s">
        <v>55</v>
      </c>
      <c r="K1275" s="267">
        <v>78181700</v>
      </c>
      <c r="L1275" s="267"/>
      <c r="M1275" s="267"/>
      <c r="N1275" s="267"/>
      <c r="O1275" s="267"/>
      <c r="P1275" s="267" t="s">
        <v>417</v>
      </c>
      <c r="Q1275" s="256"/>
      <c r="R1275" s="267"/>
      <c r="S1275" s="256"/>
      <c r="T1275" s="267" t="s">
        <v>50</v>
      </c>
      <c r="U1275" s="267" t="s">
        <v>50</v>
      </c>
      <c r="V1275" s="268">
        <v>43167</v>
      </c>
      <c r="W1275" s="267" t="s">
        <v>235</v>
      </c>
      <c r="X1275" s="203" t="s">
        <v>418</v>
      </c>
      <c r="Y1275" s="268">
        <v>43167</v>
      </c>
      <c r="Z1275" s="256"/>
      <c r="AA1275" s="267"/>
      <c r="AB1275" s="209"/>
      <c r="AC1275" s="268"/>
      <c r="AD1275" s="256"/>
      <c r="AE1275" s="269">
        <f t="shared" si="119"/>
        <v>0</v>
      </c>
      <c r="AF1275" s="209"/>
      <c r="AG1275" s="270"/>
      <c r="AH1275" s="256"/>
      <c r="AI1275" s="267"/>
      <c r="AJ1275" s="271"/>
      <c r="AK1275" s="267"/>
      <c r="AL1275" s="256"/>
      <c r="AM1275" s="256"/>
      <c r="AN1275" s="267"/>
      <c r="AO1275" s="267"/>
      <c r="AP1275" s="267" t="s">
        <v>409</v>
      </c>
      <c r="AQ1275" s="267">
        <v>9900000</v>
      </c>
      <c r="AR1275" s="267"/>
      <c r="AS1275" s="267"/>
      <c r="AT1275" s="267"/>
      <c r="AU1275" s="267"/>
    </row>
    <row r="1276" spans="1:47" x14ac:dyDescent="0.2">
      <c r="A1276" s="209">
        <v>92</v>
      </c>
      <c r="B1276" s="209" t="s">
        <v>419</v>
      </c>
      <c r="C1276" s="267" t="s">
        <v>49</v>
      </c>
      <c r="D1276" s="267" t="s">
        <v>50</v>
      </c>
      <c r="E1276" s="267" t="s">
        <v>50</v>
      </c>
      <c r="F1276" s="267" t="s">
        <v>230</v>
      </c>
      <c r="G1276" s="267" t="s">
        <v>231</v>
      </c>
      <c r="H1276" s="267" t="s">
        <v>354</v>
      </c>
      <c r="I1276" s="267" t="s">
        <v>54</v>
      </c>
      <c r="J1276" s="267" t="s">
        <v>55</v>
      </c>
      <c r="K1276" s="267">
        <v>92101500</v>
      </c>
      <c r="L1276" s="267"/>
      <c r="M1276" s="267"/>
      <c r="N1276" s="267"/>
      <c r="O1276" s="267"/>
      <c r="P1276" s="267" t="s">
        <v>420</v>
      </c>
      <c r="Q1276" s="256">
        <v>95729495</v>
      </c>
      <c r="R1276" s="267">
        <v>1</v>
      </c>
      <c r="S1276" s="256">
        <v>95729495</v>
      </c>
      <c r="T1276" s="267" t="s">
        <v>50</v>
      </c>
      <c r="U1276" s="267" t="s">
        <v>50</v>
      </c>
      <c r="V1276" s="268">
        <v>43173</v>
      </c>
      <c r="W1276" s="267">
        <v>2</v>
      </c>
      <c r="X1276" s="203" t="s">
        <v>421</v>
      </c>
      <c r="Y1276" s="268">
        <v>43174</v>
      </c>
      <c r="Z1276" s="256">
        <v>95729495</v>
      </c>
      <c r="AA1276" s="267"/>
      <c r="AB1276" s="209">
        <v>716</v>
      </c>
      <c r="AC1276" s="268">
        <v>43174</v>
      </c>
      <c r="AD1276" s="256">
        <v>95729459</v>
      </c>
      <c r="AE1276" s="269">
        <f t="shared" si="119"/>
        <v>36</v>
      </c>
      <c r="AF1276" s="209">
        <v>1739</v>
      </c>
      <c r="AG1276" s="270">
        <v>43199</v>
      </c>
      <c r="AH1276" s="256">
        <v>95729459</v>
      </c>
      <c r="AI1276" s="267" t="s">
        <v>1598</v>
      </c>
      <c r="AJ1276" s="271"/>
      <c r="AK1276" s="267"/>
      <c r="AL1276" s="256">
        <v>93094634</v>
      </c>
      <c r="AM1276" s="256">
        <v>2634825</v>
      </c>
      <c r="AN1276" s="267"/>
      <c r="AO1276" s="267"/>
      <c r="AP1276" s="267" t="s">
        <v>422</v>
      </c>
      <c r="AQ1276" s="267"/>
      <c r="AR1276" s="267"/>
      <c r="AS1276" s="267"/>
      <c r="AT1276" s="267"/>
      <c r="AU1276" s="267"/>
    </row>
    <row r="1277" spans="1:47" x14ac:dyDescent="0.2">
      <c r="A1277" s="209">
        <v>93</v>
      </c>
      <c r="B1277" s="209" t="s">
        <v>423</v>
      </c>
      <c r="C1277" s="267" t="s">
        <v>49</v>
      </c>
      <c r="D1277" s="267" t="s">
        <v>50</v>
      </c>
      <c r="E1277" s="267" t="s">
        <v>50</v>
      </c>
      <c r="F1277" s="267" t="s">
        <v>230</v>
      </c>
      <c r="G1277" s="267" t="s">
        <v>231</v>
      </c>
      <c r="H1277" s="267" t="s">
        <v>313</v>
      </c>
      <c r="I1277" s="267" t="s">
        <v>54</v>
      </c>
      <c r="J1277" s="267" t="s">
        <v>55</v>
      </c>
      <c r="K1277" s="267" t="s">
        <v>252</v>
      </c>
      <c r="L1277" s="267"/>
      <c r="M1277" s="267"/>
      <c r="N1277" s="267"/>
      <c r="O1277" s="267"/>
      <c r="P1277" s="267" t="s">
        <v>424</v>
      </c>
      <c r="Q1277" s="256">
        <v>4454800</v>
      </c>
      <c r="R1277" s="267">
        <v>1</v>
      </c>
      <c r="S1277" s="256">
        <v>4454800</v>
      </c>
      <c r="T1277" s="267" t="s">
        <v>50</v>
      </c>
      <c r="U1277" s="267" t="s">
        <v>50</v>
      </c>
      <c r="V1277" s="268">
        <v>43174</v>
      </c>
      <c r="W1277" s="267">
        <v>11</v>
      </c>
      <c r="X1277" s="203" t="s">
        <v>425</v>
      </c>
      <c r="Y1277" s="268">
        <v>43174</v>
      </c>
      <c r="Z1277" s="256">
        <v>4454800</v>
      </c>
      <c r="AA1277" s="267"/>
      <c r="AB1277" s="209">
        <v>719</v>
      </c>
      <c r="AC1277" s="268">
        <v>43174</v>
      </c>
      <c r="AD1277" s="256">
        <v>4454800</v>
      </c>
      <c r="AE1277" s="269">
        <f t="shared" si="119"/>
        <v>0</v>
      </c>
      <c r="AF1277" s="209">
        <v>1601</v>
      </c>
      <c r="AG1277" s="270">
        <v>43179</v>
      </c>
      <c r="AH1277" s="256">
        <v>135800</v>
      </c>
      <c r="AI1277" s="267" t="s">
        <v>518</v>
      </c>
      <c r="AJ1277" s="271"/>
      <c r="AK1277" s="267"/>
      <c r="AL1277" s="256">
        <v>135800</v>
      </c>
      <c r="AM1277" s="256">
        <v>0</v>
      </c>
      <c r="AN1277" s="267"/>
      <c r="AO1277" s="267"/>
      <c r="AP1277" s="267" t="s">
        <v>426</v>
      </c>
      <c r="AQ1277" s="267"/>
      <c r="AR1277" s="267"/>
      <c r="AS1277" s="267"/>
      <c r="AT1277" s="267"/>
      <c r="AU1277" s="267"/>
    </row>
    <row r="1278" spans="1:47" x14ac:dyDescent="0.2">
      <c r="A1278" s="209">
        <v>93</v>
      </c>
      <c r="B1278" s="209"/>
      <c r="C1278" s="267"/>
      <c r="D1278" s="267"/>
      <c r="E1278" s="267"/>
      <c r="F1278" s="267"/>
      <c r="G1278" s="267"/>
      <c r="H1278" s="267" t="s">
        <v>313</v>
      </c>
      <c r="I1278" s="267"/>
      <c r="J1278" s="267"/>
      <c r="K1278" s="267"/>
      <c r="L1278" s="267"/>
      <c r="M1278" s="267"/>
      <c r="N1278" s="267"/>
      <c r="O1278" s="267"/>
      <c r="P1278" s="267"/>
      <c r="Q1278" s="256"/>
      <c r="R1278" s="267"/>
      <c r="S1278" s="256"/>
      <c r="T1278" s="267"/>
      <c r="U1278" s="267"/>
      <c r="V1278" s="268"/>
      <c r="W1278" s="267"/>
      <c r="X1278" s="203"/>
      <c r="Y1278" s="268"/>
      <c r="Z1278" s="256"/>
      <c r="AA1278" s="267"/>
      <c r="AB1278" s="209"/>
      <c r="AC1278" s="268"/>
      <c r="AD1278" s="256"/>
      <c r="AE1278" s="269">
        <f t="shared" si="119"/>
        <v>0</v>
      </c>
      <c r="AF1278" s="209">
        <v>1821</v>
      </c>
      <c r="AG1278" s="270">
        <v>43209</v>
      </c>
      <c r="AH1278" s="256">
        <v>124700</v>
      </c>
      <c r="AI1278" s="267" t="s">
        <v>518</v>
      </c>
      <c r="AJ1278" s="271"/>
      <c r="AK1278" s="267"/>
      <c r="AL1278" s="256">
        <v>124700</v>
      </c>
      <c r="AM1278" s="256">
        <v>0</v>
      </c>
      <c r="AN1278" s="267"/>
      <c r="AO1278" s="267"/>
      <c r="AP1278" s="267"/>
      <c r="AQ1278" s="267"/>
      <c r="AR1278" s="267"/>
      <c r="AS1278" s="267"/>
      <c r="AT1278" s="267"/>
      <c r="AU1278" s="267"/>
    </row>
    <row r="1279" spans="1:47" x14ac:dyDescent="0.2">
      <c r="A1279" s="209">
        <v>93</v>
      </c>
      <c r="B1279" s="209"/>
      <c r="C1279" s="267"/>
      <c r="D1279" s="267"/>
      <c r="E1279" s="267"/>
      <c r="F1279" s="267"/>
      <c r="G1279" s="267"/>
      <c r="H1279" s="267" t="s">
        <v>313</v>
      </c>
      <c r="I1279" s="267"/>
      <c r="J1279" s="267"/>
      <c r="K1279" s="267"/>
      <c r="L1279" s="267"/>
      <c r="M1279" s="267"/>
      <c r="N1279" s="267"/>
      <c r="O1279" s="267"/>
      <c r="P1279" s="267"/>
      <c r="Q1279" s="256"/>
      <c r="R1279" s="267"/>
      <c r="S1279" s="256"/>
      <c r="T1279" s="267"/>
      <c r="U1279" s="267"/>
      <c r="V1279" s="268"/>
      <c r="W1279" s="267"/>
      <c r="X1279" s="203"/>
      <c r="Y1279" s="268"/>
      <c r="Z1279" s="256"/>
      <c r="AA1279" s="267"/>
      <c r="AB1279" s="209"/>
      <c r="AC1279" s="268"/>
      <c r="AD1279" s="256"/>
      <c r="AE1279" s="269">
        <f t="shared" si="119"/>
        <v>0</v>
      </c>
      <c r="AF1279" s="209">
        <v>1898</v>
      </c>
      <c r="AG1279" s="270">
        <v>43231</v>
      </c>
      <c r="AH1279" s="256">
        <v>153200</v>
      </c>
      <c r="AI1279" s="267" t="s">
        <v>518</v>
      </c>
      <c r="AJ1279" s="271"/>
      <c r="AK1279" s="267"/>
      <c r="AL1279" s="256">
        <v>153200</v>
      </c>
      <c r="AM1279" s="256">
        <v>0</v>
      </c>
      <c r="AN1279" s="267"/>
      <c r="AO1279" s="267"/>
      <c r="AP1279" s="267"/>
      <c r="AQ1279" s="267"/>
      <c r="AR1279" s="267"/>
      <c r="AS1279" s="267"/>
      <c r="AT1279" s="267"/>
      <c r="AU1279" s="267"/>
    </row>
    <row r="1280" spans="1:47" x14ac:dyDescent="0.2">
      <c r="A1280" s="209">
        <v>93</v>
      </c>
      <c r="B1280" s="209"/>
      <c r="C1280" s="267"/>
      <c r="D1280" s="267"/>
      <c r="E1280" s="267"/>
      <c r="F1280" s="267"/>
      <c r="G1280" s="267"/>
      <c r="H1280" s="267" t="s">
        <v>313</v>
      </c>
      <c r="I1280" s="267"/>
      <c r="J1280" s="267"/>
      <c r="K1280" s="267"/>
      <c r="L1280" s="267"/>
      <c r="M1280" s="267"/>
      <c r="N1280" s="267"/>
      <c r="O1280" s="267"/>
      <c r="P1280" s="267"/>
      <c r="Q1280" s="256"/>
      <c r="R1280" s="267"/>
      <c r="S1280" s="256"/>
      <c r="T1280" s="267"/>
      <c r="U1280" s="267"/>
      <c r="V1280" s="268"/>
      <c r="W1280" s="267"/>
      <c r="X1280" s="203"/>
      <c r="Y1280" s="268"/>
      <c r="Z1280" s="256"/>
      <c r="AA1280" s="267"/>
      <c r="AB1280" s="209"/>
      <c r="AC1280" s="268"/>
      <c r="AD1280" s="256"/>
      <c r="AE1280" s="269">
        <f t="shared" si="119"/>
        <v>0</v>
      </c>
      <c r="AF1280" s="209">
        <v>2043</v>
      </c>
      <c r="AG1280" s="270">
        <v>43271</v>
      </c>
      <c r="AH1280" s="256">
        <v>338815</v>
      </c>
      <c r="AI1280" s="267" t="s">
        <v>518</v>
      </c>
      <c r="AJ1280" s="271"/>
      <c r="AK1280" s="267"/>
      <c r="AL1280" s="256">
        <v>338815</v>
      </c>
      <c r="AM1280" s="256">
        <v>0</v>
      </c>
      <c r="AN1280" s="267"/>
      <c r="AO1280" s="267"/>
      <c r="AP1280" s="267"/>
      <c r="AQ1280" s="267"/>
      <c r="AR1280" s="267"/>
      <c r="AS1280" s="267"/>
      <c r="AT1280" s="267"/>
      <c r="AU1280" s="267"/>
    </row>
    <row r="1281" spans="1:47" x14ac:dyDescent="0.2">
      <c r="A1281" s="209">
        <v>93</v>
      </c>
      <c r="B1281" s="209"/>
      <c r="C1281" s="267"/>
      <c r="D1281" s="267"/>
      <c r="E1281" s="267"/>
      <c r="F1281" s="267"/>
      <c r="G1281" s="267"/>
      <c r="H1281" s="267" t="s">
        <v>313</v>
      </c>
      <c r="I1281" s="267"/>
      <c r="J1281" s="267"/>
      <c r="K1281" s="267"/>
      <c r="L1281" s="267"/>
      <c r="M1281" s="267"/>
      <c r="N1281" s="267"/>
      <c r="O1281" s="267"/>
      <c r="P1281" s="267"/>
      <c r="Q1281" s="256"/>
      <c r="R1281" s="267"/>
      <c r="S1281" s="256"/>
      <c r="T1281" s="267"/>
      <c r="U1281" s="267"/>
      <c r="V1281" s="268"/>
      <c r="W1281" s="267"/>
      <c r="X1281" s="203"/>
      <c r="Y1281" s="268"/>
      <c r="Z1281" s="256"/>
      <c r="AA1281" s="267"/>
      <c r="AB1281" s="209"/>
      <c r="AC1281" s="268"/>
      <c r="AD1281" s="256"/>
      <c r="AE1281" s="269">
        <f t="shared" si="119"/>
        <v>0</v>
      </c>
      <c r="AF1281" s="209">
        <v>2514</v>
      </c>
      <c r="AG1281" s="270">
        <v>43300</v>
      </c>
      <c r="AH1281" s="256">
        <v>263500</v>
      </c>
      <c r="AI1281" s="267" t="s">
        <v>518</v>
      </c>
      <c r="AJ1281" s="271"/>
      <c r="AK1281" s="267"/>
      <c r="AL1281" s="256">
        <v>263500</v>
      </c>
      <c r="AM1281" s="256">
        <v>0</v>
      </c>
      <c r="AN1281" s="267"/>
      <c r="AO1281" s="267"/>
      <c r="AP1281" s="267"/>
      <c r="AQ1281" s="267"/>
      <c r="AR1281" s="267"/>
      <c r="AS1281" s="267"/>
      <c r="AT1281" s="267"/>
      <c r="AU1281" s="267"/>
    </row>
    <row r="1282" spans="1:47" x14ac:dyDescent="0.2">
      <c r="A1282" s="209">
        <v>94</v>
      </c>
      <c r="B1282" s="209" t="s">
        <v>427</v>
      </c>
      <c r="C1282" s="267" t="s">
        <v>49</v>
      </c>
      <c r="D1282" s="267" t="s">
        <v>50</v>
      </c>
      <c r="E1282" s="267" t="s">
        <v>50</v>
      </c>
      <c r="F1282" s="267" t="s">
        <v>230</v>
      </c>
      <c r="G1282" s="267" t="s">
        <v>231</v>
      </c>
      <c r="H1282" s="267" t="s">
        <v>313</v>
      </c>
      <c r="I1282" s="267" t="s">
        <v>54</v>
      </c>
      <c r="J1282" s="267" t="s">
        <v>55</v>
      </c>
      <c r="K1282" s="267">
        <v>81161601</v>
      </c>
      <c r="L1282" s="267"/>
      <c r="M1282" s="267"/>
      <c r="N1282" s="267"/>
      <c r="O1282" s="267"/>
      <c r="P1282" s="267" t="s">
        <v>401</v>
      </c>
      <c r="Q1282" s="256">
        <v>748900</v>
      </c>
      <c r="R1282" s="267">
        <v>1</v>
      </c>
      <c r="S1282" s="256">
        <v>748900</v>
      </c>
      <c r="T1282" s="267" t="s">
        <v>50</v>
      </c>
      <c r="U1282" s="267" t="s">
        <v>50</v>
      </c>
      <c r="V1282" s="268">
        <v>43174</v>
      </c>
      <c r="W1282" s="267">
        <v>1</v>
      </c>
      <c r="X1282" s="203" t="s">
        <v>428</v>
      </c>
      <c r="Y1282" s="268">
        <v>43181</v>
      </c>
      <c r="Z1282" s="256">
        <v>748900</v>
      </c>
      <c r="AA1282" s="267" t="s">
        <v>429</v>
      </c>
      <c r="AB1282" s="209">
        <v>755</v>
      </c>
      <c r="AC1282" s="268">
        <v>43181</v>
      </c>
      <c r="AD1282" s="256">
        <v>748900</v>
      </c>
      <c r="AE1282" s="269">
        <f t="shared" si="119"/>
        <v>0</v>
      </c>
      <c r="AF1282" s="209">
        <v>1620</v>
      </c>
      <c r="AG1282" s="270">
        <v>43181</v>
      </c>
      <c r="AH1282" s="256">
        <v>748900</v>
      </c>
      <c r="AI1282" s="267" t="s">
        <v>3736</v>
      </c>
      <c r="AJ1282" s="271"/>
      <c r="AK1282" s="267"/>
      <c r="AL1282" s="256">
        <v>748900</v>
      </c>
      <c r="AM1282" s="256">
        <v>0</v>
      </c>
      <c r="AN1282" s="267"/>
      <c r="AO1282" s="267"/>
      <c r="AP1282" s="267" t="s">
        <v>430</v>
      </c>
      <c r="AQ1282" s="267"/>
      <c r="AR1282" s="267"/>
      <c r="AS1282" s="267"/>
      <c r="AT1282" s="267"/>
      <c r="AU1282" s="267"/>
    </row>
    <row r="1283" spans="1:47" x14ac:dyDescent="0.2">
      <c r="A1283" s="209">
        <v>95</v>
      </c>
      <c r="B1283" s="209" t="s">
        <v>431</v>
      </c>
      <c r="C1283" s="267" t="s">
        <v>49</v>
      </c>
      <c r="D1283" s="267" t="s">
        <v>50</v>
      </c>
      <c r="E1283" s="267" t="s">
        <v>50</v>
      </c>
      <c r="F1283" s="267" t="s">
        <v>230</v>
      </c>
      <c r="G1283" s="267" t="s">
        <v>231</v>
      </c>
      <c r="H1283" s="267" t="s">
        <v>255</v>
      </c>
      <c r="I1283" s="267" t="s">
        <v>54</v>
      </c>
      <c r="J1283" s="267" t="s">
        <v>55</v>
      </c>
      <c r="K1283" s="267">
        <v>93141506</v>
      </c>
      <c r="L1283" s="267"/>
      <c r="M1283" s="267"/>
      <c r="N1283" s="267"/>
      <c r="O1283" s="267"/>
      <c r="P1283" s="267" t="s">
        <v>432</v>
      </c>
      <c r="Q1283" s="256">
        <v>2346902</v>
      </c>
      <c r="R1283" s="267">
        <v>1</v>
      </c>
      <c r="S1283" s="256">
        <v>2346902</v>
      </c>
      <c r="T1283" s="267" t="s">
        <v>50</v>
      </c>
      <c r="U1283" s="267" t="s">
        <v>50</v>
      </c>
      <c r="V1283" s="268">
        <v>43182</v>
      </c>
      <c r="W1283" s="267">
        <v>7</v>
      </c>
      <c r="X1283" s="203" t="s">
        <v>433</v>
      </c>
      <c r="Y1283" s="268">
        <v>43182</v>
      </c>
      <c r="Z1283" s="256">
        <v>2346902</v>
      </c>
      <c r="AA1283" s="267" t="s">
        <v>434</v>
      </c>
      <c r="AB1283" s="209">
        <v>758</v>
      </c>
      <c r="AC1283" s="268">
        <v>43182</v>
      </c>
      <c r="AD1283" s="256">
        <v>2346902</v>
      </c>
      <c r="AE1283" s="269">
        <f t="shared" si="119"/>
        <v>0</v>
      </c>
      <c r="AF1283" s="209">
        <v>1809</v>
      </c>
      <c r="AG1283" s="270">
        <v>43208</v>
      </c>
      <c r="AH1283" s="256">
        <v>2346902</v>
      </c>
      <c r="AI1283" s="267" t="s">
        <v>3757</v>
      </c>
      <c r="AJ1283" s="271"/>
      <c r="AK1283" s="267"/>
      <c r="AL1283" s="256">
        <v>2346902</v>
      </c>
      <c r="AM1283" s="256">
        <v>0</v>
      </c>
      <c r="AN1283" s="267"/>
      <c r="AO1283" s="267"/>
      <c r="AP1283" s="267" t="s">
        <v>435</v>
      </c>
      <c r="AQ1283" s="267"/>
      <c r="AR1283" s="267"/>
      <c r="AS1283" s="267"/>
      <c r="AT1283" s="267"/>
      <c r="AU1283" s="267"/>
    </row>
    <row r="1284" spans="1:47" x14ac:dyDescent="0.2">
      <c r="A1284" s="209">
        <v>96</v>
      </c>
      <c r="B1284" s="209" t="s">
        <v>436</v>
      </c>
      <c r="C1284" s="267" t="s">
        <v>49</v>
      </c>
      <c r="D1284" s="267" t="s">
        <v>50</v>
      </c>
      <c r="E1284" s="267" t="s">
        <v>50</v>
      </c>
      <c r="F1284" s="267" t="s">
        <v>230</v>
      </c>
      <c r="G1284" s="267" t="s">
        <v>266</v>
      </c>
      <c r="H1284" s="267" t="s">
        <v>274</v>
      </c>
      <c r="I1284" s="267" t="s">
        <v>54</v>
      </c>
      <c r="J1284" s="267" t="s">
        <v>55</v>
      </c>
      <c r="K1284" s="267">
        <v>85122200</v>
      </c>
      <c r="L1284" s="267"/>
      <c r="M1284" s="267"/>
      <c r="N1284" s="267"/>
      <c r="O1284" s="267"/>
      <c r="P1284" s="267" t="s">
        <v>437</v>
      </c>
      <c r="Q1284" s="256"/>
      <c r="R1284" s="267">
        <v>1</v>
      </c>
      <c r="S1284" s="256">
        <v>7000000</v>
      </c>
      <c r="T1284" s="267" t="s">
        <v>50</v>
      </c>
      <c r="U1284" s="267" t="s">
        <v>438</v>
      </c>
      <c r="V1284" s="268">
        <v>43235</v>
      </c>
      <c r="W1284" s="267">
        <v>1</v>
      </c>
      <c r="X1284" s="203" t="s">
        <v>439</v>
      </c>
      <c r="Y1284" s="268">
        <v>43251</v>
      </c>
      <c r="Z1284" s="256">
        <v>6181982</v>
      </c>
      <c r="AA1284" s="267" t="s">
        <v>440</v>
      </c>
      <c r="AB1284" s="209">
        <v>881</v>
      </c>
      <c r="AC1284" s="268">
        <v>43257</v>
      </c>
      <c r="AD1284" s="256">
        <v>6181982</v>
      </c>
      <c r="AE1284" s="269">
        <f t="shared" si="119"/>
        <v>818018</v>
      </c>
      <c r="AF1284" s="209"/>
      <c r="AG1284" s="270"/>
      <c r="AH1284" s="256"/>
      <c r="AI1284" s="267"/>
      <c r="AJ1284" s="271"/>
      <c r="AK1284" s="267"/>
      <c r="AL1284" s="256"/>
      <c r="AM1284" s="256"/>
      <c r="AN1284" s="267"/>
      <c r="AO1284" s="267"/>
      <c r="AP1284" s="267" t="s">
        <v>441</v>
      </c>
      <c r="AQ1284" s="267"/>
      <c r="AR1284" s="267"/>
      <c r="AS1284" s="267"/>
      <c r="AT1284" s="267"/>
      <c r="AU1284" s="267"/>
    </row>
    <row r="1285" spans="1:47" x14ac:dyDescent="0.2">
      <c r="A1285" s="209">
        <v>97</v>
      </c>
      <c r="B1285" s="209" t="s">
        <v>442</v>
      </c>
      <c r="C1285" s="267" t="s">
        <v>49</v>
      </c>
      <c r="D1285" s="267" t="s">
        <v>50</v>
      </c>
      <c r="E1285" s="267" t="s">
        <v>50</v>
      </c>
      <c r="F1285" s="267" t="s">
        <v>230</v>
      </c>
      <c r="G1285" s="267" t="s">
        <v>266</v>
      </c>
      <c r="H1285" s="267" t="s">
        <v>274</v>
      </c>
      <c r="I1285" s="267" t="s">
        <v>54</v>
      </c>
      <c r="J1285" s="267" t="s">
        <v>55</v>
      </c>
      <c r="K1285" s="267">
        <v>46180000</v>
      </c>
      <c r="L1285" s="267"/>
      <c r="M1285" s="267"/>
      <c r="N1285" s="267"/>
      <c r="O1285" s="267"/>
      <c r="P1285" s="267" t="s">
        <v>443</v>
      </c>
      <c r="Q1285" s="256"/>
      <c r="R1285" s="267">
        <v>1</v>
      </c>
      <c r="S1285" s="256">
        <v>11804000</v>
      </c>
      <c r="T1285" s="267" t="s">
        <v>50</v>
      </c>
      <c r="U1285" s="267" t="s">
        <v>276</v>
      </c>
      <c r="V1285" s="268">
        <v>43284</v>
      </c>
      <c r="W1285" s="267">
        <v>2</v>
      </c>
      <c r="X1285" s="203"/>
      <c r="Y1285" s="268"/>
      <c r="Z1285" s="256"/>
      <c r="AA1285" s="267" t="s">
        <v>444</v>
      </c>
      <c r="AB1285" s="209"/>
      <c r="AC1285" s="268"/>
      <c r="AD1285" s="256"/>
      <c r="AE1285" s="269">
        <f t="shared" si="119"/>
        <v>11804000</v>
      </c>
      <c r="AF1285" s="209"/>
      <c r="AG1285" s="270"/>
      <c r="AH1285" s="256"/>
      <c r="AI1285" s="267"/>
      <c r="AJ1285" s="271"/>
      <c r="AK1285" s="267"/>
      <c r="AL1285" s="256"/>
      <c r="AM1285" s="256"/>
      <c r="AN1285" s="267"/>
      <c r="AO1285" s="267"/>
      <c r="AP1285" s="267" t="s">
        <v>445</v>
      </c>
      <c r="AQ1285" s="267">
        <v>43263</v>
      </c>
      <c r="AR1285" s="267"/>
      <c r="AS1285" s="267">
        <v>43263</v>
      </c>
      <c r="AT1285" s="267"/>
      <c r="AU1285" s="267"/>
    </row>
    <row r="1286" spans="1:47" x14ac:dyDescent="0.2">
      <c r="A1286" s="209">
        <v>98</v>
      </c>
      <c r="B1286" s="209" t="s">
        <v>446</v>
      </c>
      <c r="C1286" s="267" t="s">
        <v>49</v>
      </c>
      <c r="D1286" s="267" t="s">
        <v>50</v>
      </c>
      <c r="E1286" s="267" t="s">
        <v>50</v>
      </c>
      <c r="F1286" s="267" t="s">
        <v>230</v>
      </c>
      <c r="G1286" s="267" t="s">
        <v>266</v>
      </c>
      <c r="H1286" s="267" t="s">
        <v>274</v>
      </c>
      <c r="I1286" s="267" t="s">
        <v>54</v>
      </c>
      <c r="J1286" s="267" t="s">
        <v>55</v>
      </c>
      <c r="K1286" s="267">
        <v>46140000</v>
      </c>
      <c r="L1286" s="267"/>
      <c r="M1286" s="267"/>
      <c r="N1286" s="267"/>
      <c r="O1286" s="267"/>
      <c r="P1286" s="267" t="s">
        <v>3758</v>
      </c>
      <c r="Q1286" s="256"/>
      <c r="R1286" s="267">
        <v>1</v>
      </c>
      <c r="S1286" s="256">
        <v>9000000</v>
      </c>
      <c r="T1286" s="267" t="s">
        <v>50</v>
      </c>
      <c r="U1286" s="267" t="s">
        <v>276</v>
      </c>
      <c r="V1286" s="268">
        <v>43352</v>
      </c>
      <c r="W1286" s="267">
        <v>3</v>
      </c>
      <c r="X1286" s="203"/>
      <c r="Y1286" s="268"/>
      <c r="Z1286" s="256"/>
      <c r="AA1286" s="267" t="s">
        <v>3759</v>
      </c>
      <c r="AB1286" s="209"/>
      <c r="AC1286" s="268"/>
      <c r="AD1286" s="256"/>
      <c r="AE1286" s="269">
        <f t="shared" si="119"/>
        <v>9000000</v>
      </c>
      <c r="AF1286" s="209"/>
      <c r="AG1286" s="270"/>
      <c r="AH1286" s="256"/>
      <c r="AI1286" s="267"/>
      <c r="AJ1286" s="271"/>
      <c r="AK1286" s="267"/>
      <c r="AL1286" s="256"/>
      <c r="AM1286" s="256"/>
      <c r="AN1286" s="267"/>
      <c r="AO1286" s="267"/>
      <c r="AP1286" s="267" t="s">
        <v>284</v>
      </c>
      <c r="AQ1286" s="267"/>
      <c r="AR1286" s="267"/>
      <c r="AS1286" s="267"/>
      <c r="AT1286" s="267"/>
      <c r="AU1286" s="267"/>
    </row>
    <row r="1287" spans="1:47" x14ac:dyDescent="0.2">
      <c r="A1287" s="209">
        <v>99</v>
      </c>
      <c r="B1287" s="209" t="s">
        <v>447</v>
      </c>
      <c r="C1287" s="267" t="s">
        <v>49</v>
      </c>
      <c r="D1287" s="267" t="s">
        <v>50</v>
      </c>
      <c r="E1287" s="267" t="s">
        <v>50</v>
      </c>
      <c r="F1287" s="267" t="s">
        <v>230</v>
      </c>
      <c r="G1287" s="267" t="s">
        <v>231</v>
      </c>
      <c r="H1287" s="267" t="s">
        <v>313</v>
      </c>
      <c r="I1287" s="267" t="s">
        <v>54</v>
      </c>
      <c r="J1287" s="267" t="s">
        <v>55</v>
      </c>
      <c r="K1287" s="267">
        <v>81161601</v>
      </c>
      <c r="L1287" s="267"/>
      <c r="M1287" s="267"/>
      <c r="N1287" s="267"/>
      <c r="O1287" s="267"/>
      <c r="P1287" s="267" t="s">
        <v>401</v>
      </c>
      <c r="Q1287" s="256">
        <v>6000000</v>
      </c>
      <c r="R1287" s="267">
        <v>1</v>
      </c>
      <c r="S1287" s="256">
        <v>6000000</v>
      </c>
      <c r="T1287" s="267" t="s">
        <v>50</v>
      </c>
      <c r="U1287" s="267" t="s">
        <v>50</v>
      </c>
      <c r="V1287" s="268">
        <v>43204</v>
      </c>
      <c r="W1287" s="267">
        <v>8</v>
      </c>
      <c r="X1287" s="203" t="s">
        <v>448</v>
      </c>
      <c r="Y1287" s="268">
        <v>43203</v>
      </c>
      <c r="Z1287" s="256">
        <v>6000000</v>
      </c>
      <c r="AA1287" s="267"/>
      <c r="AB1287" s="209">
        <v>794</v>
      </c>
      <c r="AC1287" s="268" t="s">
        <v>1578</v>
      </c>
      <c r="AD1287" s="256">
        <v>6000000</v>
      </c>
      <c r="AE1287" s="269">
        <f t="shared" si="119"/>
        <v>0</v>
      </c>
      <c r="AF1287" s="209">
        <v>1813</v>
      </c>
      <c r="AG1287" s="270">
        <v>43209</v>
      </c>
      <c r="AH1287" s="256">
        <v>748901</v>
      </c>
      <c r="AI1287" s="267" t="s">
        <v>3736</v>
      </c>
      <c r="AJ1287" s="271"/>
      <c r="AK1287" s="267"/>
      <c r="AL1287" s="256">
        <v>748901</v>
      </c>
      <c r="AM1287" s="256">
        <v>0</v>
      </c>
      <c r="AN1287" s="267"/>
      <c r="AO1287" s="267"/>
      <c r="AP1287" s="267" t="s">
        <v>449</v>
      </c>
      <c r="AQ1287" s="267">
        <v>43203</v>
      </c>
      <c r="AR1287" s="267"/>
      <c r="AS1287" s="267">
        <v>43203</v>
      </c>
      <c r="AT1287" s="267"/>
      <c r="AU1287" s="267"/>
    </row>
    <row r="1288" spans="1:47" x14ac:dyDescent="0.2">
      <c r="A1288" s="209">
        <v>99</v>
      </c>
      <c r="B1288" s="209"/>
      <c r="C1288" s="267"/>
      <c r="D1288" s="267"/>
      <c r="E1288" s="267"/>
      <c r="F1288" s="267"/>
      <c r="G1288" s="267"/>
      <c r="H1288" s="267" t="s">
        <v>313</v>
      </c>
      <c r="I1288" s="267"/>
      <c r="J1288" s="267"/>
      <c r="K1288" s="267"/>
      <c r="L1288" s="267"/>
      <c r="M1288" s="267"/>
      <c r="N1288" s="267"/>
      <c r="O1288" s="267"/>
      <c r="P1288" s="267"/>
      <c r="Q1288" s="256"/>
      <c r="R1288" s="267"/>
      <c r="S1288" s="256"/>
      <c r="T1288" s="267"/>
      <c r="U1288" s="267"/>
      <c r="V1288" s="268"/>
      <c r="W1288" s="267"/>
      <c r="X1288" s="203"/>
      <c r="Y1288" s="268"/>
      <c r="Z1288" s="256"/>
      <c r="AA1288" s="267"/>
      <c r="AB1288" s="209"/>
      <c r="AC1288" s="268"/>
      <c r="AD1288" s="256"/>
      <c r="AE1288" s="269">
        <f t="shared" si="119"/>
        <v>0</v>
      </c>
      <c r="AF1288" s="209">
        <v>1931</v>
      </c>
      <c r="AG1288" s="270">
        <v>43242</v>
      </c>
      <c r="AH1288" s="256">
        <v>517301</v>
      </c>
      <c r="AI1288" s="267" t="s">
        <v>3736</v>
      </c>
      <c r="AJ1288" s="271"/>
      <c r="AK1288" s="267"/>
      <c r="AL1288" s="256">
        <v>517301</v>
      </c>
      <c r="AM1288" s="256">
        <v>0</v>
      </c>
      <c r="AN1288" s="267"/>
      <c r="AO1288" s="267"/>
      <c r="AP1288" s="267"/>
      <c r="AQ1288" s="267"/>
      <c r="AR1288" s="267"/>
      <c r="AS1288" s="267"/>
      <c r="AT1288" s="267"/>
      <c r="AU1288" s="267"/>
    </row>
    <row r="1289" spans="1:47" x14ac:dyDescent="0.2">
      <c r="A1289" s="209">
        <v>99</v>
      </c>
      <c r="B1289" s="209"/>
      <c r="C1289" s="267"/>
      <c r="D1289" s="267"/>
      <c r="E1289" s="267"/>
      <c r="F1289" s="267"/>
      <c r="G1289" s="267"/>
      <c r="H1289" s="267" t="s">
        <v>313</v>
      </c>
      <c r="I1289" s="267"/>
      <c r="J1289" s="267"/>
      <c r="K1289" s="267"/>
      <c r="L1289" s="267"/>
      <c r="M1289" s="267"/>
      <c r="N1289" s="267"/>
      <c r="O1289" s="267"/>
      <c r="P1289" s="267"/>
      <c r="Q1289" s="256"/>
      <c r="R1289" s="267"/>
      <c r="S1289" s="256"/>
      <c r="T1289" s="267"/>
      <c r="U1289" s="267"/>
      <c r="V1289" s="268"/>
      <c r="W1289" s="267"/>
      <c r="X1289" s="203"/>
      <c r="Y1289" s="268"/>
      <c r="Z1289" s="256"/>
      <c r="AA1289" s="267"/>
      <c r="AB1289" s="209"/>
      <c r="AC1289" s="268"/>
      <c r="AD1289" s="256"/>
      <c r="AE1289" s="269">
        <f t="shared" si="119"/>
        <v>0</v>
      </c>
      <c r="AF1289" s="209">
        <v>2038</v>
      </c>
      <c r="AG1289" s="270">
        <v>43271</v>
      </c>
      <c r="AH1289" s="256">
        <v>517301</v>
      </c>
      <c r="AI1289" s="267" t="s">
        <v>3736</v>
      </c>
      <c r="AJ1289" s="271"/>
      <c r="AK1289" s="267"/>
      <c r="AL1289" s="256">
        <v>517301</v>
      </c>
      <c r="AM1289" s="256">
        <v>0</v>
      </c>
      <c r="AN1289" s="267"/>
      <c r="AO1289" s="267"/>
      <c r="AP1289" s="267"/>
      <c r="AQ1289" s="267"/>
      <c r="AR1289" s="267"/>
      <c r="AS1289" s="267"/>
      <c r="AT1289" s="267"/>
      <c r="AU1289" s="267"/>
    </row>
    <row r="1290" spans="1:47" x14ac:dyDescent="0.2">
      <c r="A1290" s="209">
        <v>99</v>
      </c>
      <c r="B1290" s="209"/>
      <c r="C1290" s="267"/>
      <c r="D1290" s="267"/>
      <c r="E1290" s="267"/>
      <c r="F1290" s="267"/>
      <c r="G1290" s="267"/>
      <c r="H1290" s="267" t="s">
        <v>313</v>
      </c>
      <c r="I1290" s="267"/>
      <c r="J1290" s="267"/>
      <c r="K1290" s="267"/>
      <c r="L1290" s="267"/>
      <c r="M1290" s="267"/>
      <c r="N1290" s="267"/>
      <c r="O1290" s="267"/>
      <c r="P1290" s="267"/>
      <c r="Q1290" s="256"/>
      <c r="R1290" s="267"/>
      <c r="S1290" s="256"/>
      <c r="T1290" s="267"/>
      <c r="U1290" s="267"/>
      <c r="V1290" s="268"/>
      <c r="W1290" s="267"/>
      <c r="X1290" s="203"/>
      <c r="Y1290" s="268"/>
      <c r="Z1290" s="256"/>
      <c r="AA1290" s="267"/>
      <c r="AB1290" s="209"/>
      <c r="AC1290" s="268"/>
      <c r="AD1290" s="256"/>
      <c r="AE1290" s="269">
        <f t="shared" si="119"/>
        <v>0</v>
      </c>
      <c r="AF1290" s="209">
        <v>2504</v>
      </c>
      <c r="AG1290" s="270">
        <v>43299</v>
      </c>
      <c r="AH1290" s="256">
        <v>694800</v>
      </c>
      <c r="AI1290" s="267" t="s">
        <v>3736</v>
      </c>
      <c r="AJ1290" s="271"/>
      <c r="AK1290" s="267"/>
      <c r="AL1290" s="256">
        <v>694800</v>
      </c>
      <c r="AM1290" s="256">
        <v>0</v>
      </c>
      <c r="AN1290" s="267"/>
      <c r="AO1290" s="267"/>
      <c r="AP1290" s="267"/>
      <c r="AQ1290" s="267"/>
      <c r="AR1290" s="267"/>
      <c r="AS1290" s="267"/>
      <c r="AT1290" s="267"/>
      <c r="AU1290" s="267"/>
    </row>
    <row r="1291" spans="1:47" x14ac:dyDescent="0.2">
      <c r="A1291" s="209">
        <v>100</v>
      </c>
      <c r="B1291" s="209" t="s">
        <v>349</v>
      </c>
      <c r="C1291" s="267" t="s">
        <v>49</v>
      </c>
      <c r="D1291" s="267" t="s">
        <v>50</v>
      </c>
      <c r="E1291" s="267" t="s">
        <v>50</v>
      </c>
      <c r="F1291" s="267" t="s">
        <v>51</v>
      </c>
      <c r="G1291" s="267" t="s">
        <v>153</v>
      </c>
      <c r="H1291" s="267" t="s">
        <v>153</v>
      </c>
      <c r="I1291" s="267" t="s">
        <v>54</v>
      </c>
      <c r="J1291" s="267" t="s">
        <v>55</v>
      </c>
      <c r="K1291" s="267">
        <v>80111600</v>
      </c>
      <c r="L1291" s="267"/>
      <c r="M1291" s="267"/>
      <c r="N1291" s="267"/>
      <c r="O1291" s="267"/>
      <c r="P1291" s="267" t="s">
        <v>450</v>
      </c>
      <c r="Q1291" s="256">
        <v>450000</v>
      </c>
      <c r="R1291" s="267">
        <v>1</v>
      </c>
      <c r="S1291" s="256">
        <v>450000</v>
      </c>
      <c r="T1291" s="267" t="s">
        <v>50</v>
      </c>
      <c r="U1291" s="267" t="s">
        <v>50</v>
      </c>
      <c r="V1291" s="268">
        <v>43244</v>
      </c>
      <c r="W1291" s="267">
        <v>1</v>
      </c>
      <c r="X1291" s="203" t="s">
        <v>451</v>
      </c>
      <c r="Y1291" s="268">
        <v>43244</v>
      </c>
      <c r="Z1291" s="256">
        <v>450000</v>
      </c>
      <c r="AA1291" s="267" t="s">
        <v>452</v>
      </c>
      <c r="AB1291" s="209"/>
      <c r="AC1291" s="268"/>
      <c r="AD1291" s="256"/>
      <c r="AE1291" s="269">
        <f t="shared" si="119"/>
        <v>450000</v>
      </c>
      <c r="AF1291" s="209"/>
      <c r="AG1291" s="270"/>
      <c r="AH1291" s="256"/>
      <c r="AI1291" s="267"/>
      <c r="AJ1291" s="271"/>
      <c r="AK1291" s="267"/>
      <c r="AL1291" s="256"/>
      <c r="AM1291" s="256"/>
      <c r="AN1291" s="267"/>
      <c r="AO1291" s="267"/>
      <c r="AP1291" s="267" t="s">
        <v>184</v>
      </c>
      <c r="AQ1291" s="267">
        <v>43244</v>
      </c>
      <c r="AR1291" s="267" t="s">
        <v>453</v>
      </c>
      <c r="AS1291" s="267">
        <v>43244</v>
      </c>
      <c r="AT1291" s="267" t="s">
        <v>186</v>
      </c>
      <c r="AU1291" s="267"/>
    </row>
    <row r="1292" spans="1:47" x14ac:dyDescent="0.2">
      <c r="A1292" s="209">
        <v>101</v>
      </c>
      <c r="B1292" s="209" t="s">
        <v>382</v>
      </c>
      <c r="C1292" s="267" t="s">
        <v>49</v>
      </c>
      <c r="D1292" s="267" t="s">
        <v>50</v>
      </c>
      <c r="E1292" s="267" t="s">
        <v>50</v>
      </c>
      <c r="F1292" s="267" t="s">
        <v>230</v>
      </c>
      <c r="G1292" s="267" t="s">
        <v>231</v>
      </c>
      <c r="H1292" s="267" t="s">
        <v>386</v>
      </c>
      <c r="I1292" s="267" t="s">
        <v>54</v>
      </c>
      <c r="J1292" s="267" t="s">
        <v>55</v>
      </c>
      <c r="K1292" s="267" t="s">
        <v>50</v>
      </c>
      <c r="L1292" s="267"/>
      <c r="M1292" s="267"/>
      <c r="N1292" s="267"/>
      <c r="O1292" s="267"/>
      <c r="P1292" s="267" t="s">
        <v>359</v>
      </c>
      <c r="Q1292" s="256">
        <v>90000</v>
      </c>
      <c r="R1292" s="267">
        <v>1</v>
      </c>
      <c r="S1292" s="256">
        <v>0</v>
      </c>
      <c r="T1292" s="267" t="s">
        <v>50</v>
      </c>
      <c r="U1292" s="267" t="s">
        <v>50</v>
      </c>
      <c r="V1292" s="268">
        <v>43244</v>
      </c>
      <c r="W1292" s="267">
        <v>1</v>
      </c>
      <c r="X1292" s="203" t="s">
        <v>454</v>
      </c>
      <c r="Y1292" s="268">
        <v>43244</v>
      </c>
      <c r="Z1292" s="256"/>
      <c r="AA1292" s="267" t="s">
        <v>455</v>
      </c>
      <c r="AB1292" s="209"/>
      <c r="AC1292" s="268"/>
      <c r="AD1292" s="256"/>
      <c r="AE1292" s="269">
        <f t="shared" si="119"/>
        <v>0</v>
      </c>
      <c r="AF1292" s="209"/>
      <c r="AG1292" s="270"/>
      <c r="AH1292" s="256"/>
      <c r="AI1292" s="267"/>
      <c r="AJ1292" s="271"/>
      <c r="AK1292" s="267"/>
      <c r="AL1292" s="256"/>
      <c r="AM1292" s="256"/>
      <c r="AN1292" s="267"/>
      <c r="AO1292" s="267"/>
      <c r="AP1292" s="267" t="s">
        <v>362</v>
      </c>
      <c r="AQ1292" s="267" t="s">
        <v>456</v>
      </c>
      <c r="AR1292" s="267" t="s">
        <v>457</v>
      </c>
      <c r="AS1292" s="267" t="s">
        <v>3760</v>
      </c>
      <c r="AT1292" s="267" t="s">
        <v>458</v>
      </c>
      <c r="AU1292" s="267"/>
    </row>
    <row r="1293" spans="1:47" x14ac:dyDescent="0.2">
      <c r="A1293" s="209">
        <v>102</v>
      </c>
      <c r="B1293" s="209" t="s">
        <v>459</v>
      </c>
      <c r="C1293" s="267" t="s">
        <v>49</v>
      </c>
      <c r="D1293" s="267" t="s">
        <v>50</v>
      </c>
      <c r="E1293" s="267" t="s">
        <v>50</v>
      </c>
      <c r="F1293" s="267" t="s">
        <v>230</v>
      </c>
      <c r="G1293" s="267" t="s">
        <v>266</v>
      </c>
      <c r="H1293" s="267" t="s">
        <v>298</v>
      </c>
      <c r="I1293" s="267" t="s">
        <v>54</v>
      </c>
      <c r="J1293" s="267" t="s">
        <v>55</v>
      </c>
      <c r="K1293" s="267" t="s">
        <v>50</v>
      </c>
      <c r="L1293" s="267"/>
      <c r="M1293" s="267"/>
      <c r="N1293" s="267"/>
      <c r="O1293" s="267"/>
      <c r="P1293" s="267" t="s">
        <v>359</v>
      </c>
      <c r="Q1293" s="256">
        <v>240000</v>
      </c>
      <c r="R1293" s="267">
        <v>1</v>
      </c>
      <c r="S1293" s="256">
        <v>0</v>
      </c>
      <c r="T1293" s="267" t="s">
        <v>50</v>
      </c>
      <c r="U1293" s="267" t="s">
        <v>50</v>
      </c>
      <c r="V1293" s="268">
        <v>43244</v>
      </c>
      <c r="W1293" s="267">
        <v>1</v>
      </c>
      <c r="X1293" s="203" t="s">
        <v>460</v>
      </c>
      <c r="Y1293" s="268">
        <v>43244</v>
      </c>
      <c r="Z1293" s="256"/>
      <c r="AA1293" s="267" t="s">
        <v>461</v>
      </c>
      <c r="AB1293" s="209"/>
      <c r="AC1293" s="268"/>
      <c r="AD1293" s="256"/>
      <c r="AE1293" s="269">
        <f t="shared" si="119"/>
        <v>0</v>
      </c>
      <c r="AF1293" s="209"/>
      <c r="AG1293" s="270"/>
      <c r="AH1293" s="256"/>
      <c r="AI1293" s="267"/>
      <c r="AJ1293" s="271"/>
      <c r="AK1293" s="267"/>
      <c r="AL1293" s="256"/>
      <c r="AM1293" s="256"/>
      <c r="AN1293" s="267"/>
      <c r="AO1293" s="267"/>
      <c r="AP1293" s="267" t="s">
        <v>362</v>
      </c>
      <c r="AQ1293" s="267" t="s">
        <v>363</v>
      </c>
      <c r="AR1293" s="267" t="s">
        <v>457</v>
      </c>
      <c r="AS1293" s="267" t="s">
        <v>3760</v>
      </c>
      <c r="AT1293" s="267" t="s">
        <v>307</v>
      </c>
      <c r="AU1293" s="267"/>
    </row>
    <row r="1294" spans="1:47" x14ac:dyDescent="0.2">
      <c r="A1294" s="209">
        <v>103</v>
      </c>
      <c r="B1294" s="209" t="s">
        <v>462</v>
      </c>
      <c r="C1294" s="267" t="s">
        <v>49</v>
      </c>
      <c r="D1294" s="267" t="s">
        <v>50</v>
      </c>
      <c r="E1294" s="267" t="s">
        <v>50</v>
      </c>
      <c r="F1294" s="267" t="s">
        <v>230</v>
      </c>
      <c r="G1294" s="267" t="s">
        <v>231</v>
      </c>
      <c r="H1294" s="267" t="s">
        <v>342</v>
      </c>
      <c r="I1294" s="267" t="s">
        <v>54</v>
      </c>
      <c r="J1294" s="267" t="s">
        <v>55</v>
      </c>
      <c r="K1294" s="267" t="s">
        <v>50</v>
      </c>
      <c r="L1294" s="267"/>
      <c r="M1294" s="267"/>
      <c r="N1294" s="267"/>
      <c r="O1294" s="267"/>
      <c r="P1294" s="267" t="s">
        <v>359</v>
      </c>
      <c r="Q1294" s="256">
        <v>240000</v>
      </c>
      <c r="R1294" s="267">
        <v>1</v>
      </c>
      <c r="S1294" s="256">
        <v>0</v>
      </c>
      <c r="T1294" s="267" t="s">
        <v>50</v>
      </c>
      <c r="U1294" s="267" t="s">
        <v>50</v>
      </c>
      <c r="V1294" s="268">
        <v>43244</v>
      </c>
      <c r="W1294" s="267">
        <v>1</v>
      </c>
      <c r="X1294" s="203" t="s">
        <v>463</v>
      </c>
      <c r="Y1294" s="268">
        <v>43244</v>
      </c>
      <c r="Z1294" s="256"/>
      <c r="AA1294" s="267" t="s">
        <v>464</v>
      </c>
      <c r="AB1294" s="209"/>
      <c r="AC1294" s="268"/>
      <c r="AD1294" s="256"/>
      <c r="AE1294" s="269">
        <f t="shared" si="119"/>
        <v>0</v>
      </c>
      <c r="AF1294" s="209"/>
      <c r="AG1294" s="270"/>
      <c r="AH1294" s="256"/>
      <c r="AI1294" s="267"/>
      <c r="AJ1294" s="271"/>
      <c r="AK1294" s="267"/>
      <c r="AL1294" s="256"/>
      <c r="AM1294" s="256"/>
      <c r="AN1294" s="267"/>
      <c r="AO1294" s="267"/>
      <c r="AP1294" s="267" t="s">
        <v>362</v>
      </c>
      <c r="AQ1294" s="267" t="s">
        <v>456</v>
      </c>
      <c r="AR1294" s="267" t="s">
        <v>457</v>
      </c>
      <c r="AS1294" s="267" t="s">
        <v>3760</v>
      </c>
      <c r="AT1294" s="267" t="s">
        <v>307</v>
      </c>
      <c r="AU1294" s="267"/>
    </row>
    <row r="1295" spans="1:47" x14ac:dyDescent="0.2">
      <c r="A1295" s="209">
        <v>104</v>
      </c>
      <c r="B1295" s="209" t="s">
        <v>465</v>
      </c>
      <c r="C1295" s="267" t="s">
        <v>49</v>
      </c>
      <c r="D1295" s="267" t="s">
        <v>50</v>
      </c>
      <c r="E1295" s="267" t="s">
        <v>50</v>
      </c>
      <c r="F1295" s="267" t="s">
        <v>230</v>
      </c>
      <c r="G1295" s="267" t="s">
        <v>231</v>
      </c>
      <c r="H1295" s="267" t="s">
        <v>313</v>
      </c>
      <c r="I1295" s="267" t="s">
        <v>54</v>
      </c>
      <c r="J1295" s="267" t="s">
        <v>55</v>
      </c>
      <c r="K1295" s="267">
        <v>72101500</v>
      </c>
      <c r="L1295" s="267"/>
      <c r="M1295" s="267"/>
      <c r="N1295" s="267"/>
      <c r="O1295" s="267"/>
      <c r="P1295" s="267" t="s">
        <v>359</v>
      </c>
      <c r="Q1295" s="256">
        <v>1179964</v>
      </c>
      <c r="R1295" s="267">
        <v>1</v>
      </c>
      <c r="S1295" s="256">
        <v>0</v>
      </c>
      <c r="T1295" s="267" t="s">
        <v>50</v>
      </c>
      <c r="U1295" s="267" t="s">
        <v>50</v>
      </c>
      <c r="V1295" s="268">
        <v>43244</v>
      </c>
      <c r="W1295" s="267">
        <v>1</v>
      </c>
      <c r="X1295" s="203" t="s">
        <v>466</v>
      </c>
      <c r="Y1295" s="268">
        <v>43244</v>
      </c>
      <c r="Z1295" s="256"/>
      <c r="AA1295" s="267" t="s">
        <v>467</v>
      </c>
      <c r="AB1295" s="209"/>
      <c r="AC1295" s="268"/>
      <c r="AD1295" s="256"/>
      <c r="AE1295" s="269">
        <f t="shared" si="119"/>
        <v>0</v>
      </c>
      <c r="AF1295" s="209"/>
      <c r="AG1295" s="270"/>
      <c r="AH1295" s="256"/>
      <c r="AI1295" s="267"/>
      <c r="AJ1295" s="271"/>
      <c r="AK1295" s="267"/>
      <c r="AL1295" s="256"/>
      <c r="AM1295" s="256"/>
      <c r="AN1295" s="267"/>
      <c r="AO1295" s="267"/>
      <c r="AP1295" s="267" t="s">
        <v>362</v>
      </c>
      <c r="AQ1295" s="267" t="s">
        <v>3760</v>
      </c>
      <c r="AR1295" s="267" t="s">
        <v>457</v>
      </c>
      <c r="AS1295" s="267" t="s">
        <v>3760</v>
      </c>
      <c r="AT1295" s="267" t="s">
        <v>307</v>
      </c>
      <c r="AU1295" s="267"/>
    </row>
    <row r="1296" spans="1:47" x14ac:dyDescent="0.2">
      <c r="A1296" s="209">
        <v>105</v>
      </c>
      <c r="B1296" s="209" t="s">
        <v>468</v>
      </c>
      <c r="C1296" s="267" t="s">
        <v>49</v>
      </c>
      <c r="D1296" s="267" t="s">
        <v>50</v>
      </c>
      <c r="E1296" s="267" t="s">
        <v>50</v>
      </c>
      <c r="F1296" s="267" t="s">
        <v>230</v>
      </c>
      <c r="G1296" s="267" t="s">
        <v>266</v>
      </c>
      <c r="H1296" s="267" t="s">
        <v>274</v>
      </c>
      <c r="I1296" s="267" t="s">
        <v>54</v>
      </c>
      <c r="J1296" s="267" t="s">
        <v>55</v>
      </c>
      <c r="K1296" s="267">
        <v>46180000</v>
      </c>
      <c r="L1296" s="267"/>
      <c r="M1296" s="267"/>
      <c r="N1296" s="267"/>
      <c r="O1296" s="267"/>
      <c r="P1296" s="267" t="s">
        <v>469</v>
      </c>
      <c r="Q1296" s="256">
        <v>2300000</v>
      </c>
      <c r="R1296" s="267">
        <v>1</v>
      </c>
      <c r="S1296" s="256">
        <v>2300000</v>
      </c>
      <c r="T1296" s="267" t="s">
        <v>356</v>
      </c>
      <c r="U1296" s="267" t="s">
        <v>50</v>
      </c>
      <c r="V1296" s="268">
        <v>43235</v>
      </c>
      <c r="W1296" s="267">
        <v>1.5</v>
      </c>
      <c r="X1296" s="203" t="s">
        <v>470</v>
      </c>
      <c r="Y1296" s="268">
        <v>43263</v>
      </c>
      <c r="Z1296" s="256">
        <v>2300000</v>
      </c>
      <c r="AA1296" s="267" t="s">
        <v>471</v>
      </c>
      <c r="AB1296" s="209">
        <v>888</v>
      </c>
      <c r="AC1296" s="268">
        <v>43264</v>
      </c>
      <c r="AD1296" s="256">
        <v>2300000</v>
      </c>
      <c r="AE1296" s="269">
        <f t="shared" si="119"/>
        <v>0</v>
      </c>
      <c r="AF1296" s="209">
        <v>2506</v>
      </c>
      <c r="AG1296" s="270">
        <v>43299</v>
      </c>
      <c r="AH1296" s="256">
        <v>2300000</v>
      </c>
      <c r="AI1296" s="267" t="s">
        <v>3761</v>
      </c>
      <c r="AJ1296" s="271"/>
      <c r="AK1296" s="267"/>
      <c r="AL1296" s="256">
        <v>0</v>
      </c>
      <c r="AM1296" s="256">
        <v>2300000</v>
      </c>
      <c r="AN1296" s="267"/>
      <c r="AO1296" s="267"/>
      <c r="AP1296" s="267" t="s">
        <v>472</v>
      </c>
      <c r="AQ1296" s="267">
        <v>43263</v>
      </c>
      <c r="AR1296" s="267" t="s">
        <v>453</v>
      </c>
      <c r="AS1296" s="267">
        <v>43263</v>
      </c>
      <c r="AT1296" s="267" t="s">
        <v>473</v>
      </c>
      <c r="AU1296" s="267"/>
    </row>
    <row r="1297" spans="1:47" x14ac:dyDescent="0.2">
      <c r="A1297" s="209">
        <v>106</v>
      </c>
      <c r="B1297" s="209" t="s">
        <v>474</v>
      </c>
      <c r="C1297" s="267" t="s">
        <v>49</v>
      </c>
      <c r="D1297" s="267" t="s">
        <v>50</v>
      </c>
      <c r="E1297" s="267" t="s">
        <v>50</v>
      </c>
      <c r="F1297" s="267" t="s">
        <v>230</v>
      </c>
      <c r="G1297" s="267" t="s">
        <v>266</v>
      </c>
      <c r="H1297" s="267" t="s">
        <v>267</v>
      </c>
      <c r="I1297" s="267" t="s">
        <v>54</v>
      </c>
      <c r="J1297" s="267" t="s">
        <v>55</v>
      </c>
      <c r="K1297" s="267" t="s">
        <v>268</v>
      </c>
      <c r="L1297" s="267"/>
      <c r="M1297" s="267"/>
      <c r="N1297" s="267"/>
      <c r="O1297" s="267"/>
      <c r="P1297" s="267" t="s">
        <v>475</v>
      </c>
      <c r="Q1297" s="256">
        <v>1490000</v>
      </c>
      <c r="R1297" s="267">
        <v>1</v>
      </c>
      <c r="S1297" s="256">
        <v>1490000</v>
      </c>
      <c r="T1297" s="267" t="s">
        <v>270</v>
      </c>
      <c r="U1297" s="267" t="s">
        <v>50</v>
      </c>
      <c r="V1297" s="268">
        <v>43265</v>
      </c>
      <c r="W1297" s="267">
        <v>1</v>
      </c>
      <c r="X1297" s="203"/>
      <c r="Y1297" s="268"/>
      <c r="Z1297" s="256">
        <v>0</v>
      </c>
      <c r="AA1297" s="267" t="s">
        <v>271</v>
      </c>
      <c r="AB1297" s="209"/>
      <c r="AC1297" s="268"/>
      <c r="AD1297" s="256"/>
      <c r="AE1297" s="269">
        <f t="shared" si="119"/>
        <v>1490000</v>
      </c>
      <c r="AF1297" s="209">
        <v>1812</v>
      </c>
      <c r="AG1297" s="270">
        <v>43209</v>
      </c>
      <c r="AH1297" s="256">
        <v>5483369</v>
      </c>
      <c r="AI1297" s="267" t="s">
        <v>3736</v>
      </c>
      <c r="AJ1297" s="271"/>
      <c r="AK1297" s="267"/>
      <c r="AL1297" s="256">
        <v>5483369</v>
      </c>
      <c r="AM1297" s="256">
        <v>0</v>
      </c>
      <c r="AN1297" s="267"/>
      <c r="AO1297" s="267"/>
      <c r="AP1297" s="267" t="s">
        <v>3740</v>
      </c>
      <c r="AQ1297" s="267">
        <v>43266</v>
      </c>
      <c r="AR1297" s="267" t="s">
        <v>453</v>
      </c>
      <c r="AS1297" s="267">
        <v>43266</v>
      </c>
      <c r="AT1297" s="267"/>
      <c r="AU1297" s="267"/>
    </row>
    <row r="1298" spans="1:47" x14ac:dyDescent="0.2">
      <c r="A1298" s="209">
        <v>107</v>
      </c>
      <c r="B1298" s="209" t="s">
        <v>476</v>
      </c>
      <c r="C1298" s="267" t="s">
        <v>49</v>
      </c>
      <c r="D1298" s="267" t="s">
        <v>50</v>
      </c>
      <c r="E1298" s="267" t="s">
        <v>50</v>
      </c>
      <c r="F1298" s="267" t="s">
        <v>230</v>
      </c>
      <c r="G1298" s="267" t="s">
        <v>266</v>
      </c>
      <c r="H1298" s="267" t="s">
        <v>267</v>
      </c>
      <c r="I1298" s="267" t="s">
        <v>54</v>
      </c>
      <c r="J1298" s="267" t="s">
        <v>55</v>
      </c>
      <c r="K1298" s="267" t="s">
        <v>268</v>
      </c>
      <c r="L1298" s="267"/>
      <c r="M1298" s="267"/>
      <c r="N1298" s="267"/>
      <c r="O1298" s="267"/>
      <c r="P1298" s="267" t="s">
        <v>477</v>
      </c>
      <c r="Q1298" s="256">
        <v>530000</v>
      </c>
      <c r="R1298" s="267">
        <v>1</v>
      </c>
      <c r="S1298" s="256">
        <v>530000</v>
      </c>
      <c r="T1298" s="267" t="s">
        <v>478</v>
      </c>
      <c r="U1298" s="267" t="s">
        <v>324</v>
      </c>
      <c r="V1298" s="268">
        <v>43265</v>
      </c>
      <c r="W1298" s="267">
        <v>1</v>
      </c>
      <c r="X1298" s="203"/>
      <c r="Y1298" s="268"/>
      <c r="Z1298" s="256">
        <v>0</v>
      </c>
      <c r="AA1298" s="267" t="s">
        <v>271</v>
      </c>
      <c r="AB1298" s="209"/>
      <c r="AC1298" s="268"/>
      <c r="AD1298" s="256"/>
      <c r="AE1298" s="269">
        <f t="shared" si="119"/>
        <v>530000</v>
      </c>
      <c r="AF1298" s="209">
        <v>1930</v>
      </c>
      <c r="AG1298" s="270">
        <v>43242</v>
      </c>
      <c r="AH1298" s="256">
        <v>6302510</v>
      </c>
      <c r="AI1298" s="267" t="s">
        <v>3736</v>
      </c>
      <c r="AJ1298" s="271"/>
      <c r="AK1298" s="267"/>
      <c r="AL1298" s="256">
        <v>6302510</v>
      </c>
      <c r="AM1298" s="256">
        <v>0</v>
      </c>
      <c r="AN1298" s="267"/>
      <c r="AO1298" s="267"/>
      <c r="AP1298" s="267" t="s">
        <v>3740</v>
      </c>
      <c r="AQ1298" s="267">
        <v>43266</v>
      </c>
      <c r="AR1298" s="267" t="s">
        <v>453</v>
      </c>
      <c r="AS1298" s="267">
        <v>43266</v>
      </c>
      <c r="AT1298" s="267"/>
      <c r="AU1298" s="267"/>
    </row>
    <row r="1299" spans="1:47" x14ac:dyDescent="0.2">
      <c r="A1299" s="273">
        <v>108</v>
      </c>
      <c r="B1299" s="273" t="s">
        <v>479</v>
      </c>
      <c r="C1299" s="274" t="s">
        <v>49</v>
      </c>
      <c r="D1299" s="275" t="s">
        <v>50</v>
      </c>
      <c r="E1299" s="275" t="s">
        <v>50</v>
      </c>
      <c r="F1299" s="274" t="s">
        <v>51</v>
      </c>
      <c r="G1299" s="274" t="s">
        <v>52</v>
      </c>
      <c r="H1299" s="274" t="s">
        <v>53</v>
      </c>
      <c r="I1299" s="275" t="s">
        <v>54</v>
      </c>
      <c r="J1299" s="275" t="s">
        <v>55</v>
      </c>
      <c r="K1299" s="275">
        <v>80111600</v>
      </c>
      <c r="L1299" s="275"/>
      <c r="M1299" s="275"/>
      <c r="N1299" s="275"/>
      <c r="O1299" s="275"/>
      <c r="P1299" s="274" t="s">
        <v>480</v>
      </c>
      <c r="Q1299" s="276">
        <v>8240000</v>
      </c>
      <c r="R1299" s="277">
        <v>3</v>
      </c>
      <c r="S1299" s="276">
        <v>24720000</v>
      </c>
      <c r="T1299" s="274" t="s">
        <v>57</v>
      </c>
      <c r="U1299" s="274" t="s">
        <v>58</v>
      </c>
      <c r="V1299" s="278">
        <v>43280</v>
      </c>
      <c r="W1299" s="277">
        <v>3</v>
      </c>
      <c r="X1299" s="279" t="s">
        <v>3762</v>
      </c>
      <c r="Y1299" s="280">
        <v>43280</v>
      </c>
      <c r="Z1299" s="276">
        <v>24720000</v>
      </c>
      <c r="AA1299" s="275"/>
      <c r="AB1299" s="275"/>
      <c r="AC1299" s="275"/>
      <c r="AD1299" s="275"/>
      <c r="AE1299" s="275">
        <v>0</v>
      </c>
      <c r="AF1299" s="275"/>
      <c r="AG1299" s="275"/>
      <c r="AH1299" s="275"/>
      <c r="AI1299" s="275"/>
      <c r="AJ1299" s="275"/>
      <c r="AK1299" s="275"/>
      <c r="AL1299" s="275"/>
      <c r="AM1299" s="275"/>
      <c r="AN1299" s="275"/>
      <c r="AO1299" s="275"/>
      <c r="AP1299" s="275" t="s">
        <v>3763</v>
      </c>
      <c r="AQ1299" s="275">
        <v>43280</v>
      </c>
      <c r="AR1299" s="275" t="s">
        <v>453</v>
      </c>
      <c r="AS1299" s="275">
        <v>43280</v>
      </c>
      <c r="AT1299" s="275" t="s">
        <v>473</v>
      </c>
      <c r="AU1299" s="275"/>
    </row>
    <row r="1300" spans="1:47" x14ac:dyDescent="0.2">
      <c r="A1300" s="209">
        <v>109</v>
      </c>
      <c r="B1300" s="209" t="s">
        <v>481</v>
      </c>
      <c r="C1300" s="267" t="s">
        <v>49</v>
      </c>
      <c r="D1300" s="267" t="s">
        <v>50</v>
      </c>
      <c r="E1300" s="267" t="s">
        <v>50</v>
      </c>
      <c r="F1300" s="267" t="s">
        <v>51</v>
      </c>
      <c r="G1300" s="267" t="s">
        <v>153</v>
      </c>
      <c r="H1300" s="267" t="s">
        <v>153</v>
      </c>
      <c r="I1300" s="267" t="s">
        <v>54</v>
      </c>
      <c r="J1300" s="267" t="s">
        <v>55</v>
      </c>
      <c r="K1300" s="267">
        <v>80111600</v>
      </c>
      <c r="L1300" s="267"/>
      <c r="M1300" s="267"/>
      <c r="N1300" s="267"/>
      <c r="O1300" s="267"/>
      <c r="P1300" s="267" t="s">
        <v>482</v>
      </c>
      <c r="Q1300" s="256">
        <v>18076157</v>
      </c>
      <c r="R1300" s="267">
        <v>1</v>
      </c>
      <c r="S1300" s="256">
        <v>18076157</v>
      </c>
      <c r="T1300" s="267" t="s">
        <v>57</v>
      </c>
      <c r="U1300" s="267" t="s">
        <v>58</v>
      </c>
      <c r="V1300" s="268">
        <v>43286</v>
      </c>
      <c r="W1300" s="267">
        <v>5.43</v>
      </c>
      <c r="X1300" s="201" t="s">
        <v>3764</v>
      </c>
      <c r="Y1300" s="281">
        <v>43286</v>
      </c>
      <c r="Z1300" s="256">
        <v>18076157</v>
      </c>
      <c r="AA1300" s="267"/>
      <c r="AB1300" s="204">
        <v>952</v>
      </c>
      <c r="AC1300" s="272">
        <v>43291</v>
      </c>
      <c r="AD1300" s="256">
        <v>18076157</v>
      </c>
      <c r="AE1300" s="269">
        <f>S1300-AD1300</f>
        <v>0</v>
      </c>
      <c r="AF1300" s="209">
        <v>2505</v>
      </c>
      <c r="AG1300" s="267">
        <v>43299</v>
      </c>
      <c r="AH1300" s="256">
        <v>18076157</v>
      </c>
      <c r="AI1300" s="267" t="s">
        <v>3765</v>
      </c>
      <c r="AJ1300" s="271"/>
      <c r="AK1300" s="267"/>
      <c r="AL1300" s="256">
        <v>0</v>
      </c>
      <c r="AM1300" s="256">
        <v>18076157</v>
      </c>
      <c r="AN1300" s="267"/>
      <c r="AO1300" s="267"/>
      <c r="AP1300" s="267" t="s">
        <v>483</v>
      </c>
      <c r="AQ1300" s="267">
        <v>43286</v>
      </c>
      <c r="AR1300" s="267" t="s">
        <v>453</v>
      </c>
      <c r="AS1300" s="267">
        <v>43286</v>
      </c>
      <c r="AT1300" s="267" t="s">
        <v>60</v>
      </c>
      <c r="AU1300" s="267"/>
    </row>
    <row r="1301" spans="1:47" x14ac:dyDescent="0.2">
      <c r="A1301" s="20"/>
      <c r="B1301" s="20"/>
      <c r="C1301" s="18"/>
      <c r="D1301" s="18"/>
      <c r="E1301" s="18"/>
      <c r="F1301" s="18"/>
      <c r="G1301" s="18"/>
      <c r="H1301" s="18"/>
      <c r="I1301" s="18"/>
      <c r="J1301" s="18"/>
      <c r="K1301" s="18"/>
      <c r="L1301" s="18"/>
      <c r="M1301" s="18"/>
      <c r="N1301" s="18"/>
      <c r="O1301" s="18"/>
      <c r="P1301" s="18"/>
      <c r="Q1301" s="282"/>
      <c r="R1301" s="18"/>
      <c r="S1301" s="282"/>
      <c r="T1301" s="18"/>
      <c r="U1301" s="18"/>
      <c r="V1301" s="283"/>
      <c r="W1301" s="18"/>
      <c r="X1301" s="284"/>
      <c r="Y1301" s="283"/>
      <c r="Z1301" s="282"/>
      <c r="AA1301" s="18"/>
      <c r="AB1301" s="20"/>
      <c r="AC1301" s="283"/>
      <c r="AD1301" s="282"/>
      <c r="AE1301" s="18"/>
      <c r="AF1301" s="20"/>
      <c r="AG1301" s="18"/>
      <c r="AH1301" s="18"/>
      <c r="AI1301" s="18"/>
      <c r="AJ1301" s="20"/>
      <c r="AK1301" s="18"/>
      <c r="AL1301" s="282"/>
      <c r="AM1301" s="282"/>
      <c r="AN1301" s="18"/>
      <c r="AO1301" s="18"/>
      <c r="AP1301" s="18"/>
      <c r="AQ1301" s="18"/>
      <c r="AR1301" s="18"/>
      <c r="AS1301" s="18"/>
      <c r="AT1301" s="18"/>
      <c r="AU1301" s="18"/>
    </row>
    <row r="1302" spans="1:47" x14ac:dyDescent="0.2">
      <c r="A1302" s="209"/>
      <c r="B1302" s="209"/>
      <c r="C1302" s="97"/>
      <c r="D1302" s="97"/>
      <c r="E1302" s="97"/>
      <c r="F1302" s="97"/>
      <c r="G1302" s="97"/>
      <c r="H1302" s="97"/>
      <c r="I1302" s="97"/>
      <c r="J1302" s="97"/>
      <c r="K1302" s="97"/>
      <c r="L1302" s="97"/>
      <c r="M1302" s="97"/>
      <c r="N1302" s="97"/>
      <c r="O1302" s="97"/>
      <c r="P1302" s="97"/>
      <c r="Q1302" s="198"/>
      <c r="R1302" s="97"/>
      <c r="S1302" s="282"/>
      <c r="T1302" s="97"/>
      <c r="U1302" s="97"/>
      <c r="V1302" s="202"/>
      <c r="W1302" s="97"/>
      <c r="X1302" s="203"/>
      <c r="Y1302" s="202"/>
      <c r="Z1302" s="198"/>
      <c r="AA1302" s="97"/>
      <c r="AB1302" s="209"/>
      <c r="AC1302" s="268"/>
      <c r="AD1302" s="198"/>
      <c r="AE1302" s="269"/>
      <c r="AF1302" s="209"/>
      <c r="AG1302" s="186"/>
      <c r="AH1302" s="198"/>
      <c r="AI1302" s="97"/>
      <c r="AJ1302" s="192"/>
      <c r="AK1302" s="97"/>
      <c r="AL1302" s="198"/>
      <c r="AM1302" s="198"/>
      <c r="AN1302" s="97"/>
      <c r="AO1302" s="97"/>
      <c r="AP1302" s="97"/>
      <c r="AQ1302" s="97"/>
      <c r="AR1302" s="97"/>
      <c r="AS1302" s="97"/>
      <c r="AT1302" s="97"/>
      <c r="AU1302" s="97"/>
    </row>
    <row r="1303" spans="1:47" x14ac:dyDescent="0.2">
      <c r="A1303" s="209"/>
      <c r="B1303" s="209"/>
      <c r="C1303" s="97"/>
      <c r="D1303" s="97"/>
      <c r="E1303" s="97"/>
      <c r="F1303" s="97"/>
      <c r="G1303" s="97"/>
      <c r="H1303" s="97"/>
      <c r="I1303" s="97"/>
      <c r="J1303" s="97"/>
      <c r="K1303" s="97"/>
      <c r="L1303" s="97"/>
      <c r="M1303" s="97"/>
      <c r="N1303" s="97"/>
      <c r="O1303" s="97"/>
      <c r="P1303" s="97"/>
      <c r="Q1303" s="198"/>
      <c r="R1303" s="97"/>
      <c r="S1303" s="256">
        <f>SUM(S1155:S1301)</f>
        <v>3657000000.2856064</v>
      </c>
      <c r="T1303" s="97"/>
      <c r="U1303" s="97"/>
      <c r="V1303" s="202"/>
      <c r="W1303" s="97"/>
      <c r="X1303" s="203"/>
      <c r="Y1303" s="202"/>
      <c r="Z1303" s="198">
        <f>SUM(Z1155:Z1302)</f>
        <v>3388268679</v>
      </c>
      <c r="AA1303" s="97"/>
      <c r="AB1303" s="209"/>
      <c r="AC1303" s="268"/>
      <c r="AD1303" s="285">
        <f>SUM(AD1156:AD1302)</f>
        <v>3155733495</v>
      </c>
      <c r="AE1303" s="269"/>
      <c r="AF1303" s="286"/>
      <c r="AG1303" s="287"/>
      <c r="AH1303" s="287">
        <f>SUM(AH1155:AH1302)</f>
        <v>2592914679</v>
      </c>
      <c r="AI1303" s="287"/>
      <c r="AJ1303" s="192"/>
      <c r="AK1303" s="97"/>
      <c r="AL1303" s="285">
        <f>SUM(AL1155:AL1302)</f>
        <v>1282069693</v>
      </c>
      <c r="AM1303" s="285">
        <f>SUM(AM1156:AM1302)</f>
        <v>1310844986</v>
      </c>
      <c r="AN1303" s="97"/>
      <c r="AO1303" s="97"/>
      <c r="AP1303" s="97"/>
      <c r="AQ1303" s="97"/>
      <c r="AR1303" s="97"/>
      <c r="AS1303" s="97"/>
      <c r="AT1303" s="97"/>
      <c r="AU1303" s="97"/>
    </row>
  </sheetData>
  <mergeCells count="49">
    <mergeCell ref="AT1103:AT1104"/>
    <mergeCell ref="AU1103:AU1104"/>
    <mergeCell ref="AG1109:AG1110"/>
    <mergeCell ref="AI1109:AI1110"/>
    <mergeCell ref="AJ1109:AJ1110"/>
    <mergeCell ref="AB1117:AB1118"/>
    <mergeCell ref="AG1117:AG1118"/>
    <mergeCell ref="AI1117:AI1118"/>
    <mergeCell ref="AJ1117:AJ1118"/>
    <mergeCell ref="AK1103:AK1104"/>
    <mergeCell ref="AN1103:AN1104"/>
    <mergeCell ref="AP1103:AP1104"/>
    <mergeCell ref="AQ1103:AQ1104"/>
    <mergeCell ref="AR1103:AR1104"/>
    <mergeCell ref="AS1103:AS1104"/>
    <mergeCell ref="AB1103:AB1104"/>
    <mergeCell ref="AC1103:AC1104"/>
    <mergeCell ref="AD1103:AD1104"/>
    <mergeCell ref="AE1103:AE1104"/>
    <mergeCell ref="AI1103:AI1104"/>
    <mergeCell ref="AJ1103:AJ1104"/>
    <mergeCell ref="V1103:V1104"/>
    <mergeCell ref="W1103:W1104"/>
    <mergeCell ref="X1103:X1104"/>
    <mergeCell ref="Y1103:Y1104"/>
    <mergeCell ref="Z1103:Z1104"/>
    <mergeCell ref="AA1103:AA1104"/>
    <mergeCell ref="AL1101:AL1102"/>
    <mergeCell ref="AM1101:AM1102"/>
    <mergeCell ref="AN1101:AN1102"/>
    <mergeCell ref="AP1101:AP1102"/>
    <mergeCell ref="AQ1101:AQ1102"/>
    <mergeCell ref="Q1103:Q1104"/>
    <mergeCell ref="R1103:R1104"/>
    <mergeCell ref="S1103:S1104"/>
    <mergeCell ref="T1103:T1104"/>
    <mergeCell ref="U1103:U1104"/>
    <mergeCell ref="AF1101:AF1102"/>
    <mergeCell ref="AG1101:AG1102"/>
    <mergeCell ref="AH1101:AH1102"/>
    <mergeCell ref="AI1101:AI1102"/>
    <mergeCell ref="AJ1101:AJ1102"/>
    <mergeCell ref="AK1101:AK1102"/>
    <mergeCell ref="AB1082:AB1083"/>
    <mergeCell ref="AA1101:AA1102"/>
    <mergeCell ref="AB1101:AB1102"/>
    <mergeCell ref="AC1101:AC1102"/>
    <mergeCell ref="AD1101:AD1102"/>
    <mergeCell ref="AE1101:AE1102"/>
  </mergeCells>
  <conditionalFormatting sqref="P1088">
    <cfRule type="duplicateValues" dxfId="0" priority="1"/>
  </conditionalFormatting>
  <dataValidations disablePrompts="1" count="7">
    <dataValidation type="list" allowBlank="1" showInputMessage="1" showErrorMessage="1" sqref="F144:F292">
      <formula1>$B$647:$B$654</formula1>
    </dataValidation>
    <dataValidation type="list" allowBlank="1" showInputMessage="1" showErrorMessage="1" sqref="J146:J261 J273:J292 J270 J263:J265">
      <formula1>$O$623:$O$627</formula1>
    </dataValidation>
    <dataValidation type="list" allowBlank="1" showInputMessage="1" showErrorMessage="1" sqref="I146:I261 I273:I292 I270 I263:I265">
      <formula1>$N$623:$N$625</formula1>
    </dataValidation>
    <dataValidation type="list" allowBlank="1" showInputMessage="1" showErrorMessage="1" sqref="J354">
      <formula1>$P$814:$P$818</formula1>
    </dataValidation>
    <dataValidation allowBlank="1" showErrorMessage="1" sqref="G500 G493 G902 G798 G847:G854 G928 G980"/>
    <dataValidation type="list" allowBlank="1" showInputMessage="1" showErrorMessage="1" sqref="D990:D1083 D1132:D1139 D1127:D1129 D1124 D1116:D1119 D1103:D1104 D1106:D1112 D1089:D1093 D1142:D1147 D1149:D1152">
      <formula1>$E$503:$E$512</formula1>
    </dataValidation>
    <dataValidation type="list" allowBlank="1" showInputMessage="1" showErrorMessage="1" sqref="D1099:D1102 D1130:D1131 D1126 D1121:D1122 D1105 D1113:D1115 D1148">
      <formula1>$E$502:$E$511</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2018-08-16T19:59:53Z</dcterms:created>
  <dcterms:modified xsi:type="dcterms:W3CDTF">2018-08-16T20:52:28Z</dcterms:modified>
</cp:coreProperties>
</file>