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730" tabRatio="553" firstSheet="2" activeTab="2"/>
  </bookViews>
  <sheets>
    <sheet name="DIFERENCIAS" sheetId="52" state="hidden" r:id="rId1"/>
    <sheet name="SOPORTE REPROGRAMACIÓN $ 2017" sheetId="53" state="hidden" r:id="rId2"/>
    <sheet name="MAR- 2024"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'MAR- 2024'!$A:$AL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1" i="93" l="1"/>
  <c r="AJ65" i="93"/>
  <c r="AJ64" i="93"/>
  <c r="AI58" i="93"/>
  <c r="AJ44" i="93"/>
  <c r="AG99" i="93" l="1"/>
  <c r="AG98" i="93"/>
  <c r="AG97" i="93"/>
  <c r="AG96" i="93"/>
  <c r="AG95" i="93"/>
  <c r="AF99" i="93"/>
  <c r="AG81" i="93"/>
  <c r="AG80" i="93"/>
  <c r="AF65" i="93"/>
  <c r="AG64" i="93"/>
  <c r="AF64" i="93"/>
  <c r="AG63" i="93"/>
  <c r="AG62" i="93"/>
  <c r="AF62" i="93"/>
  <c r="AF61" i="93"/>
  <c r="AF58" i="93"/>
  <c r="AG44" i="93"/>
  <c r="AF43" i="93"/>
  <c r="AG42" i="93"/>
  <c r="AF42" i="93"/>
  <c r="AG41" i="93"/>
  <c r="AF41" i="93"/>
  <c r="AF27" i="93"/>
  <c r="AG25" i="93"/>
  <c r="AF25" i="93"/>
  <c r="AG22" i="93"/>
  <c r="AF22" i="93"/>
  <c r="AG21" i="93"/>
  <c r="AG20" i="93"/>
  <c r="AF20" i="93"/>
  <c r="AG19" i="93"/>
  <c r="AF19" i="93"/>
  <c r="AF96" i="93" l="1"/>
  <c r="AF95" i="93"/>
  <c r="AF81" i="93"/>
  <c r="AF80" i="93"/>
  <c r="AG67" i="93"/>
  <c r="AF63" i="93"/>
  <c r="AF44" i="93"/>
  <c r="AI41" i="93"/>
  <c r="AI40" i="93"/>
  <c r="AJ62" i="93" l="1"/>
  <c r="AE80" i="93"/>
  <c r="AK22" i="93"/>
  <c r="AJ27" i="93"/>
  <c r="AJ26" i="93"/>
  <c r="AL22" i="93"/>
  <c r="AJ22" i="93"/>
  <c r="AI22" i="93"/>
  <c r="AJ17" i="93"/>
  <c r="AD80" i="93" l="1"/>
  <c r="Z41" i="93"/>
  <c r="AB99" i="93"/>
  <c r="AA99" i="93"/>
  <c r="AB98" i="93"/>
  <c r="AA98" i="93"/>
  <c r="AB97" i="93"/>
  <c r="AA97" i="93"/>
  <c r="AB96" i="93"/>
  <c r="AA96" i="93"/>
  <c r="AB95" i="93"/>
  <c r="AA95" i="93"/>
  <c r="AB81" i="93"/>
  <c r="AA81" i="93"/>
  <c r="AB80" i="93"/>
  <c r="AA80" i="93"/>
  <c r="AB64" i="93"/>
  <c r="AA64" i="93"/>
  <c r="AB63" i="93"/>
  <c r="AA63" i="93"/>
  <c r="AA58" i="93"/>
  <c r="AB65" i="93"/>
  <c r="AB62" i="93"/>
  <c r="AA62" i="93"/>
  <c r="AB61" i="93"/>
  <c r="AA61" i="93"/>
  <c r="AB59" i="93"/>
  <c r="AB58" i="93"/>
  <c r="AB44" i="93"/>
  <c r="AA44" i="93"/>
  <c r="AB43" i="93"/>
  <c r="AA43" i="93"/>
  <c r="AB42" i="93"/>
  <c r="AA42" i="93"/>
  <c r="AB41" i="93"/>
  <c r="AA41" i="93"/>
  <c r="AB21" i="93"/>
  <c r="AB27" i="93"/>
  <c r="AA27" i="93"/>
  <c r="AB25" i="93"/>
  <c r="AA25" i="93"/>
  <c r="AA21" i="93"/>
  <c r="AB20" i="93"/>
  <c r="AA20" i="93"/>
  <c r="AB19" i="93"/>
  <c r="AA19" i="93"/>
  <c r="AB18" i="93"/>
  <c r="AA18" i="93"/>
  <c r="AA65" i="93" l="1"/>
  <c r="AF98" i="93" l="1"/>
  <c r="AF97" i="93"/>
  <c r="AB67" i="93"/>
  <c r="M67" i="93"/>
  <c r="L67" i="93"/>
  <c r="AF59" i="93"/>
  <c r="AF67" i="93"/>
  <c r="AF21" i="93"/>
  <c r="AF28" i="93"/>
  <c r="AI79" i="93"/>
  <c r="AL65" i="93" l="1"/>
  <c r="AK65" i="93"/>
  <c r="AI65" i="93"/>
  <c r="Z80" i="93"/>
  <c r="AJ80" i="93" s="1"/>
  <c r="Y80" i="93"/>
  <c r="AI80" i="93" s="1"/>
  <c r="AI59" i="93"/>
  <c r="AB45" i="93"/>
  <c r="AI18" i="93"/>
  <c r="AB28" i="93"/>
  <c r="Z27" i="93"/>
  <c r="AJ23" i="93"/>
  <c r="W99" i="93"/>
  <c r="W100" i="93" s="1"/>
  <c r="V99" i="93"/>
  <c r="W98" i="93"/>
  <c r="V98" i="93"/>
  <c r="W96" i="93"/>
  <c r="V96" i="93"/>
  <c r="W95" i="93"/>
  <c r="V95" i="93"/>
  <c r="V81" i="93"/>
  <c r="W81" i="93"/>
  <c r="W80" i="93"/>
  <c r="W82" i="93" s="1"/>
  <c r="V80" i="93"/>
  <c r="V82" i="93" s="1"/>
  <c r="V59" i="93"/>
  <c r="V58" i="93"/>
  <c r="W64" i="93"/>
  <c r="AL64" i="93" s="1"/>
  <c r="V64" i="93"/>
  <c r="AK64" i="93" s="1"/>
  <c r="W63" i="93"/>
  <c r="AL63" i="93" s="1"/>
  <c r="W62" i="93"/>
  <c r="V62" i="93"/>
  <c r="W61" i="93"/>
  <c r="V61" i="93"/>
  <c r="W60" i="93"/>
  <c r="V60" i="93"/>
  <c r="W59" i="93"/>
  <c r="W58" i="93"/>
  <c r="W67" i="93" s="1"/>
  <c r="W44" i="93"/>
  <c r="AL44" i="93" s="1"/>
  <c r="V44" i="93"/>
  <c r="AK44" i="93" s="1"/>
  <c r="W43" i="93"/>
  <c r="V43" i="93"/>
  <c r="W42" i="93"/>
  <c r="V42" i="93"/>
  <c r="W41" i="93"/>
  <c r="V41" i="93"/>
  <c r="V45" i="93" s="1"/>
  <c r="W27" i="93"/>
  <c r="V27" i="93"/>
  <c r="W25" i="93"/>
  <c r="V25" i="93"/>
  <c r="W21" i="93"/>
  <c r="AL21" i="93" s="1"/>
  <c r="V21" i="93"/>
  <c r="W20" i="93"/>
  <c r="V20" i="93"/>
  <c r="W19" i="93"/>
  <c r="V19" i="93"/>
  <c r="W18" i="93"/>
  <c r="V18" i="93"/>
  <c r="AJ43" i="93"/>
  <c r="V97" i="93"/>
  <c r="AK97" i="93" s="1"/>
  <c r="AG100" i="93"/>
  <c r="AF100" i="93"/>
  <c r="AB100" i="93"/>
  <c r="M100" i="93"/>
  <c r="L100" i="93"/>
  <c r="AJ99" i="93"/>
  <c r="AI99" i="93"/>
  <c r="R99" i="93"/>
  <c r="Q99" i="93"/>
  <c r="AJ98" i="93"/>
  <c r="AI98" i="93"/>
  <c r="R98" i="93"/>
  <c r="Q98" i="93"/>
  <c r="AK98" i="93" s="1"/>
  <c r="AJ97" i="93"/>
  <c r="AI97" i="93"/>
  <c r="W97" i="93"/>
  <c r="R97" i="93"/>
  <c r="AL97" i="93" s="1"/>
  <c r="Q97" i="93"/>
  <c r="AL96" i="93"/>
  <c r="AJ96" i="93"/>
  <c r="AI96" i="93"/>
  <c r="R96" i="93"/>
  <c r="Q96" i="93"/>
  <c r="AK96" i="93" s="1"/>
  <c r="AJ95" i="93"/>
  <c r="AI95" i="93"/>
  <c r="AA100" i="93"/>
  <c r="R95" i="93"/>
  <c r="AL95" i="93" s="1"/>
  <c r="Q95" i="93"/>
  <c r="AL94" i="93"/>
  <c r="AK94" i="93"/>
  <c r="AJ94" i="93"/>
  <c r="AI94" i="93"/>
  <c r="H94" i="93"/>
  <c r="E94" i="93"/>
  <c r="AG82" i="93"/>
  <c r="AF82" i="93"/>
  <c r="AB82" i="93"/>
  <c r="AA82" i="93"/>
  <c r="R82" i="93"/>
  <c r="Q82" i="93"/>
  <c r="M82" i="93"/>
  <c r="AL81" i="93"/>
  <c r="AI81" i="93"/>
  <c r="L81" i="93"/>
  <c r="L82" i="93"/>
  <c r="AL80" i="93"/>
  <c r="L80" i="93"/>
  <c r="AK80" i="93"/>
  <c r="AL79" i="93"/>
  <c r="AK79" i="93"/>
  <c r="AJ79" i="93"/>
  <c r="H79" i="93"/>
  <c r="E79" i="93"/>
  <c r="AI64" i="93"/>
  <c r="AJ63" i="93"/>
  <c r="AI63" i="93"/>
  <c r="V63" i="93"/>
  <c r="AK63" i="93" s="1"/>
  <c r="AL62" i="93"/>
  <c r="AI62" i="93"/>
  <c r="AK62" i="93"/>
  <c r="R62" i="93"/>
  <c r="Q62" i="93"/>
  <c r="AJ61" i="93"/>
  <c r="AI61" i="93"/>
  <c r="R61" i="93"/>
  <c r="AL61" i="93" s="1"/>
  <c r="Q61" i="93"/>
  <c r="AK61" i="93" s="1"/>
  <c r="AJ60" i="93"/>
  <c r="AI60" i="93"/>
  <c r="R60" i="93"/>
  <c r="Q60" i="93"/>
  <c r="AK60" i="93" s="1"/>
  <c r="AJ59" i="93"/>
  <c r="AA59" i="93"/>
  <c r="AA67" i="93" s="1"/>
  <c r="R59" i="93"/>
  <c r="AL59" i="93" s="1"/>
  <c r="Q59" i="93"/>
  <c r="AJ58" i="93"/>
  <c r="R58" i="93"/>
  <c r="Q58" i="93"/>
  <c r="AL57" i="93"/>
  <c r="AK57" i="93"/>
  <c r="AJ57" i="93"/>
  <c r="AI57" i="93"/>
  <c r="H57" i="93"/>
  <c r="E57" i="93"/>
  <c r="AG45" i="93"/>
  <c r="AF45" i="93"/>
  <c r="AA45" i="93"/>
  <c r="M45" i="93"/>
  <c r="L45" i="93"/>
  <c r="AI44" i="93"/>
  <c r="R43" i="93"/>
  <c r="Q43" i="93"/>
  <c r="AK43" i="93" s="1"/>
  <c r="AJ42" i="93"/>
  <c r="AI42" i="93"/>
  <c r="R42" i="93"/>
  <c r="AL42" i="93" s="1"/>
  <c r="Q42" i="93"/>
  <c r="AK42" i="93" s="1"/>
  <c r="AJ41" i="93"/>
  <c r="R41" i="93"/>
  <c r="Q41" i="93"/>
  <c r="AK41" i="93" s="1"/>
  <c r="AL40" i="93"/>
  <c r="AK40" i="93"/>
  <c r="AJ40" i="93"/>
  <c r="H40" i="93"/>
  <c r="E40" i="93"/>
  <c r="AG28" i="93"/>
  <c r="AA28" i="93"/>
  <c r="M28" i="93"/>
  <c r="AI27" i="93"/>
  <c r="R27" i="93"/>
  <c r="AL27" i="93" s="1"/>
  <c r="Q27" i="93"/>
  <c r="L27" i="93"/>
  <c r="AK27" i="93" s="1"/>
  <c r="AL26" i="93"/>
  <c r="AK26" i="93"/>
  <c r="AI26" i="93"/>
  <c r="AJ25" i="93"/>
  <c r="AI25" i="93"/>
  <c r="R25" i="93"/>
  <c r="AL25" i="93" s="1"/>
  <c r="Q25" i="93"/>
  <c r="AL24" i="93"/>
  <c r="AK24" i="93"/>
  <c r="AJ24" i="93"/>
  <c r="AI24" i="93"/>
  <c r="AL23" i="93"/>
  <c r="AK23" i="93"/>
  <c r="AI23" i="93"/>
  <c r="AK21" i="93"/>
  <c r="AJ21" i="93"/>
  <c r="AI21" i="93"/>
  <c r="AJ20" i="93"/>
  <c r="AI20" i="93"/>
  <c r="R20" i="93"/>
  <c r="AL20" i="93" s="1"/>
  <c r="Q20" i="93"/>
  <c r="AK20" i="93" s="1"/>
  <c r="AJ19" i="93"/>
  <c r="AI19" i="93"/>
  <c r="R19" i="93"/>
  <c r="AL19" i="93" s="1"/>
  <c r="Q19" i="93"/>
  <c r="AK19" i="93"/>
  <c r="AJ18" i="93"/>
  <c r="R18" i="93"/>
  <c r="R28" i="93" s="1"/>
  <c r="Q18" i="93"/>
  <c r="AK18" i="93" s="1"/>
  <c r="AL17" i="93"/>
  <c r="AK17" i="93"/>
  <c r="AI17" i="93"/>
  <c r="H17" i="93"/>
  <c r="E17" i="93"/>
  <c r="F72" i="53"/>
  <c r="Q67" i="53"/>
  <c r="O67" i="53"/>
  <c r="M67" i="53"/>
  <c r="K67" i="53"/>
  <c r="I67" i="53"/>
  <c r="H67" i="53"/>
  <c r="F67" i="53"/>
  <c r="Q66" i="53"/>
  <c r="P66" i="53"/>
  <c r="P67" i="53" s="1"/>
  <c r="N66" i="53"/>
  <c r="N67" i="53" s="1"/>
  <c r="J66" i="53"/>
  <c r="J67" i="53" s="1"/>
  <c r="O59" i="53"/>
  <c r="M59" i="53"/>
  <c r="K59" i="53"/>
  <c r="I59" i="53"/>
  <c r="H59" i="53"/>
  <c r="F59" i="53"/>
  <c r="R58" i="53"/>
  <c r="Q58" i="53"/>
  <c r="P58" i="53"/>
  <c r="N58" i="53"/>
  <c r="L58" i="53"/>
  <c r="J58" i="53"/>
  <c r="Q57" i="53"/>
  <c r="Q59" i="53" s="1"/>
  <c r="P57" i="53"/>
  <c r="P59" i="53" s="1"/>
  <c r="L57" i="53"/>
  <c r="L59" i="53" s="1"/>
  <c r="J57" i="53"/>
  <c r="J59" i="53" s="1"/>
  <c r="O50" i="53"/>
  <c r="M50" i="53"/>
  <c r="K50" i="53"/>
  <c r="I50" i="53"/>
  <c r="H50" i="53"/>
  <c r="F50" i="53"/>
  <c r="Q49" i="53"/>
  <c r="J49" i="53"/>
  <c r="P49" i="53" s="1"/>
  <c r="Q48" i="53"/>
  <c r="Q50" i="53" s="1"/>
  <c r="N48" i="53"/>
  <c r="J48" i="53"/>
  <c r="L48" i="53" s="1"/>
  <c r="O40" i="53"/>
  <c r="M40" i="53"/>
  <c r="K40" i="53"/>
  <c r="I40" i="53"/>
  <c r="H40" i="53"/>
  <c r="F40" i="53"/>
  <c r="Q39" i="53"/>
  <c r="J39" i="53"/>
  <c r="P39" i="53" s="1"/>
  <c r="R38" i="53"/>
  <c r="Q38" i="53"/>
  <c r="P38" i="53"/>
  <c r="N38" i="53"/>
  <c r="L38" i="53"/>
  <c r="J38" i="53"/>
  <c r="Q37" i="53"/>
  <c r="Q40" i="53" s="1"/>
  <c r="P37" i="53"/>
  <c r="P40" i="53" s="1"/>
  <c r="L37" i="53"/>
  <c r="J37" i="53"/>
  <c r="N37" i="53" s="1"/>
  <c r="O36" i="53"/>
  <c r="M36" i="53"/>
  <c r="K36" i="53"/>
  <c r="I36" i="53"/>
  <c r="H36" i="53"/>
  <c r="F36" i="53"/>
  <c r="Q35" i="53"/>
  <c r="J35" i="53"/>
  <c r="P35" i="53" s="1"/>
  <c r="Q34" i="53"/>
  <c r="N34" i="53"/>
  <c r="L34" i="53"/>
  <c r="J34" i="53"/>
  <c r="P34" i="53" s="1"/>
  <c r="R34" i="53" s="1"/>
  <c r="Q33" i="53"/>
  <c r="Q36" i="53" s="1"/>
  <c r="P33" i="53"/>
  <c r="N33" i="53"/>
  <c r="J33" i="53"/>
  <c r="J36" i="53" s="1"/>
  <c r="O32" i="53"/>
  <c r="M32" i="53"/>
  <c r="K32" i="53"/>
  <c r="I32" i="53"/>
  <c r="H32" i="53"/>
  <c r="F32" i="53"/>
  <c r="R31" i="53"/>
  <c r="Q31" i="53"/>
  <c r="P31" i="53"/>
  <c r="N31" i="53"/>
  <c r="L31" i="53"/>
  <c r="J31" i="53"/>
  <c r="Q30" i="53"/>
  <c r="Q32" i="53" s="1"/>
  <c r="P30" i="53"/>
  <c r="P32" i="53" s="1"/>
  <c r="J30" i="53"/>
  <c r="L30" i="53" s="1"/>
  <c r="O21" i="53"/>
  <c r="M21" i="53"/>
  <c r="K21" i="53"/>
  <c r="I21" i="53"/>
  <c r="H21" i="53"/>
  <c r="F21" i="53"/>
  <c r="F69" i="53" s="1"/>
  <c r="Q20" i="53"/>
  <c r="P20" i="53"/>
  <c r="J20" i="53"/>
  <c r="N20" i="53" s="1"/>
  <c r="Q19" i="53"/>
  <c r="N19" i="53"/>
  <c r="L19" i="53"/>
  <c r="J19" i="53"/>
  <c r="P19" i="53" s="1"/>
  <c r="R19" i="53" s="1"/>
  <c r="Q18" i="53"/>
  <c r="P18" i="53"/>
  <c r="N18" i="53"/>
  <c r="J18" i="53"/>
  <c r="L18" i="53" s="1"/>
  <c r="R18" i="53" s="1"/>
  <c r="Q17" i="53"/>
  <c r="J17" i="53"/>
  <c r="L17" i="53" s="1"/>
  <c r="Q16" i="53"/>
  <c r="Q21" i="53" s="1"/>
  <c r="Q69" i="53" s="1"/>
  <c r="P16" i="53"/>
  <c r="J16" i="53"/>
  <c r="N16" i="53" s="1"/>
  <c r="B9" i="52"/>
  <c r="C9" i="52" s="1"/>
  <c r="C8" i="52"/>
  <c r="C7" i="52"/>
  <c r="C6" i="52"/>
  <c r="C5" i="52"/>
  <c r="C4" i="52"/>
  <c r="C3" i="52"/>
  <c r="C2" i="52"/>
  <c r="AK81" i="93"/>
  <c r="AK58" i="93" l="1"/>
  <c r="AK67" i="93" s="1"/>
  <c r="AK25" i="93"/>
  <c r="R67" i="93"/>
  <c r="R100" i="93"/>
  <c r="AL41" i="93"/>
  <c r="Q45" i="93"/>
  <c r="AL18" i="93"/>
  <c r="AK59" i="93"/>
  <c r="W45" i="93"/>
  <c r="V100" i="93"/>
  <c r="Q28" i="93"/>
  <c r="AL99" i="93"/>
  <c r="AK99" i="93"/>
  <c r="AK100" i="93" s="1"/>
  <c r="AK95" i="93"/>
  <c r="V28" i="93"/>
  <c r="W28" i="93"/>
  <c r="L28" i="93"/>
  <c r="R45" i="93"/>
  <c r="AL60" i="93"/>
  <c r="N21" i="53"/>
  <c r="L32" i="53"/>
  <c r="N36" i="53"/>
  <c r="P36" i="53"/>
  <c r="Q100" i="93"/>
  <c r="N30" i="53"/>
  <c r="N32" i="53" s="1"/>
  <c r="L33" i="53"/>
  <c r="P48" i="53"/>
  <c r="P50" i="53" s="1"/>
  <c r="N57" i="53"/>
  <c r="N59" i="53" s="1"/>
  <c r="L66" i="53"/>
  <c r="AL58" i="93"/>
  <c r="N17" i="53"/>
  <c r="R17" i="53" s="1"/>
  <c r="R37" i="53"/>
  <c r="L39" i="53"/>
  <c r="L40" i="53" s="1"/>
  <c r="J40" i="53"/>
  <c r="AL43" i="93"/>
  <c r="AL45" i="93" s="1"/>
  <c r="L16" i="53"/>
  <c r="P17" i="53"/>
  <c r="P21" i="53" s="1"/>
  <c r="L20" i="53"/>
  <c r="R20" i="53" s="1"/>
  <c r="J21" i="53"/>
  <c r="L35" i="53"/>
  <c r="R35" i="53" s="1"/>
  <c r="N39" i="53"/>
  <c r="N40" i="53" s="1"/>
  <c r="L49" i="53"/>
  <c r="J50" i="53"/>
  <c r="V67" i="93"/>
  <c r="J32" i="53"/>
  <c r="N35" i="53"/>
  <c r="N49" i="53"/>
  <c r="N50" i="53" s="1"/>
  <c r="AL98" i="93"/>
  <c r="AL100" i="93" s="1"/>
  <c r="Q67" i="93"/>
  <c r="AL82" i="93"/>
  <c r="AK82" i="93"/>
  <c r="AK45" i="93"/>
  <c r="AL28" i="93"/>
  <c r="AK28" i="93"/>
  <c r="AL67" i="93" l="1"/>
  <c r="R49" i="53"/>
  <c r="R57" i="53"/>
  <c r="R59" i="53" s="1"/>
  <c r="T59" i="53" s="1"/>
  <c r="L36" i="53"/>
  <c r="R33" i="53"/>
  <c r="R36" i="53" s="1"/>
  <c r="T36" i="53" s="1"/>
  <c r="R39" i="53"/>
  <c r="R30" i="53"/>
  <c r="R32" i="53" s="1"/>
  <c r="T32" i="53" s="1"/>
  <c r="R40" i="53"/>
  <c r="T40" i="53" s="1"/>
  <c r="L50" i="53"/>
  <c r="L21" i="53"/>
  <c r="R16" i="53"/>
  <c r="R21" i="53" s="1"/>
  <c r="R66" i="53"/>
  <c r="R67" i="53" s="1"/>
  <c r="T67" i="53" s="1"/>
  <c r="L67" i="53"/>
  <c r="R48" i="53"/>
  <c r="R50" i="53" s="1"/>
  <c r="T50" i="53" s="1"/>
  <c r="T21" i="53" l="1"/>
  <c r="R69" i="53"/>
  <c r="S69" i="53" s="1"/>
</calcChain>
</file>

<file path=xl/comments1.xml><?xml version="1.0" encoding="utf-8"?>
<comments xmlns="http://schemas.openxmlformats.org/spreadsheetml/2006/main">
  <authors>
    <author>Adriana Gomez Martinez</author>
  </authors>
  <commentList>
    <comment ref="J40" authorId="0" shapeId="0">
      <text>
        <r>
          <rPr>
            <b/>
            <sz val="9"/>
            <color indexed="81"/>
            <rFont val="Tahoma"/>
            <family val="2"/>
          </rPr>
          <t>Adriana Gomez Martinez:</t>
        </r>
        <r>
          <rPr>
            <sz val="9"/>
            <color indexed="81"/>
            <rFont val="Tahoma"/>
            <family val="2"/>
          </rPr>
          <t xml:space="preserve">
</t>
        </r>
      </text>
    </comment>
    <comment ref="J41" authorId="0" shapeId="0">
      <text>
        <r>
          <rPr>
            <b/>
            <sz val="9"/>
            <color indexed="81"/>
            <rFont val="Tahoma"/>
            <family val="2"/>
          </rPr>
          <t>Adriana Gomez Martinez:</t>
        </r>
        <r>
          <rPr>
            <sz val="9"/>
            <color indexed="81"/>
            <rFont val="Tahoma"/>
            <family val="2"/>
          </rPr>
          <t xml:space="preserve">
</t>
        </r>
      </text>
    </comment>
    <comment ref="AI58"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60" authorId="0" shapeId="0">
      <text>
        <r>
          <rPr>
            <b/>
            <sz val="9"/>
            <color indexed="81"/>
            <rFont val="Tahoma"/>
            <family val="2"/>
          </rPr>
          <t>Creciente</t>
        </r>
        <r>
          <rPr>
            <sz val="9"/>
            <color indexed="81"/>
            <rFont val="Tahoma"/>
            <family val="2"/>
          </rPr>
          <t xml:space="preserve">
</t>
        </r>
      </text>
    </comment>
    <comment ref="AJ60" authorId="0" shapeId="0">
      <text>
        <r>
          <rPr>
            <b/>
            <sz val="9"/>
            <color indexed="81"/>
            <rFont val="Tahoma"/>
            <family val="2"/>
          </rPr>
          <t>Creciente</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1"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<sst xmlns="http://schemas.openxmlformats.org/spreadsheetml/2006/main" count="512" uniqueCount="191">
  <si>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</si>
  <si>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</si>
  <si>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</si>
  <si>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</si>
  <si>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</si>
  <si>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</si>
  <si>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</si>
  <si>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</si>
  <si>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</si>
  <si>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</si>
  <si>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</si>
  <si>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</si>
  <si>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</si>
  <si>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</si>
  <si>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</si>
  <si>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</si>
  <si>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</si>
  <si>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</si>
  <si>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</si>
  <si>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</si>
  <si>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</si>
  <si>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</si>
  <si>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</si>
  <si>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</si>
  <si>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</si>
  <si>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</si>
  <si>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</si>
  <si>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</si>
  <si>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</si>
  <si>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</si>
  <si>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</si>
  <si>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</si>
  <si>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</si>
  <si>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</si>
  <si>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</si>
  <si>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</si>
  <si>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</si>
  <si>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</si>
  <si>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</si>
  <si>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</si>
  <si>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</si>
  <si>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</si>
  <si>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</si>
  <si>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</si>
  <si>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</si>
  <si>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</si>
  <si>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</si>
  <si>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</si>
  <si>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</si>
  <si>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</si>
  <si>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</si>
  <si>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</si>
  <si>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</si>
  <si>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</si>
  <si>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</si>
  <si>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</si>
  <si>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</si>
  <si>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</si>
  <si>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</si>
  <si>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</si>
  <si>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</si>
  <si>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</si>
  <si>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</si>
  <si>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</si>
  <si>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</si>
  <si>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</si>
  <si>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</si>
  <si>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</si>
  <si>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</si>
  <si>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</si>
  <si>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</si>
  <si>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</si>
  <si>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</si>
  <si>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</si>
  <si>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</si>
  <si>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</si>
  <si>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</si>
  <si>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</si>
  <si>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</si>
  <si>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</si>
  <si>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</si>
  <si>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</si>
  <si>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</si>
  <si>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</si>
  <si>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</si>
  <si>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</si>
  <si>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</si>
  <si>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</si>
  <si>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</si>
  <si>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</si>
  <si>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</si>
  <si>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</si>
  <si>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</si>
  <si>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</si>
  <si>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</si>
  <si>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</si>
  <si>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</si>
  <si>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</si>
  <si>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</si>
  <si>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</si>
  <si>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</si>
  <si>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</si>
  <si>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</si>
  <si>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</si>
  <si>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</si>
  <si>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</si>
  <si>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</si>
  <si>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</si>
  <si>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</si>
  <si>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</si>
  <si>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</si>
  <si>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</si>
  <si>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</si>
  <si>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</si>
  <si>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</si>
  <si>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</si>
  <si>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</si>
  <si>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</si>
  <si>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</si>
  <si>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</si>
  <si>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</si>
  <si>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</si>
  <si>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</si>
  <si>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</si>
  <si>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</si>
  <si>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</si>
  <si>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</si>
  <si>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</si>
  <si>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</si>
  <si>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</si>
  <si>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</si>
  <si>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</si>
  <si>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</si>
  <si>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</si>
  <si>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</si>
  <si>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</si>
  <si>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</si>
  <si>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</si>
  <si>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</si>
  <si>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</si>
  <si>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</si>
  <si>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</si>
  <si>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</si>
  <si>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</si>
  <si>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</si>
  <si>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</si>
  <si>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</si>
  <si>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</si>
  <si>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</si>
  <si>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</si>
  <si>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</si>
  <si>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</si>
  <si>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</si>
  <si>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</si>
  <si>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</si>
  <si>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</si>
  <si>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</si>
  <si>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</si>
  <si>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</si>
  <si>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</si>
  <si>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</si>
  <si>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</si>
  <si>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</si>
  <si>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</si>
  <si>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</si>
  <si>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</si>
  <si>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</si>
  <si>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</si>
  <si>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</si>
  <si>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</si>
  <si>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</si>
  <si>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</si>
  <si>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</si>
  <si>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</si>
  <si>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</si>
  <si>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</si>
  <si>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</si>
  <si>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</si>
  <si>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</si>
  <si>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</si>
  <si>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</si>
  <si>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</si>
  <si>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</si>
  <si>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</si>
  <si>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</si>
  <si>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</si>
  <si>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</si>
  <si>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</si>
  <si>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</si>
  <si>
    <t>Estructurar 250 proyectos con apoyo técnico, asesoría técnica para expedición de actos de reconocimiento de la Curaduría Pública Social solicitado por la ciudadanía y los que se requieran para Plan Terrazas.</t>
  </si>
  <si>
    <t>FECHA DE CORTE : 31-MARZO-2024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</si>
</sst>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 numFmtId="193" formatCode="###,000"/>
  </numFmts>
  <fonts count="56"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
      <sz val="11"/>
      <color theme="1"/>
      <name val="Arial"/>
      <family val="2"/>
    </font>
    <font>
      <sz val="8"/>
      <color rgb="FF666666"/>
      <name val="Verdana"/>
      <family val="2"/>
    </font>
    <font>
      <b/>
      <sz val="10"/>
      <color theme="1"/>
      <name val="Verdana"/>
      <family val="2"/>
    </font>
    <font>
      <sz val="10"/>
      <color theme="1"/>
      <name val="Verdana"/>
      <family val="2"/>
    </font>
  </fonts>
  <fills count="21">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9" tint="0.39997558519241921"/>
        <bgColor indexed="65"/>
      </patternFill>
    </fill>
    <fill>
      <patternFill patternType="solid">
        <fgColor theme="0"/>
        <bgColor theme="0"/>
      </patternFill>
    </fill>
    <fill>
      <patternFill patternType="solid">
        <fgColor rgb="FFDBE5F1"/>
        <bgColor indexed="64"/>
      </patternFill>
    </fill>
    <fill>
      <patternFill patternType="solid">
        <fgColor rgb="FFF2F2F2"/>
        <bgColor rgb="FFFFFFFF"/>
      </patternFill>
    </fill>
  </fills>
  <borders count="29">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s>
  <cellStyleXfs count="3786">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xf numFmtId="0" fontId="52" fillId="0" borderId="0"/>
    <xf numFmtId="43" fontId="52" fillId="0" borderId="0" applyFont="0" applyFill="0" applyBorder="0" applyAlignment="0" applyProtection="0"/>
    <xf numFmtId="44" fontId="52" fillId="0" borderId="0" applyFont="0" applyFill="0" applyBorder="0" applyAlignment="0" applyProtection="0"/>
    <xf numFmtId="43" fontId="52" fillId="0" borderId="0" applyFont="0" applyFill="0" applyBorder="0" applyAlignment="0" applyProtection="0"/>
    <xf numFmtId="0" fontId="17" fillId="0" borderId="0"/>
    <xf numFmtId="164" fontId="5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53" fillId="18" borderId="27" applyNumberFormat="0" applyAlignment="0" applyProtection="0">
      <alignment horizontal="left" vertical="center" indent="1"/>
    </xf>
    <xf numFmtId="0" fontId="54" fillId="19" borderId="0" applyNumberFormat="0" applyBorder="0" applyProtection="0">
      <alignment horizontal="center" vertical="center"/>
    </xf>
    <xf numFmtId="49" fontId="55" fillId="0" borderId="0" applyFill="0" applyBorder="0" applyProtection="0">
      <alignment horizontal="left" vertical="center"/>
    </xf>
    <xf numFmtId="0" fontId="52" fillId="0" borderId="0"/>
    <xf numFmtId="43" fontId="52" fillId="0" borderId="0" applyFont="0" applyFill="0" applyBorder="0" applyAlignment="0" applyProtection="0"/>
    <xf numFmtId="44" fontId="52" fillId="0" borderId="0" applyFont="0" applyFill="0" applyBorder="0" applyAlignment="0" applyProtection="0"/>
    <xf numFmtId="0" fontId="17" fillId="0" borderId="0"/>
    <xf numFmtId="43" fontId="17" fillId="0" borderId="0" applyFont="0" applyFill="0" applyBorder="0" applyAlignment="0" applyProtection="0"/>
    <xf numFmtId="41" fontId="17"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193" fontId="53" fillId="20" borderId="28" applyNumberFormat="0" applyAlignment="0" applyProtection="0">
      <alignment horizontal="left" vertical="center" indent="1"/>
    </xf>
    <xf numFmtId="0" fontId="17" fillId="17" borderId="0" applyNumberFormat="0" applyBorder="0" applyAlignment="0" applyProtection="0"/>
    <xf numFmtId="43" fontId="52" fillId="0" borderId="0" applyFont="0" applyFill="0" applyBorder="0" applyAlignment="0" applyProtection="0"/>
    <xf numFmtId="44" fontId="5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64" fontId="5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2"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cellStyleXfs>
  <cellXfs count="266">
    <xf numFmtId="0" fontId="0" fillId="0" borderId="0" xfId="0"/>
    <xf numFmtId="0" fontId="4" fillId="0" borderId="2" xfId="106" applyFont="1" applyBorder="1"/>
    <xf numFmtId="0" fontId="4" fillId="0" borderId="0" xfId="106" applyFont="1"/>
    <xf numFmtId="0" fontId="5" fillId="0" borderId="0" xfId="106" applyFont="1"/>
    <xf numFmtId="0" fontId="4" fillId="0" borderId="0" xfId="106" applyFont="1" applyAlignment="1">
      <alignment horizontal="left"/>
    </xf>
    <xf numFmtId="0" fontId="3" fillId="0" borderId="0" xfId="106" applyFont="1"/>
    <xf numFmtId="0" fontId="23" fillId="0" borderId="0" xfId="128" applyFont="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Border="1" applyAlignment="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xf numFmtId="49" fontId="9" fillId="5" borderId="0" xfId="106" applyNumberFormat="1" applyFont="1" applyFill="1" applyAlignment="1">
      <alignment horizontal="center" vertical="center" wrapText="1"/>
    </xf>
    <xf numFmtId="0" fontId="25" fillId="5" borderId="3" xfId="128" applyFont="1" applyFill="1" applyBorder="1" applyAlignment="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3" fillId="0" borderId="3" xfId="128" applyFont="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Border="1" applyAlignment="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xf numFmtId="49" fontId="9" fillId="7" borderId="5" xfId="106" applyNumberFormat="1" applyFont="1" applyFill="1" applyBorder="1" applyAlignment="1">
      <alignment horizontal="center" vertical="center" wrapText="1"/>
    </xf>
    <xf numFmtId="0" fontId="29" fillId="5" borderId="3" xfId="128" applyFont="1" applyFill="1" applyBorder="1" applyAlignment="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23" fillId="0" borderId="3" xfId="128" applyFont="1" applyBorder="1"/>
    <xf numFmtId="0" fontId="23" fillId="0" borderId="3" xfId="128" applyFont="1" applyBorder="1" applyAlignment="1">
      <alignment horizontal="center"/>
    </xf>
    <xf numFmtId="0" fontId="23" fillId="0" borderId="0" xfId="128" applyFont="1" applyAlignment="1">
      <alignment horizontal="center"/>
    </xf>
    <xf numFmtId="0" fontId="29" fillId="5" borderId="0" xfId="128" applyFont="1" applyFill="1" applyAlignment="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Border="1" applyAlignment="1">
      <alignment vertical="center" wrapText="1"/>
    </xf>
    <xf numFmtId="0" fontId="23" fillId="0" borderId="5" xfId="128" applyFont="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173" fontId="17" fillId="0" borderId="0" xfId="24" applyNumberFormat="1" applyBorder="1"/>
    <xf numFmtId="171" fontId="17" fillId="0" borderId="0" xfId="128" applyNumberFormat="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3" fontId="34" fillId="0" borderId="3" xfId="81" applyNumberFormat="1" applyFont="1" applyFill="1" applyBorder="1" applyAlignment="1">
      <alignment horizontal="center" vertical="center"/>
    </xf>
    <xf numFmtId="0" fontId="18" fillId="0" borderId="0" xfId="128" applyFont="1"/>
    <xf numFmtId="0" fontId="22" fillId="0" borderId="0" xfId="128" applyFont="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lignment horizontal="justify" vertical="center" wrapText="1"/>
    </xf>
    <xf numFmtId="0" fontId="23" fillId="0" borderId="0" xfId="128" applyFont="1" applyAlignment="1">
      <alignment horizontal="center" vertical="center"/>
    </xf>
    <xf numFmtId="0" fontId="17" fillId="0" borderId="0" xfId="128"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Font="1" applyFill="1" applyBorder="1" applyAlignment="1">
      <alignment horizontal="center" vertical="center"/>
    </xf>
    <xf numFmtId="168" fontId="26" fillId="0" borderId="3" xfId="80"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Font="1" applyAlignment="1">
      <alignment vertical="center"/>
    </xf>
    <xf numFmtId="0" fontId="25" fillId="0" borderId="3" xfId="128" applyFont="1" applyBorder="1" applyAlignment="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3" fillId="0" borderId="6" xfId="128" applyFont="1" applyBorder="1" applyAlignment="1">
      <alignment horizontal="center" vertical="center" wrapText="1"/>
    </xf>
    <xf numFmtId="0" fontId="23" fillId="0" borderId="6" xfId="128" applyFont="1" applyBorder="1" applyAlignment="1">
      <alignment horizontal="left" vertical="center" wrapText="1"/>
    </xf>
    <xf numFmtId="0" fontId="25" fillId="0" borderId="2" xfId="128" applyFont="1" applyBorder="1" applyAlignment="1">
      <alignment horizontal="center" vertical="center" wrapText="1"/>
    </xf>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Alignment="1">
      <alignment horizontal="center"/>
    </xf>
    <xf numFmtId="0" fontId="35" fillId="0" borderId="0" xfId="106" applyFont="1" applyAlignment="1">
      <alignment horizontal="left"/>
    </xf>
    <xf numFmtId="0" fontId="35" fillId="0" borderId="0" xfId="106" applyFont="1"/>
    <xf numFmtId="189" fontId="35" fillId="0" borderId="0" xfId="3515" applyNumberFormat="1" applyFont="1" applyBorder="1" applyAlignment="1"/>
    <xf numFmtId="0" fontId="35" fillId="0" borderId="0" xfId="168" applyFont="1"/>
    <xf numFmtId="0" fontId="32" fillId="0" borderId="0" xfId="168" applyFont="1"/>
    <xf numFmtId="0" fontId="46" fillId="0" borderId="0" xfId="168" applyFont="1"/>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9" fontId="34" fillId="16" borderId="3" xfId="149"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Border="1" applyAlignment="1">
      <alignment horizontal="right" vertical="center"/>
    </xf>
    <xf numFmtId="174" fontId="26" fillId="0" borderId="3" xfId="0" applyNumberFormat="1" applyFont="1" applyBorder="1" applyAlignment="1">
      <alignment horizontal="right" vertical="center"/>
    </xf>
    <xf numFmtId="0" fontId="17" fillId="16" borderId="0" xfId="128"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Alignment="1">
      <alignment horizontal="center" vertical="center" wrapText="1"/>
    </xf>
    <xf numFmtId="173" fontId="17" fillId="0" borderId="0" xfId="24" applyNumberFormat="1" applyFont="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Border="1" applyAlignment="1">
      <alignment horizontal="right" vertical="center"/>
    </xf>
    <xf numFmtId="4" fontId="17" fillId="0" borderId="0" xfId="128" applyNumberFormat="1"/>
    <xf numFmtId="49" fontId="50" fillId="6" borderId="0" xfId="106" applyNumberFormat="1" applyFont="1" applyFill="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0" fontId="37" fillId="0" borderId="3" xfId="128" applyFont="1" applyBorder="1" applyAlignment="1">
      <alignment horizontal="justify" vertical="center" wrapText="1"/>
    </xf>
    <xf numFmtId="9" fontId="26" fillId="0" borderId="4" xfId="149"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3" fillId="0" borderId="0" xfId="128" applyFont="1" applyAlignment="1">
      <alignment horizontal="center" vertical="center" wrapText="1"/>
    </xf>
    <xf numFmtId="187" fontId="34" fillId="0" borderId="3" xfId="81" applyNumberFormat="1" applyFont="1" applyFill="1" applyBorder="1" applyAlignment="1">
      <alignment horizontal="center" vertical="center"/>
    </xf>
    <xf numFmtId="9" fontId="26" fillId="0" borderId="3" xfId="149" applyNumberFormat="1" applyFont="1" applyFill="1" applyBorder="1" applyAlignment="1">
      <alignment horizontal="center" vertical="center"/>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Border="1" applyAlignment="1">
      <alignment horizontal="center" vertical="center" wrapText="1"/>
    </xf>
    <xf numFmtId="0" fontId="23" fillId="0" borderId="4" xfId="128" applyFont="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Border="1" applyAlignment="1">
      <alignment horizontal="left" vertical="center" wrapText="1"/>
    </xf>
    <xf numFmtId="0" fontId="23" fillId="0" borderId="6" xfId="128" applyFont="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Border="1" applyAlignment="1">
      <alignment horizontal="center" vertical="center" wrapText="1"/>
    </xf>
    <xf numFmtId="0" fontId="25" fillId="0" borderId="2" xfId="128" applyFont="1" applyBorder="1" applyAlignment="1">
      <alignment horizontal="center" vertical="center" wrapText="1"/>
    </xf>
    <xf numFmtId="0" fontId="48" fillId="12" borderId="0" xfId="106" applyFont="1" applyFill="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786">
    <cellStyle name="60% - Énfasis6 2" xfId="3542"/>
    <cellStyle name="Accent1" xfId="1"/>
    <cellStyle name="BodyStyle" xfId="3529"/>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5 2" xfId="3709"/>
    <cellStyle name="Comma 3 2 3 6" xfId="339"/>
    <cellStyle name="Comma 3 2 3 7" xfId="3566"/>
    <cellStyle name="Comma 3 2 4" xfId="173"/>
    <cellStyle name="Comma 3 2 4 2" xfId="835"/>
    <cellStyle name="Comma 3 2 4 2 2" xfId="3664"/>
    <cellStyle name="Comma 3 2 4 3" xfId="674"/>
    <cellStyle name="Comma 3 2 4 3 2" xfId="3622"/>
    <cellStyle name="Comma 3 2 4 4" xfId="3548"/>
    <cellStyle name="Comma 3 2 5" xfId="673"/>
    <cellStyle name="Comma 3 2 5 2" xfId="834"/>
    <cellStyle name="Comma 3 2 5 2 2" xfId="3663"/>
    <cellStyle name="Comma 3 2 5 3" xfId="3621"/>
    <cellStyle name="Comma 3 2 6" xfId="337"/>
    <cellStyle name="Comma 3 2 6 2" xfId="3600"/>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5 2" xfId="3710"/>
    <cellStyle name="Comma 3 4 6" xfId="342"/>
    <cellStyle name="Comma 3 4 7" xfId="3565"/>
    <cellStyle name="Comma 3 5" xfId="172"/>
    <cellStyle name="Comma 3 5 2" xfId="836"/>
    <cellStyle name="Comma 3 5 2 2" xfId="3665"/>
    <cellStyle name="Comma 3 5 3" xfId="675"/>
    <cellStyle name="Comma 3 5 3 2" xfId="3623"/>
    <cellStyle name="Comma 3 5 4" xfId="3547"/>
    <cellStyle name="Comma 3 6" xfId="672"/>
    <cellStyle name="Comma 3 6 2" xfId="833"/>
    <cellStyle name="Comma 3 6 2 2" xfId="3662"/>
    <cellStyle name="Comma 3 6 3" xfId="3620"/>
    <cellStyle name="Comma 3 7" xfId="336"/>
    <cellStyle name="Comma 3 7 2" xfId="3599"/>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eaderStyle" xfId="3528"/>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2 2" xfId="3739"/>
    <cellStyle name="Millares [0] 2 2 3" xfId="3504"/>
    <cellStyle name="Millares [0] 2 2 3 2" xfId="3764"/>
    <cellStyle name="Millares [0] 2 2 4" xfId="3592"/>
    <cellStyle name="Millares [0] 2 3" xfId="325"/>
    <cellStyle name="Millares [0] 2 3 2" xfId="3598"/>
    <cellStyle name="Millares [0] 2 4" xfId="3486"/>
    <cellStyle name="Millares [0] 2 4 2" xfId="3751"/>
    <cellStyle name="Millares [0] 2 5" xfId="3585"/>
    <cellStyle name="Millares [0] 20" xfId="3526"/>
    <cellStyle name="Millares [0] 20 2" xfId="3535"/>
    <cellStyle name="Millares [0] 20 2 2" xfId="3782"/>
    <cellStyle name="Millares [0] 20 3" xfId="3779"/>
    <cellStyle name="Millares [0] 3" xfId="945"/>
    <cellStyle name="Millares [0] 3 2" xfId="3511"/>
    <cellStyle name="Millares [0] 3 2 2" xfId="3770"/>
    <cellStyle name="Millares [0] 3 3" xfId="3495"/>
    <cellStyle name="Millares [0] 3 3 2" xfId="3756"/>
    <cellStyle name="Millares [0] 3 4" xfId="3707"/>
    <cellStyle name="Millares [0] 4" xfId="3499"/>
    <cellStyle name="Millares [0] 4 2" xfId="3760"/>
    <cellStyle name="Millares [0] 5" xfId="3482"/>
    <cellStyle name="Millares [0] 5 2" xfId="3747"/>
    <cellStyle name="Millares [0] 6" xfId="3774"/>
    <cellStyle name="Millares 10" xfId="25"/>
    <cellStyle name="Millares 10 2" xfId="26"/>
    <cellStyle name="Millares 10 2 2" xfId="27"/>
    <cellStyle name="Millares 10 3" xfId="28"/>
    <cellStyle name="Millares 10 3 2" xfId="760"/>
    <cellStyle name="Millares 10 4" xfId="759"/>
    <cellStyle name="Millares 10 5" xfId="3506"/>
    <cellStyle name="Millares 10 5 2" xfId="3766"/>
    <cellStyle name="Millares 10 6" xfId="323"/>
    <cellStyle name="Millares 10 6 2" xfId="3478"/>
    <cellStyle name="Millares 10 6 2 2" xfId="3743"/>
    <cellStyle name="Millares 10 6 3" xfId="3596"/>
    <cellStyle name="Millares 11" xfId="29"/>
    <cellStyle name="Millares 11 2" xfId="30"/>
    <cellStyle name="Millares 11 2 2" xfId="31"/>
    <cellStyle name="Millares 11 2 2 10" xfId="3546"/>
    <cellStyle name="Millares 11 2 2 2" xfId="203"/>
    <cellStyle name="Millares 11 2 2 2 2" xfId="267"/>
    <cellStyle name="Millares 11 2 2 2 2 2" xfId="680"/>
    <cellStyle name="Millares 11 2 2 2 2 2 2" xfId="841"/>
    <cellStyle name="Millares 11 2 2 2 2 2 2 2" xfId="3670"/>
    <cellStyle name="Millares 11 2 2 2 2 2 3" xfId="3628"/>
    <cellStyle name="Millares 11 2 2 2 2 3" xfId="820"/>
    <cellStyle name="Millares 11 2 2 2 2 3 2" xfId="3661"/>
    <cellStyle name="Millares 11 2 2 2 2 4" xfId="607"/>
    <cellStyle name="Millares 11 2 2 2 2 4 2" xfId="3619"/>
    <cellStyle name="Millares 11 2 2 2 2 5" xfId="3583"/>
    <cellStyle name="Millares 11 2 2 2 3" xfId="679"/>
    <cellStyle name="Millares 11 2 2 2 3 2" xfId="840"/>
    <cellStyle name="Millares 11 2 2 2 3 2 2" xfId="3669"/>
    <cellStyle name="Millares 11 2 2 2 3 3" xfId="3627"/>
    <cellStyle name="Millares 11 2 2 2 4" xfId="793"/>
    <cellStyle name="Millares 11 2 2 2 4 2" xfId="3659"/>
    <cellStyle name="Millares 11 2 2 2 5" xfId="1561"/>
    <cellStyle name="Millares 11 2 2 2 5 2" xfId="3713"/>
    <cellStyle name="Millares 11 2 2 2 6" xfId="437"/>
    <cellStyle name="Millares 11 2 2 2 6 2" xfId="3617"/>
    <cellStyle name="Millares 11 2 2 2 7" xfId="3563"/>
    <cellStyle name="Millares 11 2 2 3" xfId="238"/>
    <cellStyle name="Millares 11 2 2 3 2" xfId="681"/>
    <cellStyle name="Millares 11 2 2 3 2 2" xfId="842"/>
    <cellStyle name="Millares 11 2 2 3 2 2 2" xfId="3671"/>
    <cellStyle name="Millares 11 2 2 3 2 3" xfId="3629"/>
    <cellStyle name="Millares 11 2 2 3 3" xfId="806"/>
    <cellStyle name="Millares 11 2 2 3 3 2" xfId="3660"/>
    <cellStyle name="Millares 11 2 2 3 4" xfId="1562"/>
    <cellStyle name="Millares 11 2 2 3 4 2" xfId="3714"/>
    <cellStyle name="Millares 11 2 2 3 5" xfId="521"/>
    <cellStyle name="Millares 11 2 2 3 5 2" xfId="3618"/>
    <cellStyle name="Millares 11 2 2 3 6" xfId="3569"/>
    <cellStyle name="Millares 11 2 2 4" xfId="176"/>
    <cellStyle name="Millares 11 2 2 4 2" xfId="843"/>
    <cellStyle name="Millares 11 2 2 4 2 2" xfId="3672"/>
    <cellStyle name="Millares 11 2 2 4 3" xfId="682"/>
    <cellStyle name="Millares 11 2 2 4 3 2" xfId="3630"/>
    <cellStyle name="Millares 11 2 2 4 4" xfId="3551"/>
    <cellStyle name="Millares 11 2 2 5" xfId="678"/>
    <cellStyle name="Millares 11 2 2 5 2" xfId="839"/>
    <cellStyle name="Millares 11 2 2 5 2 2" xfId="3668"/>
    <cellStyle name="Millares 11 2 2 5 3" xfId="3626"/>
    <cellStyle name="Millares 11 2 2 6" xfId="761"/>
    <cellStyle name="Millares 11 2 2 6 2" xfId="921"/>
    <cellStyle name="Millares 11 2 2 6 2 2" xfId="3700"/>
    <cellStyle name="Millares 11 2 2 6 3" xfId="3656"/>
    <cellStyle name="Millares 11 2 2 7" xfId="779"/>
    <cellStyle name="Millares 11 2 2 7 2" xfId="3658"/>
    <cellStyle name="Millares 11 2 2 8" xfId="1560"/>
    <cellStyle name="Millares 11 2 2 8 2" xfId="3712"/>
    <cellStyle name="Millares 11 2 2 9" xfId="349"/>
    <cellStyle name="Millares 11 2 2 9 2" xfId="3604"/>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5 2" xfId="3715"/>
    <cellStyle name="Millares 11 2 4 6" xfId="351"/>
    <cellStyle name="Millares 11 2 4 7" xfId="3568"/>
    <cellStyle name="Millares 11 2 5" xfId="175"/>
    <cellStyle name="Millares 11 2 5 2" xfId="844"/>
    <cellStyle name="Millares 11 2 5 2 2" xfId="3673"/>
    <cellStyle name="Millares 11 2 5 3" xfId="683"/>
    <cellStyle name="Millares 11 2 5 3 2" xfId="3631"/>
    <cellStyle name="Millares 11 2 5 4" xfId="3550"/>
    <cellStyle name="Millares 11 2 6" xfId="677"/>
    <cellStyle name="Millares 11 2 6 2" xfId="838"/>
    <cellStyle name="Millares 11 2 6 2 2" xfId="3667"/>
    <cellStyle name="Millares 11 2 6 3" xfId="3625"/>
    <cellStyle name="Millares 11 2 7" xfId="348"/>
    <cellStyle name="Millares 11 2 7 2" xfId="3603"/>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5 2" xfId="3716"/>
    <cellStyle name="Millares 11 4 6" xfId="354"/>
    <cellStyle name="Millares 11 4 7" xfId="3567"/>
    <cellStyle name="Millares 11 5" xfId="174"/>
    <cellStyle name="Millares 11 5 2" xfId="845"/>
    <cellStyle name="Millares 11 5 2 2" xfId="3674"/>
    <cellStyle name="Millares 11 5 3" xfId="684"/>
    <cellStyle name="Millares 11 5 3 2" xfId="3632"/>
    <cellStyle name="Millares 11 5 4" xfId="3549"/>
    <cellStyle name="Millares 11 6" xfId="676"/>
    <cellStyle name="Millares 11 6 2" xfId="837"/>
    <cellStyle name="Millares 11 6 2 2" xfId="3666"/>
    <cellStyle name="Millares 11 6 3" xfId="3624"/>
    <cellStyle name="Millares 11 7" xfId="347"/>
    <cellStyle name="Millares 11 7 2" xfId="3602"/>
    <cellStyle name="Millares 12" xfId="33"/>
    <cellStyle name="Millares 12 2" xfId="34"/>
    <cellStyle name="Millares 12 3" xfId="35"/>
    <cellStyle name="Millares 12 4" xfId="414"/>
    <cellStyle name="Millares 12 4 2" xfId="3616"/>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5 2" xfId="3717"/>
    <cellStyle name="Millares 13 3 6" xfId="358"/>
    <cellStyle name="Millares 13 3 7" xfId="3570"/>
    <cellStyle name="Millares 13 4" xfId="177"/>
    <cellStyle name="Millares 13 4 2" xfId="847"/>
    <cellStyle name="Millares 13 4 2 2" xfId="3676"/>
    <cellStyle name="Millares 13 4 3" xfId="686"/>
    <cellStyle name="Millares 13 4 3 2" xfId="3634"/>
    <cellStyle name="Millares 13 4 4" xfId="3552"/>
    <cellStyle name="Millares 13 5" xfId="685"/>
    <cellStyle name="Millares 13 5 2" xfId="846"/>
    <cellStyle name="Millares 13 5 2 2" xfId="3675"/>
    <cellStyle name="Millares 13 5 3" xfId="3633"/>
    <cellStyle name="Millares 13 6" xfId="356"/>
    <cellStyle name="Millares 13 6 2" xfId="3605"/>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5 2" xfId="3718"/>
    <cellStyle name="Millares 14 3 6" xfId="363"/>
    <cellStyle name="Millares 14 3 7" xfId="3571"/>
    <cellStyle name="Millares 14 4" xfId="178"/>
    <cellStyle name="Millares 14 4 2" xfId="849"/>
    <cellStyle name="Millares 14 4 2 2" xfId="3678"/>
    <cellStyle name="Millares 14 4 3" xfId="688"/>
    <cellStyle name="Millares 14 4 3 2" xfId="3636"/>
    <cellStyle name="Millares 14 4 4" xfId="3553"/>
    <cellStyle name="Millares 14 5" xfId="687"/>
    <cellStyle name="Millares 14 5 2" xfId="848"/>
    <cellStyle name="Millares 14 5 2 2" xfId="3677"/>
    <cellStyle name="Millares 14 5 3" xfId="3635"/>
    <cellStyle name="Millares 14 6" xfId="360"/>
    <cellStyle name="Millares 14 6 2" xfId="3606"/>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5 2" xfId="3719"/>
    <cellStyle name="Millares 15 3 6" xfId="367"/>
    <cellStyle name="Millares 15 3 7" xfId="3572"/>
    <cellStyle name="Millares 15 4" xfId="179"/>
    <cellStyle name="Millares 15 4 2" xfId="851"/>
    <cellStyle name="Millares 15 4 2 2" xfId="3680"/>
    <cellStyle name="Millares 15 4 3" xfId="690"/>
    <cellStyle name="Millares 15 4 3 2" xfId="3638"/>
    <cellStyle name="Millares 15 4 4" xfId="3554"/>
    <cellStyle name="Millares 15 5" xfId="689"/>
    <cellStyle name="Millares 15 5 2" xfId="850"/>
    <cellStyle name="Millares 15 5 2 2" xfId="3679"/>
    <cellStyle name="Millares 15 5 3" xfId="3637"/>
    <cellStyle name="Millares 15 6" xfId="365"/>
    <cellStyle name="Millares 15 6 2" xfId="3607"/>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5 2" xfId="3720"/>
    <cellStyle name="Millares 16 3 6" xfId="371"/>
    <cellStyle name="Millares 16 3 7" xfId="3573"/>
    <cellStyle name="Millares 16 4" xfId="180"/>
    <cellStyle name="Millares 16 4 2" xfId="853"/>
    <cellStyle name="Millares 16 4 2 2" xfId="3682"/>
    <cellStyle name="Millares 16 4 3" xfId="692"/>
    <cellStyle name="Millares 16 4 3 2" xfId="3640"/>
    <cellStyle name="Millares 16 4 4" xfId="3555"/>
    <cellStyle name="Millares 16 5" xfId="691"/>
    <cellStyle name="Millares 16 5 2" xfId="852"/>
    <cellStyle name="Millares 16 5 2 2" xfId="3681"/>
    <cellStyle name="Millares 16 5 3" xfId="3639"/>
    <cellStyle name="Millares 16 6" xfId="369"/>
    <cellStyle name="Millares 16 6 2" xfId="3608"/>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10 2" xfId="3732"/>
    <cellStyle name="Millares 17 2 3 11" xfId="3582"/>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6 4 2" xfId="3741"/>
    <cellStyle name="Millares 17 2 3 6 5" xfId="3594"/>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4 7 2" xfId="3705"/>
    <cellStyle name="Millares 17 2 4 8" xfId="3562"/>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3 3 2" xfId="3722"/>
    <cellStyle name="Millares 17 4" xfId="546"/>
    <cellStyle name="Millares 17 5" xfId="939"/>
    <cellStyle name="Millares 17 5 2" xfId="3706"/>
    <cellStyle name="Millares 17 6" xfId="2193"/>
    <cellStyle name="Millares 17 6 2" xfId="3721"/>
    <cellStyle name="Millares 17 7" xfId="373"/>
    <cellStyle name="Millares 18" xfId="314"/>
    <cellStyle name="Millares 18 10" xfId="2307"/>
    <cellStyle name="Millares 18 11" xfId="693"/>
    <cellStyle name="Millares 18 11 2" xfId="3641"/>
    <cellStyle name="Millares 18 12" xfId="3471"/>
    <cellStyle name="Millares 18 12 2" xfId="3736"/>
    <cellStyle name="Millares 18 13" xfId="3589"/>
    <cellStyle name="Millares 18 2" xfId="854"/>
    <cellStyle name="Millares 18 2 10" xfId="3683"/>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2 2" xfId="3723"/>
    <cellStyle name="Millares 19 3" xfId="346"/>
    <cellStyle name="Millares 19 3 2" xfId="3601"/>
    <cellStyle name="Millares 19 4" xfId="3473"/>
    <cellStyle name="Millares 19 4 2" xfId="3738"/>
    <cellStyle name="Millares 19 5" xfId="3591"/>
    <cellStyle name="Millares 2" xfId="42"/>
    <cellStyle name="Millares 2 10" xfId="3479"/>
    <cellStyle name="Millares 2 10 2" xfId="3744"/>
    <cellStyle name="Millares 2 11" xfId="3483"/>
    <cellStyle name="Millares 2 11 2" xfId="3748"/>
    <cellStyle name="Millares 2 12" xfId="3531"/>
    <cellStyle name="Millares 2 12 2" xfId="3780"/>
    <cellStyle name="Millares 2 2" xfId="43"/>
    <cellStyle name="Millares 2 2 2" xfId="44"/>
    <cellStyle name="Millares 2 2 2 2" xfId="3505"/>
    <cellStyle name="Millares 2 2 2 2 2" xfId="3765"/>
    <cellStyle name="Millares 2 2 3" xfId="3487"/>
    <cellStyle name="Millares 2 2 3 2" xfId="3752"/>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5 2" xfId="3724"/>
    <cellStyle name="Millares 2 3 3 6" xfId="378"/>
    <cellStyle name="Millares 2 3 3 7" xfId="3575"/>
    <cellStyle name="Millares 2 3 4" xfId="182"/>
    <cellStyle name="Millares 2 3 4 2" xfId="857"/>
    <cellStyle name="Millares 2 3 4 2 2" xfId="3686"/>
    <cellStyle name="Millares 2 3 4 3" xfId="696"/>
    <cellStyle name="Millares 2 3 4 3 2" xfId="3644"/>
    <cellStyle name="Millares 2 3 4 4" xfId="3557"/>
    <cellStyle name="Millares 2 3 5" xfId="695"/>
    <cellStyle name="Millares 2 3 5 2" xfId="856"/>
    <cellStyle name="Millares 2 3 5 2 2" xfId="3685"/>
    <cellStyle name="Millares 2 3 5 3" xfId="3643"/>
    <cellStyle name="Millares 2 3 6" xfId="376"/>
    <cellStyle name="Millares 2 3 6 2" xfId="3610"/>
    <cellStyle name="Millares 2 4" xfId="46"/>
    <cellStyle name="Millares 2 4 10" xfId="3500"/>
    <cellStyle name="Millares 2 4 10 2" xfId="3761"/>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5 2" xfId="3725"/>
    <cellStyle name="Millares 2 5 6" xfId="381"/>
    <cellStyle name="Millares 2 5 7" xfId="3574"/>
    <cellStyle name="Millares 2 6" xfId="181"/>
    <cellStyle name="Millares 2 6 2" xfId="858"/>
    <cellStyle name="Millares 2 6 2 2" xfId="3687"/>
    <cellStyle name="Millares 2 6 3" xfId="697"/>
    <cellStyle name="Millares 2 6 3 2" xfId="3645"/>
    <cellStyle name="Millares 2 6 4" xfId="3556"/>
    <cellStyle name="Millares 2 7" xfId="301"/>
    <cellStyle name="Millares 2 7 2" xfId="855"/>
    <cellStyle name="Millares 2 7 2 2" xfId="3684"/>
    <cellStyle name="Millares 2 7 3" xfId="694"/>
    <cellStyle name="Millares 2 7 3 2" xfId="3642"/>
    <cellStyle name="Millares 2 7 4" xfId="3468"/>
    <cellStyle name="Millares 2 7 4 2" xfId="3733"/>
    <cellStyle name="Millares 2 7 5" xfId="3586"/>
    <cellStyle name="Millares 2 8" xfId="375"/>
    <cellStyle name="Millares 2 8 2" xfId="3609"/>
    <cellStyle name="Millares 2 9" xfId="324"/>
    <cellStyle name="Millares 2 9 2" xfId="3597"/>
    <cellStyle name="Millares 20" xfId="315"/>
    <cellStyle name="Millares 20 2" xfId="933"/>
    <cellStyle name="Millares 20 2 2" xfId="3702"/>
    <cellStyle name="Millares 20 3" xfId="3472"/>
    <cellStyle name="Millares 20 3 2" xfId="3737"/>
    <cellStyle name="Millares 20 4" xfId="3590"/>
    <cellStyle name="Millares 21" xfId="1559"/>
    <cellStyle name="Millares 21 2" xfId="3711"/>
    <cellStyle name="Millares 22" xfId="3461"/>
    <cellStyle name="Millares 22 2" xfId="3730"/>
    <cellStyle name="Millares 23" xfId="3480"/>
    <cellStyle name="Millares 23 2" xfId="3745"/>
    <cellStyle name="Millares 24" xfId="3520"/>
    <cellStyle name="Millares 24 2" xfId="3775"/>
    <cellStyle name="Millares 25" xfId="3522"/>
    <cellStyle name="Millares 25 2" xfId="3776"/>
    <cellStyle name="Millares 26" xfId="3543"/>
    <cellStyle name="Millares 26 2" xfId="3785"/>
    <cellStyle name="Millares 27" xfId="3545"/>
    <cellStyle name="Millares 3" xfId="47"/>
    <cellStyle name="Millares 3 10" xfId="413"/>
    <cellStyle name="Millares 3 10 2" xfId="3615"/>
    <cellStyle name="Millares 3 11" xfId="3485"/>
    <cellStyle name="Millares 3 11 2" xfId="3750"/>
    <cellStyle name="Millares 3 12" xfId="3536"/>
    <cellStyle name="Millares 3 12 2" xfId="3783"/>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2 2 2" xfId="3691"/>
    <cellStyle name="Millares 3 3 2 2 3" xfId="3578"/>
    <cellStyle name="Millares 3 3 2 3" xfId="185"/>
    <cellStyle name="Millares 3 3 2 3 2" xfId="861"/>
    <cellStyle name="Millares 3 3 2 3 2 2" xfId="3690"/>
    <cellStyle name="Millares 3 3 2 3 3" xfId="700"/>
    <cellStyle name="Millares 3 3 2 3 3 2" xfId="3648"/>
    <cellStyle name="Millares 3 3 2 3 4" xfId="3464"/>
    <cellStyle name="Millares 3 3 2 4" xfId="385"/>
    <cellStyle name="Millares 3 3 3" xfId="246"/>
    <cellStyle name="Millares 3 3 3 2" xfId="863"/>
    <cellStyle name="Millares 3 3 3 2 2" xfId="3692"/>
    <cellStyle name="Millares 3 3 3 3" xfId="3577"/>
    <cellStyle name="Millares 3 3 4" xfId="184"/>
    <cellStyle name="Millares 3 3 4 2" xfId="860"/>
    <cellStyle name="Millares 3 3 4 2 2" xfId="3689"/>
    <cellStyle name="Millares 3 3 4 3" xfId="699"/>
    <cellStyle name="Millares 3 3 4 3 2" xfId="3647"/>
    <cellStyle name="Millares 3 3 4 4" xfId="3463"/>
    <cellStyle name="Millares 3 3 5" xfId="384"/>
    <cellStyle name="Millares 3 3 6" xfId="3502"/>
    <cellStyle name="Millares 3 3 6 2" xfId="3763"/>
    <cellStyle name="Millares 3 4" xfId="52"/>
    <cellStyle name="Millares 3 4 2" xfId="53"/>
    <cellStyle name="Millares 3 4 2 2" xfId="54"/>
    <cellStyle name="Millares 3 4 2 2 2" xfId="55"/>
    <cellStyle name="Millares 3 4 2 2 2 2" xfId="211"/>
    <cellStyle name="Millares 3 4 2 2 2 2 2" xfId="303"/>
    <cellStyle name="Millares 3 4 2 2 2 2 2 10" xfId="3588"/>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2 9 2" xfId="3735"/>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4 5" xfId="3703"/>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10" xfId="3587"/>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3 9 2" xfId="3734"/>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5 5" xfId="3704"/>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2 5 2" xfId="3731"/>
    <cellStyle name="Millares 3 4 2 2 3 2 6" xfId="3581"/>
    <cellStyle name="Millares 3 4 2 2 3 3" xfId="474"/>
    <cellStyle name="Millares 3 4 2 2 3 3 2" xfId="644"/>
    <cellStyle name="Millares 3 4 2 2 3 4" xfId="558"/>
    <cellStyle name="Millares 3 4 2 2 3 5" xfId="2734"/>
    <cellStyle name="Millares 3 4 2 2 3 5 2" xfId="3726"/>
    <cellStyle name="Millares 3 4 2 2 4" xfId="188"/>
    <cellStyle name="Millares 3 4 2 2 4 2" xfId="867"/>
    <cellStyle name="Millares 3 4 2 2 4 2 2" xfId="3696"/>
    <cellStyle name="Millares 3 4 2 2 4 3" xfId="704"/>
    <cellStyle name="Millares 3 4 2 2 4 3 2" xfId="3652"/>
    <cellStyle name="Millares 3 4 2 2 4 4" xfId="3561"/>
    <cellStyle name="Millares 3 4 2 2 5" xfId="703"/>
    <cellStyle name="Millares 3 4 2 2 5 2" xfId="866"/>
    <cellStyle name="Millares 3 4 2 2 5 2 2" xfId="3695"/>
    <cellStyle name="Millares 3 4 2 2 5 3" xfId="3651"/>
    <cellStyle name="Millares 3 4 2 2 6" xfId="388"/>
    <cellStyle name="Millares 3 4 2 2 6 2" xfId="3614"/>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5 2" xfId="3727"/>
    <cellStyle name="Millares 3 4 2 4 6" xfId="391"/>
    <cellStyle name="Millares 3 4 2 4 7" xfId="3580"/>
    <cellStyle name="Millares 3 4 2 5" xfId="187"/>
    <cellStyle name="Millares 3 4 2 5 2" xfId="868"/>
    <cellStyle name="Millares 3 4 2 5 2 2" xfId="3697"/>
    <cellStyle name="Millares 3 4 2 5 3" xfId="705"/>
    <cellStyle name="Millares 3 4 2 5 3 2" xfId="3653"/>
    <cellStyle name="Millares 3 4 2 5 4" xfId="3560"/>
    <cellStyle name="Millares 3 4 2 6" xfId="702"/>
    <cellStyle name="Millares 3 4 2 6 2" xfId="865"/>
    <cellStyle name="Millares 3 4 2 6 2 2" xfId="3694"/>
    <cellStyle name="Millares 3 4 2 6 3" xfId="3650"/>
    <cellStyle name="Millares 3 4 2 7" xfId="387"/>
    <cellStyle name="Millares 3 4 2 7 2" xfId="3613"/>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5 2" xfId="3728"/>
    <cellStyle name="Millares 3 4 4 6" xfId="394"/>
    <cellStyle name="Millares 3 4 4 7" xfId="3579"/>
    <cellStyle name="Millares 3 4 5" xfId="186"/>
    <cellStyle name="Millares 3 4 5 2" xfId="869"/>
    <cellStyle name="Millares 3 4 5 2 2" xfId="3698"/>
    <cellStyle name="Millares 3 4 5 3" xfId="706"/>
    <cellStyle name="Millares 3 4 5 3 2" xfId="3654"/>
    <cellStyle name="Millares 3 4 5 4" xfId="3559"/>
    <cellStyle name="Millares 3 4 6" xfId="701"/>
    <cellStyle name="Millares 3 4 6 2" xfId="864"/>
    <cellStyle name="Millares 3 4 6 2 2" xfId="3693"/>
    <cellStyle name="Millares 3 4 6 3" xfId="3649"/>
    <cellStyle name="Millares 3 4 7" xfId="386"/>
    <cellStyle name="Millares 3 4 7 2" xfId="3612"/>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5 2" xfId="3729"/>
    <cellStyle name="Millares 3 6 6" xfId="397"/>
    <cellStyle name="Millares 3 6 7" xfId="3576"/>
    <cellStyle name="Millares 3 7" xfId="183"/>
    <cellStyle name="Millares 3 7 2" xfId="870"/>
    <cellStyle name="Millares 3 7 2 2" xfId="3699"/>
    <cellStyle name="Millares 3 7 3" xfId="707"/>
    <cellStyle name="Millares 3 7 3 2" xfId="3655"/>
    <cellStyle name="Millares 3 7 4" xfId="3558"/>
    <cellStyle name="Millares 3 8" xfId="698"/>
    <cellStyle name="Millares 3 8 2" xfId="859"/>
    <cellStyle name="Millares 3 8 2 2" xfId="3688"/>
    <cellStyle name="Millares 3 8 3" xfId="3646"/>
    <cellStyle name="Millares 3 9" xfId="383"/>
    <cellStyle name="Millares 3 9 2" xfId="3611"/>
    <cellStyle name="Millares 3_Formato Ejecucion presupuestal 30042009" xfId="58"/>
    <cellStyle name="Millares 4" xfId="59"/>
    <cellStyle name="Millares 4 2" xfId="60"/>
    <cellStyle name="Millares 4 2 2" xfId="3508"/>
    <cellStyle name="Millares 4 2 2 2" xfId="3767"/>
    <cellStyle name="Millares 4 3" xfId="61"/>
    <cellStyle name="Millares 4 4" xfId="500"/>
    <cellStyle name="Millares 4 5" xfId="3488"/>
    <cellStyle name="Millares 4 5 2" xfId="3753"/>
    <cellStyle name="Millares 4 6" xfId="3538"/>
    <cellStyle name="Millares 4 6 2" xfId="3784"/>
    <cellStyle name="Millares 5" xfId="62"/>
    <cellStyle name="Millares 5 10" xfId="3050"/>
    <cellStyle name="Millares 5 10 2" xfId="3051"/>
    <cellStyle name="Millares 5 11" xfId="3052"/>
    <cellStyle name="Millares 5 12" xfId="3496"/>
    <cellStyle name="Millares 5 12 2" xfId="3757"/>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2 3 2" xfId="3759"/>
    <cellStyle name="Millares 6 3" xfId="68"/>
    <cellStyle name="Millares 6 4" xfId="69"/>
    <cellStyle name="Millares 6 5" xfId="585"/>
    <cellStyle name="Millares 6 6" xfId="3481"/>
    <cellStyle name="Millares 6 6 2" xfId="3746"/>
    <cellStyle name="Millares 7" xfId="70"/>
    <cellStyle name="Millares 7 2" xfId="71"/>
    <cellStyle name="Millares 7 3" xfId="3497"/>
    <cellStyle name="Millares 7 3 2" xfId="3758"/>
    <cellStyle name="Millares 7 4" xfId="320"/>
    <cellStyle name="Millares 7 4 2" xfId="3475"/>
    <cellStyle name="Millares 7 4 2 2" xfId="3740"/>
    <cellStyle name="Millares 7 4 3" xfId="3593"/>
    <cellStyle name="Millares 8" xfId="72"/>
    <cellStyle name="Millares 8 2" xfId="73"/>
    <cellStyle name="Millares 8 2 2" xfId="3534"/>
    <cellStyle name="Millares 8 2 2 2" xfId="3781"/>
    <cellStyle name="Millares 8 3" xfId="3513"/>
    <cellStyle name="Millares 8 3 2" xfId="3772"/>
    <cellStyle name="Millares 8 4" xfId="3525"/>
    <cellStyle name="Millares 8 4 2" xfId="3778"/>
    <cellStyle name="Millares 9" xfId="74"/>
    <cellStyle name="Millares 9 2" xfId="75"/>
    <cellStyle name="Millares 9 3" xfId="3512"/>
    <cellStyle name="Millares 9 3 2" xfId="3771"/>
    <cellStyle name="Millares 9 4" xfId="322"/>
    <cellStyle name="Millares 9 4 2" xfId="3477"/>
    <cellStyle name="Millares 9 4 2 2" xfId="3742"/>
    <cellStyle name="Millares 9 4 3" xfId="3595"/>
    <cellStyle name="Moneda" xfId="3515" builtinId="4"/>
    <cellStyle name="Moneda [0] 2" xfId="232"/>
    <cellStyle name="Moneda [0] 2 2" xfId="292"/>
    <cellStyle name="Moneda [0] 2 2 2" xfId="3501"/>
    <cellStyle name="Moneda [0] 2 2 2 2" xfId="3762"/>
    <cellStyle name="Moneda [0] 2 2 3" xfId="3584"/>
    <cellStyle name="Moneda [0] 2 3" xfId="3484"/>
    <cellStyle name="Moneda [0] 2 3 2" xfId="3749"/>
    <cellStyle name="Moneda [0] 2 4" xfId="3564"/>
    <cellStyle name="Moneda [0] 3" xfId="76"/>
    <cellStyle name="Moneda [0] 3 2" xfId="3509"/>
    <cellStyle name="Moneda [0] 3 2 2" xfId="3768"/>
    <cellStyle name="Moneda [0] 3 3" xfId="3491"/>
    <cellStyle name="Moneda [0] 3 3 2" xfId="3754"/>
    <cellStyle name="Moneda [0] 4" xfId="778"/>
    <cellStyle name="Moneda [0] 4 2" xfId="932"/>
    <cellStyle name="Moneda [0] 4 2 2" xfId="3701"/>
    <cellStyle name="Moneda [0] 4 3" xfId="3657"/>
    <cellStyle name="Moneda [0] 5" xfId="326"/>
    <cellStyle name="Moneda [0] 5 2" xfId="3524"/>
    <cellStyle name="Moneda [0] 5 2 2" xfId="3777"/>
    <cellStyle name="Moneda [0] 6" xfId="3514"/>
    <cellStyle name="Moneda [0] 6 2" xfId="3773"/>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2 4" xfId="3532"/>
    <cellStyle name="Moneda 20" xfId="3521"/>
    <cellStyle name="Moneda 21" xfId="3540"/>
    <cellStyle name="Moneda 22" xfId="3544"/>
    <cellStyle name="Moneda 3" xfId="88"/>
    <cellStyle name="Moneda 3 2" xfId="89"/>
    <cellStyle name="Moneda 3 2 2" xfId="3510"/>
    <cellStyle name="Moneda 3 2 2 2" xfId="3769"/>
    <cellStyle name="Moneda 3 3" xfId="90"/>
    <cellStyle name="Moneda 3 3 2" xfId="410"/>
    <cellStyle name="Moneda 3 4" xfId="91"/>
    <cellStyle name="Moneda 3 5" xfId="3493"/>
    <cellStyle name="Moneda 3 5 2" xfId="3755"/>
    <cellStyle name="Moneda 3 6" xfId="3537"/>
    <cellStyle name="Moneda 4" xfId="92"/>
    <cellStyle name="Moneda 4 2" xfId="3539"/>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3 2 2" xfId="3708"/>
    <cellStyle name="Normal 14" xfId="106"/>
    <cellStyle name="Normal 14 2" xfId="168"/>
    <cellStyle name="Normal 15" xfId="107"/>
    <cellStyle name="Normal 15 2" xfId="409"/>
    <cellStyle name="Normal 16" xfId="171"/>
    <cellStyle name="Normal 16 2" xfId="344"/>
    <cellStyle name="Normal 17" xfId="3519"/>
    <cellStyle name="Normal 2" xfId="108"/>
    <cellStyle name="Normal 2 2" xfId="109"/>
    <cellStyle name="Normal 2 2 2" xfId="110"/>
    <cellStyle name="Normal 2 2 2 2" xfId="3454"/>
    <cellStyle name="Normal 2 2 3" xfId="309"/>
    <cellStyle name="Normal 2 2 3 2" xfId="3533"/>
    <cellStyle name="Normal 2 2 3 3" xfId="3523"/>
    <cellStyle name="Normal 2 3" xfId="111"/>
    <cellStyle name="Normal 2 3 2" xfId="112"/>
    <cellStyle name="Normal 2 3 2 2" xfId="113"/>
    <cellStyle name="Normal 2 4" xfId="114"/>
    <cellStyle name="Normal 2 4 2" xfId="115"/>
    <cellStyle name="Normal 2 5" xfId="116"/>
    <cellStyle name="Normal 2 6" xfId="117"/>
    <cellStyle name="Normal 2 7" xfId="3530"/>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SAPHierarchyOddCell" xfId="3527"/>
    <cellStyle name="SAPMemberCell" xfId="3541"/>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67" t="s">
        <v>76</v>
      </c>
      <c r="B1" s="67" t="s">
        <v>74</v>
      </c>
      <c r="C1" s="67" t="s">
        <v>75</v>
      </c>
    </row>
    <row r="2" spans="1:3" x14ac:dyDescent="0.25">
      <c r="A2" s="68">
        <v>3075</v>
      </c>
      <c r="B2" s="40">
        <v>188629.99454699998</v>
      </c>
      <c r="C2" s="69" t="e">
        <f>+B2-#REF!</f>
        <v>#REF!</v>
      </c>
    </row>
    <row r="3" spans="1:3" x14ac:dyDescent="0.25">
      <c r="A3" s="68">
        <v>208</v>
      </c>
      <c r="B3" s="44">
        <v>46860.264536000002</v>
      </c>
      <c r="C3" s="69" t="e">
        <f>+B3-#REF!</f>
        <v>#REF!</v>
      </c>
    </row>
    <row r="4" spans="1:3" x14ac:dyDescent="0.25">
      <c r="A4" s="68">
        <v>3075</v>
      </c>
      <c r="B4" s="46">
        <v>16911.999999</v>
      </c>
      <c r="C4" s="69" t="e">
        <f>+B4-#REF!</f>
        <v>#REF!</v>
      </c>
    </row>
    <row r="5" spans="1:3" x14ac:dyDescent="0.25">
      <c r="A5" s="68">
        <v>471</v>
      </c>
      <c r="B5" s="58">
        <v>29280</v>
      </c>
      <c r="C5" s="69" t="e">
        <f>+B5-#REF!</f>
        <v>#REF!</v>
      </c>
    </row>
    <row r="6" spans="1:3" x14ac:dyDescent="0.25">
      <c r="A6" s="68">
        <v>943</v>
      </c>
      <c r="B6" s="40">
        <v>1910.88</v>
      </c>
      <c r="C6" s="69" t="e">
        <f>+B6-#REF!</f>
        <v>#REF!</v>
      </c>
    </row>
    <row r="7" spans="1:3" x14ac:dyDescent="0.25">
      <c r="A7" s="68">
        <v>404</v>
      </c>
      <c r="B7" s="40">
        <v>13556.24</v>
      </c>
      <c r="C7" s="69" t="e">
        <f>+B7-#REF!</f>
        <v>#REF!</v>
      </c>
    </row>
    <row r="8" spans="1:3" x14ac:dyDescent="0.25">
      <c r="A8" s="68">
        <v>1174</v>
      </c>
      <c r="B8" s="40">
        <v>7858.6167699999996</v>
      </c>
      <c r="C8" s="69" t="e">
        <f>+B8-#REF!</f>
        <v>#REF!</v>
      </c>
    </row>
    <row r="9" spans="1:3" x14ac:dyDescent="0.25">
      <c r="A9" s="67" t="s">
        <v>74</v>
      </c>
      <c r="B9" s="70">
        <f>SUM(B2:B8)</f>
        <v>305007.99585200002</v>
      </c>
      <c r="C9" s="69"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7" customWidth="1"/>
    <col min="2" max="3" width="17.5703125" style="7" customWidth="1"/>
    <col min="4" max="4" width="23.42578125" style="7" customWidth="1"/>
    <col min="5" max="5" width="1" style="7" customWidth="1"/>
    <col min="6" max="6" width="15" style="7" customWidth="1"/>
    <col min="7" max="7" width="1" style="7" customWidth="1"/>
    <col min="8" max="8" width="15" style="7" customWidth="1"/>
    <col min="9" max="10" width="18.140625" style="7" customWidth="1"/>
    <col min="11" max="11" width="15" style="7" customWidth="1"/>
    <col min="12" max="12" width="18.140625" style="7" customWidth="1"/>
    <col min="13" max="13" width="15" style="7" customWidth="1"/>
    <col min="14" max="14" width="18.140625" style="7" customWidth="1"/>
    <col min="15" max="15" width="15" style="7" customWidth="1"/>
    <col min="16" max="16" width="18.140625" style="7" customWidth="1"/>
    <col min="17" max="17" width="15" style="7" customWidth="1"/>
    <col min="18" max="18" width="15.7109375" style="7" customWidth="1"/>
    <col min="19" max="16384" width="11.42578125" style="7"/>
  </cols>
  <sheetData>
    <row r="1" spans="1:18" x14ac:dyDescent="0.25">
      <c r="A1" s="6" t="s">
        <v>64</v>
      </c>
    </row>
    <row r="3" spans="1:18" s="3" customFormat="1" ht="12.75" x14ac:dyDescent="0.2">
      <c r="A3" s="230" t="s">
        <v>0</v>
      </c>
      <c r="B3" s="231"/>
      <c r="C3" s="231"/>
      <c r="D3" s="232"/>
      <c r="E3" s="1"/>
      <c r="F3" s="2"/>
      <c r="G3" s="2"/>
      <c r="H3" s="2"/>
      <c r="I3" s="2"/>
      <c r="J3" s="2"/>
      <c r="K3" s="2"/>
      <c r="M3" s="2"/>
      <c r="O3" s="2"/>
      <c r="Q3" s="2"/>
    </row>
    <row r="4" spans="1:18" s="3" customFormat="1" ht="12.75" x14ac:dyDescent="0.2">
      <c r="A4" s="230" t="s">
        <v>14</v>
      </c>
      <c r="B4" s="231"/>
      <c r="C4" s="231"/>
      <c r="D4" s="232"/>
      <c r="E4" s="1"/>
      <c r="F4" s="2"/>
      <c r="G4" s="2"/>
      <c r="H4" s="2"/>
      <c r="I4" s="2"/>
      <c r="J4" s="2"/>
      <c r="K4" s="2"/>
      <c r="M4" s="2"/>
      <c r="O4" s="2"/>
      <c r="Q4" s="2"/>
    </row>
    <row r="5" spans="1:18" s="3" customFormat="1" ht="12.75" x14ac:dyDescent="0.2">
      <c r="A5" s="230" t="s">
        <v>0</v>
      </c>
      <c r="B5" s="231"/>
      <c r="C5" s="231"/>
      <c r="D5" s="232"/>
      <c r="E5" s="1"/>
      <c r="F5" s="2"/>
      <c r="G5" s="2"/>
      <c r="H5" s="2"/>
      <c r="I5" s="2"/>
      <c r="J5" s="2"/>
      <c r="K5" s="2"/>
      <c r="M5" s="2"/>
      <c r="O5" s="2"/>
      <c r="Q5" s="2"/>
    </row>
    <row r="6" spans="1:18" s="3" customFormat="1" ht="12.75" x14ac:dyDescent="0.2">
      <c r="A6" s="230" t="s">
        <v>15</v>
      </c>
      <c r="B6" s="231"/>
      <c r="C6" s="231"/>
      <c r="D6" s="232"/>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9" t="s">
        <v>84</v>
      </c>
      <c r="B8" s="240"/>
      <c r="C8" s="240"/>
      <c r="D8" s="240"/>
    </row>
    <row r="9" spans="1:18" s="3" customFormat="1" ht="12.75" x14ac:dyDescent="0.2">
      <c r="A9" s="4"/>
      <c r="B9" s="4"/>
      <c r="C9" s="4"/>
      <c r="D9" s="4"/>
      <c r="E9" s="2"/>
      <c r="F9" s="2"/>
      <c r="G9" s="2"/>
      <c r="H9" s="2"/>
      <c r="I9" s="2"/>
      <c r="J9" s="2"/>
      <c r="K9" s="2"/>
      <c r="M9" s="2"/>
      <c r="O9" s="2"/>
      <c r="Q9" s="2"/>
    </row>
    <row r="10" spans="1:18" ht="34.5" customHeight="1" x14ac:dyDescent="0.25">
      <c r="A10" s="31" t="s">
        <v>1</v>
      </c>
      <c r="B10" s="241" t="s">
        <v>16</v>
      </c>
      <c r="C10" s="241"/>
      <c r="D10" s="241"/>
    </row>
    <row r="11" spans="1:18" ht="12.75" customHeight="1" x14ac:dyDescent="0.25">
      <c r="A11" s="8" t="s">
        <v>17</v>
      </c>
      <c r="B11" s="6" t="s">
        <v>18</v>
      </c>
      <c r="C11" s="6"/>
    </row>
    <row r="12" spans="1:18" ht="10.5" customHeight="1" x14ac:dyDescent="0.25"/>
    <row r="13" spans="1:18" s="10" customFormat="1" ht="29.25" customHeight="1" x14ac:dyDescent="0.25">
      <c r="A13" s="236" t="s">
        <v>2</v>
      </c>
      <c r="B13" s="211" t="s">
        <v>3</v>
      </c>
      <c r="C13" s="211" t="s">
        <v>66</v>
      </c>
      <c r="D13" s="233" t="s">
        <v>19</v>
      </c>
      <c r="E13" s="9"/>
      <c r="F13" s="61">
        <v>2016</v>
      </c>
      <c r="G13" s="9"/>
      <c r="H13" s="207">
        <v>2017</v>
      </c>
      <c r="I13" s="208"/>
      <c r="J13" s="244"/>
      <c r="K13" s="207">
        <v>2018</v>
      </c>
      <c r="L13" s="244"/>
      <c r="M13" s="207">
        <v>2019</v>
      </c>
      <c r="N13" s="244"/>
      <c r="O13" s="207">
        <v>2020</v>
      </c>
      <c r="P13" s="208"/>
      <c r="Q13" s="208" t="s">
        <v>77</v>
      </c>
      <c r="R13" s="208"/>
    </row>
    <row r="14" spans="1:18" s="10" customFormat="1" ht="15" customHeight="1" x14ac:dyDescent="0.25">
      <c r="A14" s="237"/>
      <c r="B14" s="212"/>
      <c r="C14" s="212"/>
      <c r="D14" s="234"/>
      <c r="E14" s="9"/>
      <c r="F14" s="205" t="s">
        <v>8</v>
      </c>
      <c r="G14" s="9"/>
      <c r="H14" s="205" t="s">
        <v>8</v>
      </c>
      <c r="I14" s="205" t="s">
        <v>83</v>
      </c>
      <c r="J14" s="205" t="s">
        <v>79</v>
      </c>
      <c r="K14" s="205" t="s">
        <v>8</v>
      </c>
      <c r="L14" s="205" t="s">
        <v>78</v>
      </c>
      <c r="M14" s="205" t="s">
        <v>8</v>
      </c>
      <c r="N14" s="205" t="s">
        <v>78</v>
      </c>
      <c r="O14" s="209" t="s">
        <v>8</v>
      </c>
      <c r="P14" s="205" t="s">
        <v>78</v>
      </c>
      <c r="Q14" s="209" t="s">
        <v>8</v>
      </c>
      <c r="R14" s="205" t="s">
        <v>78</v>
      </c>
    </row>
    <row r="15" spans="1:18" s="10" customFormat="1" ht="47.25" customHeight="1" x14ac:dyDescent="0.25">
      <c r="A15" s="238"/>
      <c r="B15" s="213"/>
      <c r="C15" s="213"/>
      <c r="D15" s="235"/>
      <c r="E15" s="11"/>
      <c r="F15" s="205"/>
      <c r="G15" s="11"/>
      <c r="H15" s="205"/>
      <c r="I15" s="205"/>
      <c r="J15" s="205"/>
      <c r="K15" s="205"/>
      <c r="L15" s="205"/>
      <c r="M15" s="205"/>
      <c r="N15" s="205"/>
      <c r="O15" s="210"/>
      <c r="P15" s="205"/>
      <c r="Q15" s="210"/>
      <c r="R15" s="205"/>
    </row>
    <row r="16" spans="1:18" ht="60" customHeight="1" x14ac:dyDescent="0.25">
      <c r="A16" s="242" t="s">
        <v>11</v>
      </c>
      <c r="B16" s="214" t="s">
        <v>12</v>
      </c>
      <c r="C16" s="214" t="s">
        <v>67</v>
      </c>
      <c r="D16" s="12" t="s">
        <v>20</v>
      </c>
      <c r="E16" s="13"/>
      <c r="F16" s="55">
        <v>7683.488582</v>
      </c>
      <c r="G16" s="15"/>
      <c r="H16" s="27">
        <v>18626.624800000001</v>
      </c>
      <c r="I16" s="27">
        <v>6806.2292539999999</v>
      </c>
      <c r="J16" s="27">
        <f>+H16-I16</f>
        <v>11820.395546000002</v>
      </c>
      <c r="K16" s="27">
        <v>13809.148606000001</v>
      </c>
      <c r="L16" s="27">
        <f>+($J$16/3)+K16</f>
        <v>17749.280454666667</v>
      </c>
      <c r="M16" s="27">
        <v>14361.51455</v>
      </c>
      <c r="N16" s="27">
        <f>+($J$16/3)+M16</f>
        <v>18301.646398666668</v>
      </c>
      <c r="O16" s="27">
        <v>10478.567816000001</v>
      </c>
      <c r="P16" s="27">
        <f>+($J$16/3)+O16</f>
        <v>14418.699664666668</v>
      </c>
      <c r="Q16" s="27">
        <f>+F16+H16+K16+M16+O16</f>
        <v>64959.344354000008</v>
      </c>
      <c r="R16" s="27">
        <f>+F16+I16+L16+N16+P16</f>
        <v>64959.344354000001</v>
      </c>
    </row>
    <row r="17" spans="1:20" ht="60" customHeight="1" x14ac:dyDescent="0.25">
      <c r="A17" s="243"/>
      <c r="B17" s="221"/>
      <c r="C17" s="221"/>
      <c r="D17" s="12" t="s">
        <v>80</v>
      </c>
      <c r="E17" s="13"/>
      <c r="F17" s="27">
        <v>20566.505743999998</v>
      </c>
      <c r="G17" s="15"/>
      <c r="H17" s="27">
        <v>25383.216</v>
      </c>
      <c r="I17" s="27">
        <v>14746.165000000001</v>
      </c>
      <c r="J17" s="27">
        <f>+H17-I17</f>
        <v>10637.050999999999</v>
      </c>
      <c r="K17" s="27">
        <v>13199.27232</v>
      </c>
      <c r="L17" s="27">
        <f>+($J$17/3)+K17</f>
        <v>16744.955986666668</v>
      </c>
      <c r="M17" s="27">
        <v>11766.208468000001</v>
      </c>
      <c r="N17" s="27">
        <f>+($J$17/3)+M17</f>
        <v>15311.892134666667</v>
      </c>
      <c r="O17" s="27">
        <v>1509.21234</v>
      </c>
      <c r="P17" s="27">
        <f>+($J$17/3)+O17</f>
        <v>5054.8960066666659</v>
      </c>
      <c r="Q17" s="27">
        <f>+F17+H17+K17+M17+O17</f>
        <v>72424.414871999994</v>
      </c>
      <c r="R17" s="27">
        <f>+F17+I17+L17+N17+P17</f>
        <v>72424.414871999994</v>
      </c>
    </row>
    <row r="18" spans="1:20" ht="60" customHeight="1" x14ac:dyDescent="0.25">
      <c r="A18" s="243"/>
      <c r="B18" s="221"/>
      <c r="C18" s="221"/>
      <c r="D18" s="12" t="s">
        <v>81</v>
      </c>
      <c r="E18" s="13"/>
      <c r="F18" s="27">
        <v>56.1</v>
      </c>
      <c r="G18" s="15"/>
      <c r="H18" s="27">
        <v>224.90719999999999</v>
      </c>
      <c r="I18" s="27">
        <v>82.181821999999997</v>
      </c>
      <c r="J18" s="27">
        <f>+H18-I18</f>
        <v>142.72537799999998</v>
      </c>
      <c r="K18" s="27">
        <v>233.90348800000001</v>
      </c>
      <c r="L18" s="27">
        <f>+($J$18/3)+K18</f>
        <v>281.47861399999999</v>
      </c>
      <c r="M18" s="27">
        <v>243.25962799999999</v>
      </c>
      <c r="N18" s="27">
        <f>+($J$18/3)+M18</f>
        <v>290.83475399999998</v>
      </c>
      <c r="O18" s="27">
        <v>252.99001200000001</v>
      </c>
      <c r="P18" s="27">
        <f>+($J$18/3)+O18</f>
        <v>300.56513799999999</v>
      </c>
      <c r="Q18" s="27">
        <f>+F18+H18+K18+M18+O18</f>
        <v>1011.160328</v>
      </c>
      <c r="R18" s="27">
        <f>+F18+I18+L18+N18+P18</f>
        <v>1011.1603279999999</v>
      </c>
    </row>
    <row r="19" spans="1:20" ht="60" customHeight="1" x14ac:dyDescent="0.25">
      <c r="A19" s="243"/>
      <c r="B19" s="221"/>
      <c r="C19" s="221"/>
      <c r="D19" s="12" t="s">
        <v>85</v>
      </c>
      <c r="E19" s="13"/>
      <c r="F19" s="27">
        <v>4832.2331139999997</v>
      </c>
      <c r="G19" s="15"/>
      <c r="H19" s="27">
        <v>15542.712</v>
      </c>
      <c r="I19" s="27">
        <v>8510.6509999999998</v>
      </c>
      <c r="J19" s="27">
        <f>+H19-I19</f>
        <v>7032.0609999999997</v>
      </c>
      <c r="K19" s="27">
        <v>10548.496424999999</v>
      </c>
      <c r="L19" s="27">
        <f>+($J$19/3)+K19</f>
        <v>12892.516758333333</v>
      </c>
      <c r="M19" s="27">
        <v>4354.0999080000001</v>
      </c>
      <c r="N19" s="27">
        <f>+($J$19/3)+M19</f>
        <v>6698.120241333334</v>
      </c>
      <c r="O19" s="27">
        <v>1866.0428179999999</v>
      </c>
      <c r="P19" s="27">
        <f>+($J$19/3)+O19</f>
        <v>4210.0631513333337</v>
      </c>
      <c r="Q19" s="27">
        <f>+F19+H19+K19+M19+O19</f>
        <v>37143.584264999998</v>
      </c>
      <c r="R19" s="27">
        <f>+F19+I19+L19+N19+P19</f>
        <v>37143.584264999998</v>
      </c>
    </row>
    <row r="20" spans="1:20" ht="60" customHeight="1" x14ac:dyDescent="0.25">
      <c r="A20" s="243"/>
      <c r="B20" s="215"/>
      <c r="C20" s="215"/>
      <c r="D20" s="12" t="s">
        <v>82</v>
      </c>
      <c r="E20" s="13"/>
      <c r="F20" s="27">
        <v>1892.9710849999999</v>
      </c>
      <c r="G20" s="15"/>
      <c r="H20" s="27">
        <v>4978.152</v>
      </c>
      <c r="I20" s="27">
        <v>1819.0329240000001</v>
      </c>
      <c r="J20" s="27">
        <f>+H20-I20</f>
        <v>3159.1190759999999</v>
      </c>
      <c r="K20" s="27">
        <v>2537.8814120000002</v>
      </c>
      <c r="L20" s="27">
        <f>+($J$20/3)+K20</f>
        <v>3590.921104</v>
      </c>
      <c r="M20" s="27">
        <v>2639.3966679999999</v>
      </c>
      <c r="N20" s="27">
        <f>+($J$20/3)+M20</f>
        <v>3692.4363599999997</v>
      </c>
      <c r="O20" s="27">
        <v>1043.089563</v>
      </c>
      <c r="P20" s="27">
        <f>+($J$20/3)+O20</f>
        <v>2096.1292549999998</v>
      </c>
      <c r="Q20" s="27">
        <f>+F20+H20+K20+M20+O20</f>
        <v>13091.490727999999</v>
      </c>
      <c r="R20" s="27">
        <f>+F20+I20+L20+N20+P20</f>
        <v>13091.490728000001</v>
      </c>
    </row>
    <row r="21" spans="1:20" s="6" customFormat="1" ht="14.25" customHeight="1" x14ac:dyDescent="0.25">
      <c r="A21" s="16"/>
      <c r="B21" s="62" t="s">
        <v>52</v>
      </c>
      <c r="C21" s="62"/>
      <c r="D21" s="37"/>
      <c r="E21" s="38"/>
      <c r="F21" s="40">
        <f>SUM(F16:F20)</f>
        <v>35031.298524999998</v>
      </c>
      <c r="G21" s="41"/>
      <c r="H21" s="40">
        <f t="shared" ref="H21:R21" si="0">SUM(H16:H20)</f>
        <v>64755.612000000008</v>
      </c>
      <c r="I21" s="40">
        <f t="shared" si="0"/>
        <v>31964.259999999995</v>
      </c>
      <c r="J21" s="40">
        <f t="shared" si="0"/>
        <v>32791.351999999999</v>
      </c>
      <c r="K21" s="40">
        <f t="shared" si="0"/>
        <v>40328.702251000002</v>
      </c>
      <c r="L21" s="40">
        <f t="shared" si="0"/>
        <v>51259.152917666666</v>
      </c>
      <c r="M21" s="40">
        <f t="shared" si="0"/>
        <v>33364.479222000002</v>
      </c>
      <c r="N21" s="40">
        <f t="shared" si="0"/>
        <v>44294.929888666673</v>
      </c>
      <c r="O21" s="40">
        <f t="shared" si="0"/>
        <v>15149.902549</v>
      </c>
      <c r="P21" s="40">
        <f t="shared" si="0"/>
        <v>26080.35321566667</v>
      </c>
      <c r="Q21" s="71">
        <f t="shared" si="0"/>
        <v>188629.99454699998</v>
      </c>
      <c r="R21" s="71">
        <f t="shared" si="0"/>
        <v>188629.99454699998</v>
      </c>
      <c r="S21" s="40">
        <v>188629.99454699998</v>
      </c>
      <c r="T21" s="80">
        <f>+S21-R21</f>
        <v>0</v>
      </c>
    </row>
    <row r="22" spans="1:20" ht="21.75" customHeight="1" x14ac:dyDescent="0.25">
      <c r="Q22" s="65"/>
    </row>
    <row r="23" spans="1:20" ht="12.75" customHeight="1" x14ac:dyDescent="0.25">
      <c r="A23" s="6" t="s">
        <v>21</v>
      </c>
      <c r="B23" s="6" t="s">
        <v>22</v>
      </c>
      <c r="C23" s="6"/>
      <c r="Q23" s="66"/>
    </row>
    <row r="24" spans="1:20" ht="12.75" customHeight="1" x14ac:dyDescent="0.25">
      <c r="A24" s="8">
        <v>14</v>
      </c>
      <c r="B24" s="6" t="s">
        <v>23</v>
      </c>
      <c r="C24" s="6"/>
    </row>
    <row r="25" spans="1:20" ht="14.25" customHeight="1" x14ac:dyDescent="0.25"/>
    <row r="26" spans="1:20" s="10" customFormat="1" ht="29.25" customHeight="1" x14ac:dyDescent="0.25">
      <c r="A26" s="206" t="s">
        <v>2</v>
      </c>
      <c r="B26" s="206" t="s">
        <v>3</v>
      </c>
      <c r="C26" s="211" t="s">
        <v>66</v>
      </c>
      <c r="D26" s="206" t="s">
        <v>19</v>
      </c>
      <c r="E26" s="9"/>
      <c r="F26" s="61">
        <v>2016</v>
      </c>
      <c r="G26" s="72"/>
      <c r="H26" s="206">
        <v>2017</v>
      </c>
      <c r="I26" s="206"/>
      <c r="J26" s="206"/>
      <c r="K26" s="206">
        <v>2018</v>
      </c>
      <c r="L26" s="206"/>
      <c r="M26" s="206">
        <v>2019</v>
      </c>
      <c r="N26" s="206"/>
      <c r="O26" s="206">
        <v>2020</v>
      </c>
      <c r="P26" s="206"/>
      <c r="Q26" s="206" t="s">
        <v>77</v>
      </c>
      <c r="R26" s="206"/>
    </row>
    <row r="27" spans="1:20" s="10" customFormat="1" ht="15" customHeight="1" x14ac:dyDescent="0.25">
      <c r="A27" s="206"/>
      <c r="B27" s="206"/>
      <c r="C27" s="212"/>
      <c r="D27" s="206"/>
      <c r="E27" s="9"/>
      <c r="F27" s="205" t="s">
        <v>8</v>
      </c>
      <c r="G27" s="72"/>
      <c r="H27" s="205" t="s">
        <v>8</v>
      </c>
      <c r="I27" s="205" t="s">
        <v>83</v>
      </c>
      <c r="J27" s="205" t="s">
        <v>79</v>
      </c>
      <c r="K27" s="205" t="s">
        <v>8</v>
      </c>
      <c r="L27" s="205" t="s">
        <v>78</v>
      </c>
      <c r="M27" s="205" t="s">
        <v>8</v>
      </c>
      <c r="N27" s="205" t="s">
        <v>78</v>
      </c>
      <c r="O27" s="205" t="s">
        <v>8</v>
      </c>
      <c r="P27" s="205" t="s">
        <v>78</v>
      </c>
      <c r="Q27" s="205" t="s">
        <v>8</v>
      </c>
      <c r="R27" s="205" t="s">
        <v>78</v>
      </c>
    </row>
    <row r="28" spans="1:20" s="10" customFormat="1" ht="47.25" customHeight="1" x14ac:dyDescent="0.25">
      <c r="A28" s="206"/>
      <c r="B28" s="206"/>
      <c r="C28" s="213"/>
      <c r="D28" s="206"/>
      <c r="E28" s="11"/>
      <c r="F28" s="205"/>
      <c r="G28" s="73"/>
      <c r="H28" s="205"/>
      <c r="I28" s="205"/>
      <c r="J28" s="205"/>
      <c r="K28" s="205"/>
      <c r="L28" s="205"/>
      <c r="M28" s="205"/>
      <c r="N28" s="205"/>
      <c r="O28" s="205"/>
      <c r="P28" s="205"/>
      <c r="Q28" s="205"/>
      <c r="R28" s="205"/>
    </row>
    <row r="29" spans="1:20" ht="51" hidden="1" customHeight="1" x14ac:dyDescent="0.25">
      <c r="A29" s="228" t="s">
        <v>24</v>
      </c>
      <c r="B29" s="229" t="s">
        <v>25</v>
      </c>
      <c r="C29" s="62"/>
      <c r="D29" s="17" t="s">
        <v>9</v>
      </c>
      <c r="E29" s="13"/>
      <c r="F29" s="26"/>
      <c r="G29" s="74"/>
      <c r="H29" s="26"/>
      <c r="I29" s="74"/>
      <c r="J29" s="74"/>
      <c r="K29" s="27"/>
      <c r="L29" s="75"/>
      <c r="M29" s="19"/>
      <c r="N29" s="75"/>
      <c r="O29" s="19"/>
      <c r="P29" s="75"/>
      <c r="Q29" s="14"/>
      <c r="R29" s="75"/>
    </row>
    <row r="30" spans="1:20" ht="95.25" customHeight="1" x14ac:dyDescent="0.25">
      <c r="A30" s="228"/>
      <c r="B30" s="229"/>
      <c r="C30" s="229" t="s">
        <v>68</v>
      </c>
      <c r="D30" s="12" t="s">
        <v>47</v>
      </c>
      <c r="E30" s="13"/>
      <c r="F30" s="14">
        <v>2310.5661340000001</v>
      </c>
      <c r="G30" s="74"/>
      <c r="H30" s="32">
        <v>2534.25</v>
      </c>
      <c r="I30" s="32">
        <v>2292.7629999999999</v>
      </c>
      <c r="J30" s="32">
        <f>+H30-I30</f>
        <v>241.48700000000008</v>
      </c>
      <c r="K30" s="14">
        <v>2195.5</v>
      </c>
      <c r="L30" s="27">
        <f>+($J$30/3)+K30</f>
        <v>2275.9956666666667</v>
      </c>
      <c r="M30" s="27">
        <v>2159</v>
      </c>
      <c r="N30" s="27">
        <f>+($J$30/3)+M30</f>
        <v>2239.4956666666667</v>
      </c>
      <c r="O30" s="18">
        <v>0</v>
      </c>
      <c r="P30" s="27">
        <f>+($J$30/3)+O30</f>
        <v>80.495666666666693</v>
      </c>
      <c r="Q30" s="25">
        <f>+F30+H30+K30+M30+O30</f>
        <v>9199.3161340000006</v>
      </c>
      <c r="R30" s="27">
        <f>+F30+I30+L30+N30+P30</f>
        <v>9199.3161340000006</v>
      </c>
    </row>
    <row r="31" spans="1:20" ht="100.5" customHeight="1" x14ac:dyDescent="0.25">
      <c r="A31" s="228"/>
      <c r="B31" s="229"/>
      <c r="C31" s="229"/>
      <c r="D31" s="17" t="s">
        <v>48</v>
      </c>
      <c r="E31" s="13"/>
      <c r="F31" s="25">
        <v>6931.698402</v>
      </c>
      <c r="G31" s="74"/>
      <c r="H31" s="32">
        <v>7602.75</v>
      </c>
      <c r="I31" s="32">
        <v>6878.2889999999998</v>
      </c>
      <c r="J31" s="32">
        <f>+H31-I31</f>
        <v>724.46100000000024</v>
      </c>
      <c r="K31" s="32">
        <v>6586.5</v>
      </c>
      <c r="L31" s="27">
        <f>+($J$31/3)+K31</f>
        <v>6827.9870000000001</v>
      </c>
      <c r="M31" s="25">
        <v>6477</v>
      </c>
      <c r="N31" s="27">
        <f>+($J$31/3)+M31</f>
        <v>6718.4870000000001</v>
      </c>
      <c r="O31" s="25">
        <v>10063</v>
      </c>
      <c r="P31" s="27">
        <f>+($J$31/3)+O31</f>
        <v>10304.487000000001</v>
      </c>
      <c r="Q31" s="25">
        <f>+F31+H31+K31+M31+O31</f>
        <v>37660.948402000002</v>
      </c>
      <c r="R31" s="27">
        <f>+F31+I31+L31+N31+P31</f>
        <v>37660.948402000002</v>
      </c>
    </row>
    <row r="32" spans="1:20" s="6" customFormat="1" ht="15.75" customHeight="1" x14ac:dyDescent="0.25">
      <c r="A32" s="42"/>
      <c r="B32" s="60" t="s">
        <v>53</v>
      </c>
      <c r="C32" s="59"/>
      <c r="D32" s="43"/>
      <c r="E32" s="38"/>
      <c r="F32" s="44">
        <f>SUM(F30:F31)</f>
        <v>9242.2645360000006</v>
      </c>
      <c r="G32" s="76"/>
      <c r="H32" s="44">
        <f t="shared" ref="H32:R32" si="1">SUM(H30:H31)</f>
        <v>10137</v>
      </c>
      <c r="I32" s="44">
        <f t="shared" si="1"/>
        <v>9171.0519999999997</v>
      </c>
      <c r="J32" s="44">
        <f t="shared" si="1"/>
        <v>965.94800000000032</v>
      </c>
      <c r="K32" s="44">
        <f t="shared" si="1"/>
        <v>8782</v>
      </c>
      <c r="L32" s="44">
        <f t="shared" si="1"/>
        <v>9103.9826666666668</v>
      </c>
      <c r="M32" s="44">
        <f t="shared" si="1"/>
        <v>8636</v>
      </c>
      <c r="N32" s="44">
        <f t="shared" si="1"/>
        <v>8957.9826666666668</v>
      </c>
      <c r="O32" s="44">
        <f t="shared" si="1"/>
        <v>10063</v>
      </c>
      <c r="P32" s="44">
        <f t="shared" si="1"/>
        <v>10384.982666666667</v>
      </c>
      <c r="Q32" s="44">
        <f t="shared" si="1"/>
        <v>46860.264536000002</v>
      </c>
      <c r="R32" s="44">
        <f t="shared" si="1"/>
        <v>46860.264536000002</v>
      </c>
      <c r="S32" s="44">
        <v>46860.264536000002</v>
      </c>
      <c r="T32" s="81">
        <f>+S32-R32</f>
        <v>0</v>
      </c>
    </row>
    <row r="33" spans="1:20" s="21" customFormat="1" ht="144.75" customHeight="1" x14ac:dyDescent="0.25">
      <c r="A33" s="222" t="s">
        <v>10</v>
      </c>
      <c r="B33" s="225" t="s">
        <v>26</v>
      </c>
      <c r="C33" s="225" t="s">
        <v>69</v>
      </c>
      <c r="D33" s="17" t="s">
        <v>49</v>
      </c>
      <c r="E33" s="20"/>
      <c r="F33" s="33">
        <v>843.23047499999996</v>
      </c>
      <c r="G33" s="77"/>
      <c r="H33" s="34">
        <v>1469.4447319999999</v>
      </c>
      <c r="I33" s="34">
        <v>1115.2239999999999</v>
      </c>
      <c r="J33" s="34">
        <f>+H33-I33</f>
        <v>354.220732</v>
      </c>
      <c r="K33" s="34">
        <v>1272.873458</v>
      </c>
      <c r="L33" s="34">
        <f>+($J$33/3)+K33</f>
        <v>1390.9470353333334</v>
      </c>
      <c r="M33" s="25">
        <v>1252.0249899999999</v>
      </c>
      <c r="N33" s="34">
        <f>+($J$33/3)+M33</f>
        <v>1370.0985673333332</v>
      </c>
      <c r="O33" s="25">
        <v>1458.6482040000001</v>
      </c>
      <c r="P33" s="34">
        <f>+($J$33/3)+O33</f>
        <v>1576.7217813333334</v>
      </c>
      <c r="Q33" s="25">
        <f>+F33+H33+K33+M33+O33</f>
        <v>6296.2218590000002</v>
      </c>
      <c r="R33" s="27">
        <f t="shared" ref="R33:R39" si="2">+F33+I33+L33+N33+P33</f>
        <v>6296.2218590000002</v>
      </c>
    </row>
    <row r="34" spans="1:20" s="21" customFormat="1" ht="79.5" customHeight="1" x14ac:dyDescent="0.25">
      <c r="A34" s="223"/>
      <c r="B34" s="226"/>
      <c r="C34" s="226"/>
      <c r="D34" s="17" t="s">
        <v>50</v>
      </c>
      <c r="E34" s="20"/>
      <c r="F34" s="33">
        <v>607.23047499999996</v>
      </c>
      <c r="G34" s="77"/>
      <c r="H34" s="34">
        <v>1058.06277</v>
      </c>
      <c r="I34" s="34">
        <v>803.00900000000001</v>
      </c>
      <c r="J34" s="34">
        <f>+H34-I34</f>
        <v>255.05376999999999</v>
      </c>
      <c r="K34" s="34">
        <v>916.52308400000004</v>
      </c>
      <c r="L34" s="34">
        <f>+($J$34/3)+K34</f>
        <v>1001.5410073333334</v>
      </c>
      <c r="M34" s="25">
        <v>901.51129900000001</v>
      </c>
      <c r="N34" s="34">
        <f>+($J$34/3)+M34</f>
        <v>986.52922233333334</v>
      </c>
      <c r="O34" s="25">
        <v>1050.28881</v>
      </c>
      <c r="P34" s="34">
        <f>+($J$34/3)+O34</f>
        <v>1135.3067333333333</v>
      </c>
      <c r="Q34" s="25">
        <f>+F34+H34+K34+M34+O34</f>
        <v>4533.616438</v>
      </c>
      <c r="R34" s="27">
        <f t="shared" si="2"/>
        <v>4533.6164379999991</v>
      </c>
    </row>
    <row r="35" spans="1:20" s="21" customFormat="1" ht="201" customHeight="1" x14ac:dyDescent="0.25">
      <c r="A35" s="224"/>
      <c r="B35" s="227"/>
      <c r="C35" s="227"/>
      <c r="D35" s="17" t="s">
        <v>51</v>
      </c>
      <c r="E35" s="20"/>
      <c r="F35" s="28">
        <v>814.53904999999997</v>
      </c>
      <c r="G35" s="77"/>
      <c r="H35" s="29">
        <v>1419.492497</v>
      </c>
      <c r="I35" s="34">
        <v>1077.3130000000001</v>
      </c>
      <c r="J35" s="34">
        <f>+H35-I35</f>
        <v>342.17949699999986</v>
      </c>
      <c r="K35" s="29">
        <v>1229.603458</v>
      </c>
      <c r="L35" s="34">
        <f>+($J$35/3)+K35</f>
        <v>1343.6632903333334</v>
      </c>
      <c r="M35" s="25">
        <v>1209.4637110000001</v>
      </c>
      <c r="N35" s="34">
        <f>+($J$35/3)+M35</f>
        <v>1323.5235433333335</v>
      </c>
      <c r="O35" s="25">
        <v>1409.0629859999999</v>
      </c>
      <c r="P35" s="34">
        <f>+($J$35/3)+O35</f>
        <v>1523.1228183333333</v>
      </c>
      <c r="Q35" s="25">
        <f>+F35+H35+K35+M35+O35</f>
        <v>6082.1617020000003</v>
      </c>
      <c r="R35" s="27">
        <f t="shared" si="2"/>
        <v>6082.1617020000003</v>
      </c>
    </row>
    <row r="36" spans="1:20" s="47" customFormat="1" ht="15" customHeight="1" x14ac:dyDescent="0.25">
      <c r="A36" s="63"/>
      <c r="B36" s="64" t="s">
        <v>54</v>
      </c>
      <c r="C36" s="64"/>
      <c r="D36" s="43"/>
      <c r="E36" s="45"/>
      <c r="F36" s="46">
        <f>SUM(F33:F35)</f>
        <v>2265</v>
      </c>
      <c r="G36" s="78"/>
      <c r="H36" s="46">
        <f t="shared" ref="H36:R36" si="3">SUM(H33:H35)</f>
        <v>3946.9999989999997</v>
      </c>
      <c r="I36" s="46">
        <f t="shared" si="3"/>
        <v>2995.5460000000003</v>
      </c>
      <c r="J36" s="46">
        <f t="shared" si="3"/>
        <v>951.45399899999984</v>
      </c>
      <c r="K36" s="46">
        <f t="shared" si="3"/>
        <v>3419</v>
      </c>
      <c r="L36" s="46">
        <f t="shared" si="3"/>
        <v>3736.1513330000002</v>
      </c>
      <c r="M36" s="46">
        <f t="shared" si="3"/>
        <v>3363</v>
      </c>
      <c r="N36" s="46">
        <f t="shared" si="3"/>
        <v>3680.1513329999998</v>
      </c>
      <c r="O36" s="46">
        <f t="shared" si="3"/>
        <v>3918</v>
      </c>
      <c r="P36" s="46">
        <f t="shared" si="3"/>
        <v>4235.1513329999998</v>
      </c>
      <c r="Q36" s="46">
        <f t="shared" si="3"/>
        <v>16911.999999</v>
      </c>
      <c r="R36" s="46">
        <f t="shared" si="3"/>
        <v>16911.999999</v>
      </c>
      <c r="S36" s="46">
        <v>16911.999999</v>
      </c>
      <c r="T36" s="81">
        <f>+S36-R36</f>
        <v>0</v>
      </c>
    </row>
    <row r="37" spans="1:20" s="21" customFormat="1" ht="30" customHeight="1" x14ac:dyDescent="0.25">
      <c r="A37" s="218" t="s">
        <v>27</v>
      </c>
      <c r="B37" s="214" t="s">
        <v>28</v>
      </c>
      <c r="C37" s="214" t="s">
        <v>70</v>
      </c>
      <c r="D37" s="17" t="s">
        <v>29</v>
      </c>
      <c r="E37" s="20"/>
      <c r="F37" s="28">
        <v>1039</v>
      </c>
      <c r="G37" s="77"/>
      <c r="H37" s="29">
        <v>5710</v>
      </c>
      <c r="I37" s="29">
        <v>4252.8609999999999</v>
      </c>
      <c r="J37" s="29">
        <f>+H37-I37</f>
        <v>1457.1390000000001</v>
      </c>
      <c r="K37" s="29">
        <v>9082</v>
      </c>
      <c r="L37" s="29">
        <f>+($J$37/3)+K37</f>
        <v>9567.7129999999997</v>
      </c>
      <c r="M37" s="25">
        <v>4634</v>
      </c>
      <c r="N37" s="29">
        <f>+($J$37/3)+M37</f>
        <v>5119.7129999999997</v>
      </c>
      <c r="O37" s="25">
        <v>1739</v>
      </c>
      <c r="P37" s="29">
        <f>+($J$37/3)+O37</f>
        <v>2224.7130000000002</v>
      </c>
      <c r="Q37" s="25">
        <f>+F37+H37+K37+M37+O37</f>
        <v>22204</v>
      </c>
      <c r="R37" s="27">
        <f t="shared" si="2"/>
        <v>22204</v>
      </c>
      <c r="S37" s="10"/>
    </row>
    <row r="38" spans="1:20" s="21" customFormat="1" ht="30" x14ac:dyDescent="0.25">
      <c r="A38" s="219"/>
      <c r="B38" s="221"/>
      <c r="C38" s="221"/>
      <c r="D38" s="17" t="s">
        <v>30</v>
      </c>
      <c r="E38" s="20"/>
      <c r="F38" s="28">
        <v>257</v>
      </c>
      <c r="G38" s="77"/>
      <c r="H38" s="29">
        <v>527</v>
      </c>
      <c r="I38" s="29">
        <v>392.51400000000001</v>
      </c>
      <c r="J38" s="29">
        <f>+H38-I38</f>
        <v>134.48599999999999</v>
      </c>
      <c r="K38" s="29">
        <v>580</v>
      </c>
      <c r="L38" s="29">
        <f>+($J$38/3)+K38</f>
        <v>624.82866666666666</v>
      </c>
      <c r="M38" s="25">
        <v>296</v>
      </c>
      <c r="N38" s="29">
        <f>+($J$38/3)+M38</f>
        <v>340.82866666666666</v>
      </c>
      <c r="O38" s="25">
        <v>111</v>
      </c>
      <c r="P38" s="29">
        <f>+($J$38/3)+O38</f>
        <v>155.82866666666666</v>
      </c>
      <c r="Q38" s="56">
        <f>+F38+H38+K38+M38+O38</f>
        <v>1771</v>
      </c>
      <c r="R38" s="27">
        <f t="shared" si="2"/>
        <v>1771</v>
      </c>
      <c r="S38" s="10"/>
    </row>
    <row r="39" spans="1:20" ht="60" x14ac:dyDescent="0.25">
      <c r="A39" s="220"/>
      <c r="B39" s="215"/>
      <c r="C39" s="215"/>
      <c r="D39" s="17" t="s">
        <v>31</v>
      </c>
      <c r="E39" s="13"/>
      <c r="F39" s="27">
        <v>2758</v>
      </c>
      <c r="G39" s="74"/>
      <c r="H39" s="27">
        <v>2547</v>
      </c>
      <c r="I39" s="29">
        <v>1897.029</v>
      </c>
      <c r="J39" s="29">
        <f>+H39-I39</f>
        <v>649.971</v>
      </c>
      <c r="K39" s="27">
        <v>0</v>
      </c>
      <c r="L39" s="29">
        <f>+($J$39/3)+K39</f>
        <v>216.65700000000001</v>
      </c>
      <c r="M39" s="25">
        <v>0</v>
      </c>
      <c r="N39" s="29">
        <f>+($J$39/3)+M39</f>
        <v>216.65700000000001</v>
      </c>
      <c r="O39" s="27">
        <v>0</v>
      </c>
      <c r="P39" s="29">
        <f>+($J$39/3)+O39</f>
        <v>216.65700000000001</v>
      </c>
      <c r="Q39" s="57">
        <f>+F39+H39+K39+M39+O39</f>
        <v>5305</v>
      </c>
      <c r="R39" s="27">
        <f t="shared" si="2"/>
        <v>5305.0000000000009</v>
      </c>
      <c r="S39" s="10"/>
    </row>
    <row r="40" spans="1:20" s="6" customFormat="1" ht="18.75" customHeight="1" x14ac:dyDescent="0.25">
      <c r="A40" s="48"/>
      <c r="B40" s="49" t="s">
        <v>55</v>
      </c>
      <c r="C40" s="49"/>
      <c r="D40" s="43"/>
      <c r="E40" s="38"/>
      <c r="F40" s="40">
        <f>SUM(F37:F39)</f>
        <v>4054</v>
      </c>
      <c r="G40" s="76"/>
      <c r="H40" s="40">
        <f t="shared" ref="H40:R40" si="4">SUM(H37:H39)</f>
        <v>8784</v>
      </c>
      <c r="I40" s="40">
        <f t="shared" si="4"/>
        <v>6542.4040000000005</v>
      </c>
      <c r="J40" s="40">
        <f t="shared" si="4"/>
        <v>2241.596</v>
      </c>
      <c r="K40" s="40">
        <f t="shared" si="4"/>
        <v>9662</v>
      </c>
      <c r="L40" s="40">
        <f t="shared" si="4"/>
        <v>10409.198666666665</v>
      </c>
      <c r="M40" s="79">
        <f t="shared" si="4"/>
        <v>4930</v>
      </c>
      <c r="N40" s="79">
        <f t="shared" si="4"/>
        <v>5677.1986666666662</v>
      </c>
      <c r="O40" s="40">
        <f t="shared" si="4"/>
        <v>1850</v>
      </c>
      <c r="P40" s="40">
        <f t="shared" si="4"/>
        <v>2597.1986666666671</v>
      </c>
      <c r="Q40" s="58">
        <f t="shared" si="4"/>
        <v>29280</v>
      </c>
      <c r="R40" s="58">
        <f t="shared" si="4"/>
        <v>29280</v>
      </c>
      <c r="S40" s="58">
        <v>29280</v>
      </c>
      <c r="T40" s="81">
        <f>+S40-R40</f>
        <v>0</v>
      </c>
    </row>
    <row r="42" spans="1:20" ht="12.75" customHeight="1" x14ac:dyDescent="0.25">
      <c r="A42" s="6" t="s">
        <v>32</v>
      </c>
      <c r="B42" s="6" t="s">
        <v>33</v>
      </c>
      <c r="C42" s="6"/>
    </row>
    <row r="43" spans="1:20" ht="12.75" customHeight="1" x14ac:dyDescent="0.25">
      <c r="A43" s="8">
        <v>42</v>
      </c>
      <c r="B43" s="6" t="s">
        <v>34</v>
      </c>
      <c r="C43" s="6"/>
    </row>
    <row r="44" spans="1:20" ht="12.75" customHeight="1" x14ac:dyDescent="0.25">
      <c r="A44" s="8"/>
      <c r="B44" s="6"/>
      <c r="C44" s="6"/>
    </row>
    <row r="45" spans="1:20" s="10" customFormat="1" ht="29.25" customHeight="1" x14ac:dyDescent="0.25">
      <c r="A45" s="206" t="s">
        <v>2</v>
      </c>
      <c r="B45" s="206" t="s">
        <v>3</v>
      </c>
      <c r="C45" s="211" t="s">
        <v>66</v>
      </c>
      <c r="D45" s="206" t="s">
        <v>19</v>
      </c>
      <c r="E45" s="9"/>
      <c r="F45" s="61">
        <v>2016</v>
      </c>
      <c r="G45" s="72"/>
      <c r="H45" s="206">
        <v>2017</v>
      </c>
      <c r="I45" s="206"/>
      <c r="J45" s="206"/>
      <c r="K45" s="206">
        <v>2018</v>
      </c>
      <c r="L45" s="206"/>
      <c r="M45" s="206">
        <v>2019</v>
      </c>
      <c r="N45" s="206"/>
      <c r="O45" s="206">
        <v>2020</v>
      </c>
      <c r="P45" s="206"/>
      <c r="Q45" s="206" t="s">
        <v>77</v>
      </c>
      <c r="R45" s="206"/>
    </row>
    <row r="46" spans="1:20" s="10" customFormat="1" ht="15" customHeight="1" x14ac:dyDescent="0.25">
      <c r="A46" s="206"/>
      <c r="B46" s="206"/>
      <c r="C46" s="212"/>
      <c r="D46" s="206"/>
      <c r="E46" s="9"/>
      <c r="F46" s="209" t="s">
        <v>8</v>
      </c>
      <c r="G46" s="72"/>
      <c r="H46" s="209" t="s">
        <v>8</v>
      </c>
      <c r="I46" s="205" t="s">
        <v>83</v>
      </c>
      <c r="J46" s="205" t="s">
        <v>79</v>
      </c>
      <c r="K46" s="209" t="s">
        <v>8</v>
      </c>
      <c r="L46" s="205" t="s">
        <v>78</v>
      </c>
      <c r="M46" s="209" t="s">
        <v>8</v>
      </c>
      <c r="N46" s="205" t="s">
        <v>78</v>
      </c>
      <c r="O46" s="205" t="s">
        <v>8</v>
      </c>
      <c r="P46" s="205" t="s">
        <v>78</v>
      </c>
      <c r="Q46" s="209" t="s">
        <v>8</v>
      </c>
      <c r="R46" s="205" t="s">
        <v>78</v>
      </c>
    </row>
    <row r="47" spans="1:20" s="10" customFormat="1" ht="47.25" customHeight="1" x14ac:dyDescent="0.25">
      <c r="A47" s="206"/>
      <c r="B47" s="206"/>
      <c r="C47" s="213"/>
      <c r="D47" s="206"/>
      <c r="E47" s="11"/>
      <c r="F47" s="210"/>
      <c r="G47" s="73"/>
      <c r="H47" s="210"/>
      <c r="I47" s="205"/>
      <c r="J47" s="205"/>
      <c r="K47" s="210"/>
      <c r="L47" s="205"/>
      <c r="M47" s="210"/>
      <c r="N47" s="205"/>
      <c r="O47" s="205"/>
      <c r="P47" s="205"/>
      <c r="Q47" s="210"/>
      <c r="R47" s="205"/>
    </row>
    <row r="48" spans="1:20" ht="60" customHeight="1" x14ac:dyDescent="0.25">
      <c r="A48" s="216" t="s">
        <v>35</v>
      </c>
      <c r="B48" s="214" t="s">
        <v>36</v>
      </c>
      <c r="C48" s="214" t="s">
        <v>71</v>
      </c>
      <c r="D48" s="35" t="s">
        <v>37</v>
      </c>
      <c r="E48" s="13"/>
      <c r="F48" s="27">
        <v>341.4</v>
      </c>
      <c r="G48" s="15"/>
      <c r="H48" s="14">
        <v>250.08</v>
      </c>
      <c r="I48" s="26">
        <v>305.81400000000002</v>
      </c>
      <c r="J48" s="26">
        <f>+I48-H48</f>
        <v>55.734000000000009</v>
      </c>
      <c r="K48" s="14">
        <v>216.672</v>
      </c>
      <c r="L48" s="26">
        <f>+K48-($J$48/3)</f>
        <v>198.09399999999999</v>
      </c>
      <c r="M48" s="27">
        <v>213.072</v>
      </c>
      <c r="N48" s="26">
        <f>+M48-($J$48/3)</f>
        <v>194.494</v>
      </c>
      <c r="O48" s="27">
        <v>248.304</v>
      </c>
      <c r="P48" s="26">
        <f>+O48-($J$48/3)</f>
        <v>229.726</v>
      </c>
      <c r="Q48" s="27">
        <f>+F48+H48+K48+M48+O48</f>
        <v>1269.528</v>
      </c>
      <c r="R48" s="27">
        <f>+F48+I48+L48+N48+P48</f>
        <v>1269.5279999999998</v>
      </c>
    </row>
    <row r="49" spans="1:20" ht="60" customHeight="1" x14ac:dyDescent="0.25">
      <c r="A49" s="217"/>
      <c r="B49" s="215"/>
      <c r="C49" s="215"/>
      <c r="D49" s="35" t="s">
        <v>38</v>
      </c>
      <c r="E49" s="13"/>
      <c r="F49" s="27">
        <v>22.6</v>
      </c>
      <c r="G49" s="15"/>
      <c r="H49" s="26">
        <v>166.72</v>
      </c>
      <c r="I49" s="26">
        <v>203.876</v>
      </c>
      <c r="J49" s="26">
        <f>+I49-H49</f>
        <v>37.156000000000006</v>
      </c>
      <c r="K49" s="26">
        <v>144.44800000000001</v>
      </c>
      <c r="L49" s="26">
        <f>+K49-($J$49/3)</f>
        <v>132.06266666666667</v>
      </c>
      <c r="M49" s="27">
        <v>142.048</v>
      </c>
      <c r="N49" s="26">
        <f>+M49-($J$49/3)</f>
        <v>129.66266666666667</v>
      </c>
      <c r="O49" s="27">
        <v>165.536</v>
      </c>
      <c r="P49" s="26">
        <f>+O49-($J$49/3)</f>
        <v>153.15066666666667</v>
      </c>
      <c r="Q49" s="27">
        <f>+F49+H49+K49+M49+O49</f>
        <v>641.35200000000009</v>
      </c>
      <c r="R49" s="27">
        <f>+F49+I49+L49+N49+P49</f>
        <v>641.35200000000009</v>
      </c>
    </row>
    <row r="50" spans="1:20" s="6" customFormat="1" ht="18.75" customHeight="1" x14ac:dyDescent="0.25">
      <c r="A50" s="48"/>
      <c r="B50" s="49" t="s">
        <v>56</v>
      </c>
      <c r="C50" s="49"/>
      <c r="D50" s="43"/>
      <c r="E50" s="38"/>
      <c r="F50" s="40">
        <f>SUM(F48:F49)</f>
        <v>364</v>
      </c>
      <c r="G50" s="41"/>
      <c r="H50" s="40">
        <f t="shared" ref="H50:R50" si="5">SUM(H48:H49)</f>
        <v>416.8</v>
      </c>
      <c r="I50" s="40">
        <f t="shared" si="5"/>
        <v>509.69000000000005</v>
      </c>
      <c r="J50" s="40">
        <f t="shared" si="5"/>
        <v>92.890000000000015</v>
      </c>
      <c r="K50" s="40">
        <f t="shared" si="5"/>
        <v>361.12</v>
      </c>
      <c r="L50" s="40">
        <f t="shared" si="5"/>
        <v>330.15666666666664</v>
      </c>
      <c r="M50" s="40">
        <f t="shared" si="5"/>
        <v>355.12</v>
      </c>
      <c r="N50" s="40">
        <f t="shared" si="5"/>
        <v>324.15666666666664</v>
      </c>
      <c r="O50" s="40">
        <f t="shared" si="5"/>
        <v>413.84000000000003</v>
      </c>
      <c r="P50" s="40">
        <f t="shared" si="5"/>
        <v>382.87666666666667</v>
      </c>
      <c r="Q50" s="40">
        <f t="shared" si="5"/>
        <v>1910.88</v>
      </c>
      <c r="R50" s="40">
        <f t="shared" si="5"/>
        <v>1910.8799999999999</v>
      </c>
      <c r="S50" s="40">
        <v>1910.88</v>
      </c>
      <c r="T50" s="81">
        <f>+S50-R50</f>
        <v>0</v>
      </c>
    </row>
    <row r="51" spans="1:20" s="6" customFormat="1" ht="18.75" customHeight="1" x14ac:dyDescent="0.25">
      <c r="B51" s="50"/>
      <c r="C51" s="50"/>
      <c r="D51" s="51"/>
      <c r="E51" s="38"/>
      <c r="F51" s="52"/>
      <c r="G51" s="41"/>
      <c r="H51" s="52"/>
      <c r="I51" s="41"/>
      <c r="J51" s="41"/>
      <c r="K51" s="52"/>
      <c r="M51" s="53"/>
      <c r="O51" s="52"/>
      <c r="Q51" s="54"/>
    </row>
    <row r="52" spans="1:20" ht="12.75" customHeight="1" x14ac:dyDescent="0.25">
      <c r="A52" s="6" t="s">
        <v>32</v>
      </c>
      <c r="B52" s="6" t="s">
        <v>33</v>
      </c>
      <c r="C52" s="6"/>
    </row>
    <row r="53" spans="1:20" ht="12.75" customHeight="1" x14ac:dyDescent="0.25">
      <c r="A53" s="8">
        <v>43</v>
      </c>
      <c r="B53" s="6" t="s">
        <v>40</v>
      </c>
      <c r="C53" s="6"/>
    </row>
    <row r="54" spans="1:20" s="10" customFormat="1" ht="29.25" customHeight="1" x14ac:dyDescent="0.25">
      <c r="A54" s="206" t="s">
        <v>2</v>
      </c>
      <c r="B54" s="206" t="s">
        <v>3</v>
      </c>
      <c r="C54" s="211" t="s">
        <v>66</v>
      </c>
      <c r="D54" s="206" t="s">
        <v>19</v>
      </c>
      <c r="E54" s="9"/>
      <c r="F54" s="61">
        <v>2016</v>
      </c>
      <c r="G54" s="72"/>
      <c r="H54" s="206">
        <v>2017</v>
      </c>
      <c r="I54" s="206"/>
      <c r="J54" s="206"/>
      <c r="K54" s="206">
        <v>2018</v>
      </c>
      <c r="L54" s="206"/>
      <c r="M54" s="206">
        <v>2019</v>
      </c>
      <c r="N54" s="206"/>
      <c r="O54" s="206">
        <v>2020</v>
      </c>
      <c r="P54" s="206"/>
      <c r="Q54" s="206" t="s">
        <v>77</v>
      </c>
      <c r="R54" s="206"/>
    </row>
    <row r="55" spans="1:20" s="10" customFormat="1" ht="15" customHeight="1" x14ac:dyDescent="0.25">
      <c r="A55" s="206"/>
      <c r="B55" s="206"/>
      <c r="C55" s="212"/>
      <c r="D55" s="206"/>
      <c r="E55" s="9"/>
      <c r="F55" s="205" t="s">
        <v>8</v>
      </c>
      <c r="G55" s="72"/>
      <c r="H55" s="205" t="s">
        <v>8</v>
      </c>
      <c r="I55" s="205" t="s">
        <v>83</v>
      </c>
      <c r="J55" s="205" t="s">
        <v>79</v>
      </c>
      <c r="K55" s="205" t="s">
        <v>8</v>
      </c>
      <c r="L55" s="205" t="s">
        <v>78</v>
      </c>
      <c r="M55" s="205" t="s">
        <v>8</v>
      </c>
      <c r="N55" s="205" t="s">
        <v>78</v>
      </c>
      <c r="O55" s="205" t="s">
        <v>8</v>
      </c>
      <c r="P55" s="205" t="s">
        <v>78</v>
      </c>
      <c r="Q55" s="205" t="s">
        <v>8</v>
      </c>
      <c r="R55" s="205" t="s">
        <v>78</v>
      </c>
    </row>
    <row r="56" spans="1:20" s="10" customFormat="1" ht="47.25" customHeight="1" x14ac:dyDescent="0.25">
      <c r="A56" s="206"/>
      <c r="B56" s="206"/>
      <c r="C56" s="213"/>
      <c r="D56" s="206"/>
      <c r="E56" s="11"/>
      <c r="F56" s="205"/>
      <c r="G56" s="73"/>
      <c r="H56" s="205"/>
      <c r="I56" s="205"/>
      <c r="J56" s="205"/>
      <c r="K56" s="205"/>
      <c r="L56" s="205"/>
      <c r="M56" s="205"/>
      <c r="N56" s="205"/>
      <c r="O56" s="205"/>
      <c r="P56" s="205"/>
      <c r="Q56" s="205"/>
      <c r="R56" s="205"/>
    </row>
    <row r="57" spans="1:20" ht="88.5" customHeight="1" x14ac:dyDescent="0.25">
      <c r="A57" s="216" t="s">
        <v>39</v>
      </c>
      <c r="B57" s="214" t="s">
        <v>13</v>
      </c>
      <c r="C57" s="214" t="s">
        <v>72</v>
      </c>
      <c r="D57" s="35" t="s">
        <v>41</v>
      </c>
      <c r="E57" s="13"/>
      <c r="F57" s="30">
        <v>81.079556999999994</v>
      </c>
      <c r="G57" s="15"/>
      <c r="H57" s="26">
        <v>104.2</v>
      </c>
      <c r="I57" s="26">
        <v>236.870983</v>
      </c>
      <c r="J57" s="26">
        <f>+I57-H57</f>
        <v>132.67098299999998</v>
      </c>
      <c r="K57" s="27">
        <v>90.28</v>
      </c>
      <c r="L57" s="27">
        <f>+K57-($J$57/3)</f>
        <v>46.056339000000008</v>
      </c>
      <c r="M57" s="27">
        <v>88.78</v>
      </c>
      <c r="N57" s="27">
        <f>+M57-($J$57/3)</f>
        <v>44.556339000000008</v>
      </c>
      <c r="O57" s="27">
        <v>103.46</v>
      </c>
      <c r="P57" s="27">
        <f>+O57-($J$57/3)</f>
        <v>59.236339000000001</v>
      </c>
      <c r="Q57" s="27">
        <f>+F57+H57+K57+M57+O57</f>
        <v>467.79955699999999</v>
      </c>
      <c r="R57" s="27">
        <f>+F57+I57+L57+N57+P57</f>
        <v>467.79955699999999</v>
      </c>
    </row>
    <row r="58" spans="1:20" ht="169.5" customHeight="1" x14ac:dyDescent="0.25">
      <c r="A58" s="217"/>
      <c r="B58" s="215"/>
      <c r="C58" s="215"/>
      <c r="D58" s="35" t="s">
        <v>42</v>
      </c>
      <c r="E58" s="13"/>
      <c r="F58" s="26">
        <v>2066.920443</v>
      </c>
      <c r="G58" s="15"/>
      <c r="H58" s="26">
        <v>2969.7</v>
      </c>
      <c r="I58" s="26">
        <v>6750.8230169999997</v>
      </c>
      <c r="J58" s="26">
        <f>+I58-H58</f>
        <v>3781.1230169999999</v>
      </c>
      <c r="K58" s="26">
        <v>2572.98</v>
      </c>
      <c r="L58" s="27">
        <f>+K58-($J$58/3)</f>
        <v>1312.6056610000001</v>
      </c>
      <c r="M58" s="27">
        <v>2530.23</v>
      </c>
      <c r="N58" s="27">
        <f>+M58-($J$58/3)</f>
        <v>1269.8556610000001</v>
      </c>
      <c r="O58" s="27">
        <v>2948.61</v>
      </c>
      <c r="P58" s="27">
        <f>+O58-($J$58/3)</f>
        <v>1688.2356610000002</v>
      </c>
      <c r="Q58" s="27">
        <f>+F58+H58+K58+M58+O58</f>
        <v>13088.440443</v>
      </c>
      <c r="R58" s="27">
        <f>+F58+I58+L58+N58+P58</f>
        <v>13088.440443</v>
      </c>
    </row>
    <row r="59" spans="1:20" s="6" customFormat="1" ht="18.75" customHeight="1" x14ac:dyDescent="0.25">
      <c r="A59" s="48"/>
      <c r="B59" s="49" t="s">
        <v>57</v>
      </c>
      <c r="C59" s="49"/>
      <c r="D59" s="43"/>
      <c r="E59" s="38"/>
      <c r="F59" s="40">
        <f>SUM(F57:F58)</f>
        <v>2148</v>
      </c>
      <c r="G59" s="41"/>
      <c r="H59" s="40">
        <f t="shared" ref="H59:R59" si="6">SUM(H57:H58)</f>
        <v>3073.8999999999996</v>
      </c>
      <c r="I59" s="40">
        <f t="shared" si="6"/>
        <v>6987.6939999999995</v>
      </c>
      <c r="J59" s="40">
        <f t="shared" si="6"/>
        <v>3913.7939999999999</v>
      </c>
      <c r="K59" s="40">
        <f t="shared" si="6"/>
        <v>2663.26</v>
      </c>
      <c r="L59" s="40">
        <f t="shared" si="6"/>
        <v>1358.662</v>
      </c>
      <c r="M59" s="40">
        <f t="shared" si="6"/>
        <v>2619.0100000000002</v>
      </c>
      <c r="N59" s="40">
        <f t="shared" si="6"/>
        <v>1314.412</v>
      </c>
      <c r="O59" s="40">
        <f t="shared" si="6"/>
        <v>3052.07</v>
      </c>
      <c r="P59" s="40">
        <f t="shared" si="6"/>
        <v>1747.4720000000002</v>
      </c>
      <c r="Q59" s="40">
        <f t="shared" si="6"/>
        <v>13556.24</v>
      </c>
      <c r="R59" s="40">
        <f t="shared" si="6"/>
        <v>13556.24</v>
      </c>
      <c r="S59" s="40">
        <v>13556.24</v>
      </c>
      <c r="T59" s="81">
        <f>+S59-R59</f>
        <v>0</v>
      </c>
    </row>
    <row r="60" spans="1:20" s="6" customFormat="1" ht="18.75" customHeight="1" x14ac:dyDescent="0.25">
      <c r="B60" s="50"/>
      <c r="C60" s="50"/>
      <c r="D60" s="51"/>
      <c r="E60" s="38"/>
      <c r="F60" s="52"/>
      <c r="G60" s="41"/>
      <c r="H60" s="52"/>
      <c r="I60" s="41"/>
      <c r="J60" s="41"/>
      <c r="K60" s="52"/>
      <c r="M60" s="52"/>
      <c r="O60" s="52"/>
      <c r="Q60" s="52"/>
    </row>
    <row r="61" spans="1:20" ht="12.75" customHeight="1" x14ac:dyDescent="0.25">
      <c r="A61" s="6" t="s">
        <v>32</v>
      </c>
      <c r="B61" s="6" t="s">
        <v>33</v>
      </c>
      <c r="C61" s="6"/>
    </row>
    <row r="62" spans="1:20" ht="12.75" customHeight="1" x14ac:dyDescent="0.25">
      <c r="A62" s="8">
        <v>44</v>
      </c>
      <c r="B62" s="6" t="s">
        <v>43</v>
      </c>
      <c r="C62" s="6"/>
    </row>
    <row r="63" spans="1:20" s="10" customFormat="1" ht="29.25" customHeight="1" x14ac:dyDescent="0.25">
      <c r="A63" s="206" t="s">
        <v>2</v>
      </c>
      <c r="B63" s="206" t="s">
        <v>3</v>
      </c>
      <c r="C63" s="211" t="s">
        <v>66</v>
      </c>
      <c r="D63" s="206" t="s">
        <v>19</v>
      </c>
      <c r="E63" s="9"/>
      <c r="F63" s="61">
        <v>2016</v>
      </c>
      <c r="G63" s="72"/>
      <c r="H63" s="206">
        <v>2017</v>
      </c>
      <c r="I63" s="206"/>
      <c r="J63" s="206"/>
      <c r="K63" s="206">
        <v>2018</v>
      </c>
      <c r="L63" s="206"/>
      <c r="M63" s="206">
        <v>2019</v>
      </c>
      <c r="N63" s="206"/>
      <c r="O63" s="206">
        <v>2020</v>
      </c>
      <c r="P63" s="206"/>
      <c r="Q63" s="206" t="s">
        <v>77</v>
      </c>
      <c r="R63" s="206"/>
    </row>
    <row r="64" spans="1:20" s="10" customFormat="1" ht="15" customHeight="1" x14ac:dyDescent="0.25">
      <c r="A64" s="206"/>
      <c r="B64" s="206"/>
      <c r="C64" s="212"/>
      <c r="D64" s="206"/>
      <c r="E64" s="9"/>
      <c r="F64" s="205" t="s">
        <v>8</v>
      </c>
      <c r="G64" s="72"/>
      <c r="H64" s="205" t="s">
        <v>8</v>
      </c>
      <c r="I64" s="205" t="s">
        <v>83</v>
      </c>
      <c r="J64" s="205" t="s">
        <v>79</v>
      </c>
      <c r="K64" s="205" t="s">
        <v>8</v>
      </c>
      <c r="L64" s="205" t="s">
        <v>78</v>
      </c>
      <c r="M64" s="205" t="s">
        <v>8</v>
      </c>
      <c r="N64" s="205" t="s">
        <v>78</v>
      </c>
      <c r="O64" s="205" t="s">
        <v>8</v>
      </c>
      <c r="P64" s="205" t="s">
        <v>78</v>
      </c>
      <c r="Q64" s="205" t="s">
        <v>8</v>
      </c>
      <c r="R64" s="205" t="s">
        <v>78</v>
      </c>
    </row>
    <row r="65" spans="1:20" s="10" customFormat="1" ht="47.25" customHeight="1" x14ac:dyDescent="0.25">
      <c r="A65" s="206"/>
      <c r="B65" s="206"/>
      <c r="C65" s="213"/>
      <c r="D65" s="206"/>
      <c r="E65" s="11"/>
      <c r="F65" s="205"/>
      <c r="G65" s="73"/>
      <c r="H65" s="205"/>
      <c r="I65" s="205"/>
      <c r="J65" s="205"/>
      <c r="K65" s="205"/>
      <c r="L65" s="205"/>
      <c r="M65" s="205"/>
      <c r="N65" s="205"/>
      <c r="O65" s="205"/>
      <c r="P65" s="205"/>
      <c r="Q65" s="205"/>
      <c r="R65" s="205"/>
    </row>
    <row r="66" spans="1:20" ht="150.75" customHeight="1" x14ac:dyDescent="0.25">
      <c r="A66" s="36" t="s">
        <v>44</v>
      </c>
      <c r="B66" s="22" t="s">
        <v>45</v>
      </c>
      <c r="C66" s="22" t="s">
        <v>73</v>
      </c>
      <c r="D66" s="35" t="s">
        <v>46</v>
      </c>
      <c r="E66" s="13"/>
      <c r="F66" s="26">
        <v>1477.73677</v>
      </c>
      <c r="G66" s="15"/>
      <c r="H66" s="26">
        <v>1719.3</v>
      </c>
      <c r="I66" s="26">
        <v>2892.9319999999998</v>
      </c>
      <c r="J66" s="26">
        <f>+I66-H66</f>
        <v>1173.6319999999998</v>
      </c>
      <c r="K66" s="27">
        <v>1489.62</v>
      </c>
      <c r="L66" s="27">
        <f>+K66-($J$66/3)</f>
        <v>1098.4093333333333</v>
      </c>
      <c r="M66" s="27">
        <v>1464.87</v>
      </c>
      <c r="N66" s="27">
        <f>+M66-($J$66/3)</f>
        <v>1073.6593333333333</v>
      </c>
      <c r="O66" s="27">
        <v>1707.09</v>
      </c>
      <c r="P66" s="27">
        <f>+O66-($J$66/3)</f>
        <v>1315.8793333333333</v>
      </c>
      <c r="Q66" s="27">
        <f>+F66+H66+K66+M66+O66</f>
        <v>7858.6167699999996</v>
      </c>
      <c r="R66" s="27">
        <f>+F66+I66+L66+N66+P66</f>
        <v>7858.6167699999996</v>
      </c>
    </row>
    <row r="67" spans="1:20" s="6" customFormat="1" ht="19.5" customHeight="1" x14ac:dyDescent="0.25">
      <c r="A67" s="48"/>
      <c r="B67" s="49" t="s">
        <v>58</v>
      </c>
      <c r="C67" s="49"/>
      <c r="D67" s="43"/>
      <c r="E67" s="38"/>
      <c r="F67" s="40">
        <f>SUM(F66)</f>
        <v>1477.73677</v>
      </c>
      <c r="G67" s="41"/>
      <c r="H67" s="40">
        <f t="shared" ref="H67:R67" si="7">SUM(H66)</f>
        <v>1719.3</v>
      </c>
      <c r="I67" s="40">
        <f t="shared" si="7"/>
        <v>2892.9319999999998</v>
      </c>
      <c r="J67" s="40">
        <f t="shared" si="7"/>
        <v>1173.6319999999998</v>
      </c>
      <c r="K67" s="40">
        <f t="shared" si="7"/>
        <v>1489.62</v>
      </c>
      <c r="L67" s="40">
        <f t="shared" si="7"/>
        <v>1098.4093333333333</v>
      </c>
      <c r="M67" s="40">
        <f t="shared" si="7"/>
        <v>1464.87</v>
      </c>
      <c r="N67" s="40">
        <f t="shared" si="7"/>
        <v>1073.6593333333333</v>
      </c>
      <c r="O67" s="40">
        <f t="shared" si="7"/>
        <v>1707.09</v>
      </c>
      <c r="P67" s="40">
        <f t="shared" si="7"/>
        <v>1315.8793333333333</v>
      </c>
      <c r="Q67" s="40">
        <f t="shared" si="7"/>
        <v>7858.6167699999996</v>
      </c>
      <c r="R67" s="40">
        <f t="shared" si="7"/>
        <v>7858.6167699999996</v>
      </c>
      <c r="S67" s="40">
        <v>7858.6167699999996</v>
      </c>
      <c r="T67" s="81">
        <f>+S67-R67</f>
        <v>0</v>
      </c>
    </row>
    <row r="69" spans="1:20" x14ac:dyDescent="0.25">
      <c r="F69" s="23">
        <f>+F21+F32+F36+F40+F50+F59+F67</f>
        <v>54582.299831000004</v>
      </c>
      <c r="M69" s="6"/>
      <c r="N69" s="6"/>
      <c r="O69" s="6"/>
      <c r="P69" s="6"/>
      <c r="Q69" s="23">
        <f>+Q21+Q32+Q36+Q40+Q50+Q59+Q67</f>
        <v>305007.99585200002</v>
      </c>
      <c r="R69" s="23">
        <f>+R21+R32+R36+R40+R50+R59+R67</f>
        <v>305007.99585200002</v>
      </c>
      <c r="S69" s="80">
        <f>+Q69-R69</f>
        <v>0</v>
      </c>
    </row>
    <row r="70" spans="1:20" x14ac:dyDescent="0.25">
      <c r="K70" s="23"/>
      <c r="M70" s="23"/>
      <c r="N70" s="6"/>
      <c r="O70" s="23"/>
      <c r="P70" s="6"/>
      <c r="Q70" s="23"/>
    </row>
    <row r="72" spans="1:20" x14ac:dyDescent="0.25">
      <c r="F72" s="66">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0"/>
  <sheetViews>
    <sheetView tabSelected="1" topLeftCell="A2" zoomScale="70" zoomScaleNormal="70" workbookViewId="0">
      <pane xSplit="6" ySplit="15" topLeftCell="G17" activePane="bottomRight" state="frozen"/>
      <selection activeCell="A2" sqref="A2"/>
      <selection pane="topRight" activeCell="G2" sqref="G2"/>
      <selection pane="bottomLeft" activeCell="A17" sqref="A17"/>
      <selection pane="bottomRight" activeCell="I17" sqref="I17"/>
    </sheetView>
  </sheetViews>
  <sheetFormatPr baseColWidth="10" defaultColWidth="11.42578125" defaultRowHeight="15" x14ac:dyDescent="0.25"/>
  <cols>
    <col min="1" max="1" width="7.42578125" style="105" customWidth="1"/>
    <col min="2" max="2" width="20.28515625" style="7" hidden="1" customWidth="1"/>
    <col min="3" max="3" width="15.7109375" style="7" hidden="1" customWidth="1"/>
    <col min="4" max="4" width="39.42578125" style="7" hidden="1" customWidth="1"/>
    <col min="5" max="5" width="47.85546875" style="7" hidden="1" customWidth="1"/>
    <col min="6" max="6" width="55.5703125" style="7" customWidth="1"/>
    <col min="7" max="7" width="35.85546875" style="7" customWidth="1"/>
    <col min="8" max="8" width="44.28515625" style="7" hidden="1" customWidth="1"/>
    <col min="9" max="9" width="1.85546875" style="7" customWidth="1"/>
    <col min="10" max="10" width="10.7109375" style="105" customWidth="1"/>
    <col min="11" max="11" width="10.7109375" style="7" customWidth="1"/>
    <col min="12" max="12" width="19.7109375" style="184" customWidth="1"/>
    <col min="13" max="13" width="18.7109375" style="7" customWidth="1"/>
    <col min="14" max="14" width="0.5703125" style="7" customWidth="1"/>
    <col min="15" max="16" width="10.7109375" style="7" customWidth="1"/>
    <col min="17" max="17" width="20.5703125" style="7" bestFit="1" customWidth="1"/>
    <col min="18" max="18" width="16.28515625" style="7" bestFit="1" customWidth="1"/>
    <col min="19" max="19" width="0.5703125" style="7" customWidth="1"/>
    <col min="20" max="21" width="10.7109375" style="7" customWidth="1"/>
    <col min="22" max="22" width="18.7109375" style="7" customWidth="1"/>
    <col min="23" max="23" width="14.7109375" style="7" bestFit="1" customWidth="1"/>
    <col min="24" max="24" width="0.5703125" style="7" customWidth="1"/>
    <col min="25" max="26" width="10.7109375" style="7" customWidth="1"/>
    <col min="27" max="27" width="20.5703125" style="7" customWidth="1"/>
    <col min="28" max="28" width="13.140625" style="7" bestFit="1" customWidth="1"/>
    <col min="29" max="29" width="0.85546875" style="7" customWidth="1"/>
    <col min="30" max="31" width="10.7109375" style="7" customWidth="1"/>
    <col min="32" max="32" width="19" style="7" customWidth="1"/>
    <col min="33" max="33" width="18.140625" style="7" customWidth="1"/>
    <col min="34" max="34" width="1.42578125" style="7" customWidth="1"/>
    <col min="35" max="35" width="15.28515625" style="84" customWidth="1"/>
    <col min="36" max="36" width="15.5703125" style="84" customWidth="1"/>
    <col min="37" max="37" width="19.140625" style="84" customWidth="1"/>
    <col min="38" max="38" width="20.85546875" style="84" customWidth="1"/>
    <col min="39" max="39" width="12.7109375" style="84" customWidth="1"/>
    <col min="40" max="40" width="13.140625" style="7" customWidth="1"/>
    <col min="41" max="41" width="10" style="7" customWidth="1"/>
    <col min="42" max="42" width="10.7109375" style="7" customWidth="1"/>
    <col min="43" max="43" width="6" style="7" customWidth="1"/>
    <col min="44" max="44" width="7.7109375" style="7" customWidth="1"/>
    <col min="45" max="45" width="6.85546875" style="7" customWidth="1"/>
    <col min="46" max="16384" width="11.42578125" style="7"/>
  </cols>
  <sheetData>
    <row r="1" spans="1:40" hidden="1" x14ac:dyDescent="0.25">
      <c r="A1" s="7"/>
      <c r="L1" s="117">
        <v>1000000</v>
      </c>
    </row>
    <row r="2" spans="1:40" s="151" customFormat="1" x14ac:dyDescent="0.25">
      <c r="A2" s="263" t="s">
        <v>0</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5"/>
      <c r="AM2" s="150"/>
    </row>
    <row r="3" spans="1:40" s="151" customFormat="1" x14ac:dyDescent="0.25">
      <c r="A3" s="263" t="s">
        <v>91</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5"/>
      <c r="AM3" s="150"/>
    </row>
    <row r="4" spans="1:40" s="151" customFormat="1" x14ac:dyDescent="0.25">
      <c r="A4" s="263" t="s">
        <v>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5"/>
      <c r="AM4" s="150"/>
    </row>
    <row r="5" spans="1:40" s="151" customFormat="1" x14ac:dyDescent="0.25">
      <c r="A5" s="263" t="s">
        <v>92</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5"/>
      <c r="AM5" s="150"/>
    </row>
    <row r="6" spans="1:40" s="151" customFormat="1" x14ac:dyDescent="0.25">
      <c r="A6" s="263" t="s">
        <v>190</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5"/>
      <c r="AM6" s="150"/>
    </row>
    <row r="7" spans="1:40" s="153" customFormat="1" ht="15.75" customHeight="1" x14ac:dyDescent="0.2">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152"/>
    </row>
    <row r="8" spans="1:40" s="151" customFormat="1" ht="12.75" hidden="1" x14ac:dyDescent="0.2">
      <c r="A8" s="154"/>
      <c r="B8" s="155"/>
      <c r="C8" s="155"/>
      <c r="D8" s="155"/>
      <c r="E8" s="155"/>
      <c r="F8" s="155"/>
      <c r="G8" s="155"/>
      <c r="H8" s="155"/>
      <c r="I8" s="156"/>
      <c r="J8" s="154"/>
      <c r="K8" s="156"/>
      <c r="L8" s="157"/>
      <c r="M8" s="156"/>
      <c r="N8" s="156"/>
      <c r="O8" s="156"/>
      <c r="P8" s="156"/>
      <c r="Q8" s="156"/>
      <c r="R8" s="156"/>
      <c r="T8" s="158"/>
      <c r="U8" s="158"/>
      <c r="V8" s="158"/>
      <c r="W8" s="158"/>
      <c r="Y8" s="158"/>
      <c r="Z8" s="158"/>
      <c r="AA8" s="158"/>
      <c r="AB8" s="158"/>
      <c r="AD8" s="156"/>
      <c r="AE8" s="156"/>
      <c r="AF8" s="158"/>
      <c r="AG8" s="158"/>
      <c r="AI8" s="159"/>
      <c r="AJ8" s="159"/>
      <c r="AK8" s="159"/>
      <c r="AL8" s="160"/>
      <c r="AM8" s="150"/>
    </row>
    <row r="9" spans="1:40" hidden="1" x14ac:dyDescent="0.25">
      <c r="A9" s="104">
        <v>1</v>
      </c>
      <c r="B9" s="92" t="s">
        <v>93</v>
      </c>
      <c r="C9" s="253" t="s">
        <v>96</v>
      </c>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row>
    <row r="10" spans="1:40" hidden="1" x14ac:dyDescent="0.25">
      <c r="A10" s="50">
        <v>8</v>
      </c>
      <c r="B10" s="6" t="s">
        <v>155</v>
      </c>
      <c r="C10" s="253" t="s">
        <v>156</v>
      </c>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row>
    <row r="11" spans="1:40" hidden="1" x14ac:dyDescent="0.25">
      <c r="A11" s="50">
        <v>19</v>
      </c>
      <c r="B11" s="6" t="s">
        <v>94</v>
      </c>
      <c r="C11" s="253" t="s">
        <v>154</v>
      </c>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row>
    <row r="12" spans="1:40" ht="30" hidden="1" x14ac:dyDescent="0.25">
      <c r="A12" s="50">
        <v>3</v>
      </c>
      <c r="B12" s="93" t="s">
        <v>97</v>
      </c>
      <c r="C12" s="253" t="s">
        <v>95</v>
      </c>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row>
    <row r="13" spans="1:40" ht="13.9" customHeight="1" x14ac:dyDescent="0.25">
      <c r="L13" s="161"/>
      <c r="R13" s="83">
        <v>1000000</v>
      </c>
      <c r="T13" s="83"/>
      <c r="U13" s="83"/>
      <c r="V13" s="83">
        <v>1000000</v>
      </c>
      <c r="W13" s="83">
        <v>1000000</v>
      </c>
      <c r="Y13" s="83"/>
      <c r="Z13" s="83"/>
      <c r="AA13" s="83"/>
      <c r="AB13" s="83">
        <v>1000000</v>
      </c>
      <c r="AF13" s="83"/>
      <c r="AG13" s="83">
        <v>1000000</v>
      </c>
    </row>
    <row r="14" spans="1:40" s="10" customFormat="1" ht="27" customHeight="1" x14ac:dyDescent="0.25">
      <c r="A14" s="236" t="s">
        <v>2</v>
      </c>
      <c r="B14" s="211" t="s">
        <v>3</v>
      </c>
      <c r="C14" s="251" t="s">
        <v>86</v>
      </c>
      <c r="D14" s="211" t="s">
        <v>66</v>
      </c>
      <c r="E14" s="251" t="s">
        <v>167</v>
      </c>
      <c r="F14" s="233" t="s">
        <v>100</v>
      </c>
      <c r="G14" s="260" t="s">
        <v>89</v>
      </c>
      <c r="H14" s="206" t="s">
        <v>168</v>
      </c>
      <c r="I14" s="9"/>
      <c r="J14" s="206">
        <v>2020</v>
      </c>
      <c r="K14" s="206"/>
      <c r="L14" s="206"/>
      <c r="M14" s="206"/>
      <c r="N14" s="9"/>
      <c r="O14" s="206">
        <v>2021</v>
      </c>
      <c r="P14" s="206"/>
      <c r="Q14" s="206"/>
      <c r="R14" s="206"/>
      <c r="T14" s="206">
        <v>2022</v>
      </c>
      <c r="U14" s="206"/>
      <c r="V14" s="206"/>
      <c r="W14" s="206"/>
      <c r="Y14" s="206">
        <v>2023</v>
      </c>
      <c r="Z14" s="206"/>
      <c r="AA14" s="206"/>
      <c r="AB14" s="206"/>
      <c r="AD14" s="207">
        <v>2024</v>
      </c>
      <c r="AE14" s="208"/>
      <c r="AF14" s="208"/>
      <c r="AG14" s="208"/>
      <c r="AI14" s="254" t="s">
        <v>101</v>
      </c>
      <c r="AJ14" s="254"/>
      <c r="AK14" s="254"/>
      <c r="AL14" s="254"/>
      <c r="AM14" s="87"/>
    </row>
    <row r="15" spans="1:40" s="10" customFormat="1" ht="16.5" customHeight="1" x14ac:dyDescent="0.25">
      <c r="A15" s="237"/>
      <c r="B15" s="212"/>
      <c r="C15" s="234"/>
      <c r="D15" s="212"/>
      <c r="E15" s="234"/>
      <c r="F15" s="234"/>
      <c r="G15" s="260"/>
      <c r="H15" s="206"/>
      <c r="I15" s="9"/>
      <c r="J15" s="206" t="s">
        <v>4</v>
      </c>
      <c r="K15" s="206"/>
      <c r="L15" s="206" t="s">
        <v>61</v>
      </c>
      <c r="M15" s="206"/>
      <c r="N15" s="9"/>
      <c r="O15" s="206" t="s">
        <v>6</v>
      </c>
      <c r="P15" s="206"/>
      <c r="Q15" s="206" t="s">
        <v>8</v>
      </c>
      <c r="R15" s="206"/>
      <c r="S15" s="9"/>
      <c r="T15" s="206" t="s">
        <v>7</v>
      </c>
      <c r="U15" s="206"/>
      <c r="V15" s="206" t="s">
        <v>8</v>
      </c>
      <c r="W15" s="206"/>
      <c r="Y15" s="206" t="s">
        <v>7</v>
      </c>
      <c r="Z15" s="206"/>
      <c r="AA15" s="206" t="s">
        <v>8</v>
      </c>
      <c r="AB15" s="206"/>
      <c r="AD15" s="206" t="s">
        <v>7</v>
      </c>
      <c r="AE15" s="206"/>
      <c r="AF15" s="206" t="s">
        <v>8</v>
      </c>
      <c r="AG15" s="206"/>
      <c r="AI15" s="251" t="s">
        <v>4</v>
      </c>
      <c r="AJ15" s="251" t="s">
        <v>65</v>
      </c>
      <c r="AK15" s="251" t="s">
        <v>8</v>
      </c>
      <c r="AL15" s="251" t="s">
        <v>5</v>
      </c>
      <c r="AM15" s="87"/>
    </row>
    <row r="16" spans="1:40" s="10" customFormat="1" ht="30" x14ac:dyDescent="0.25">
      <c r="A16" s="238"/>
      <c r="B16" s="213"/>
      <c r="C16" s="252"/>
      <c r="D16" s="213"/>
      <c r="E16" s="252"/>
      <c r="F16" s="235"/>
      <c r="G16" s="260"/>
      <c r="H16" s="206"/>
      <c r="I16" s="11"/>
      <c r="J16" s="61" t="s">
        <v>59</v>
      </c>
      <c r="K16" s="61" t="s">
        <v>60</v>
      </c>
      <c r="L16" s="162" t="s">
        <v>63</v>
      </c>
      <c r="M16" s="61" t="s">
        <v>62</v>
      </c>
      <c r="N16" s="11"/>
      <c r="O16" s="163" t="s">
        <v>59</v>
      </c>
      <c r="P16" s="61" t="s">
        <v>60</v>
      </c>
      <c r="Q16" s="162" t="s">
        <v>63</v>
      </c>
      <c r="R16" s="61" t="s">
        <v>62</v>
      </c>
      <c r="S16" s="9"/>
      <c r="T16" s="163" t="s">
        <v>59</v>
      </c>
      <c r="U16" s="61" t="s">
        <v>60</v>
      </c>
      <c r="V16" s="162" t="s">
        <v>63</v>
      </c>
      <c r="W16" s="61" t="s">
        <v>62</v>
      </c>
      <c r="Y16" s="61" t="s">
        <v>59</v>
      </c>
      <c r="Z16" s="61" t="s">
        <v>60</v>
      </c>
      <c r="AA16" s="61" t="s">
        <v>63</v>
      </c>
      <c r="AB16" s="61" t="s">
        <v>62</v>
      </c>
      <c r="AD16" s="61" t="s">
        <v>59</v>
      </c>
      <c r="AE16" s="61" t="s">
        <v>60</v>
      </c>
      <c r="AF16" s="61" t="s">
        <v>63</v>
      </c>
      <c r="AG16" s="61" t="s">
        <v>62</v>
      </c>
      <c r="AI16" s="252"/>
      <c r="AJ16" s="252"/>
      <c r="AK16" s="252"/>
      <c r="AL16" s="252"/>
      <c r="AM16" s="87"/>
      <c r="AN16" s="87"/>
    </row>
    <row r="17" spans="1:42" ht="75.75" customHeight="1" x14ac:dyDescent="0.25">
      <c r="A17" s="245" t="s">
        <v>98</v>
      </c>
      <c r="B17" s="214" t="s">
        <v>99</v>
      </c>
      <c r="C17" s="214" t="s">
        <v>88</v>
      </c>
      <c r="D17" s="214" t="s">
        <v>149</v>
      </c>
      <c r="E17" s="247" t="str">
        <f>C10</f>
        <v xml:space="preserve">Aumentar el acceso a vivienda digna, espacio público y equipamientos de la población vulnerable en suelo urbano y rural </v>
      </c>
      <c r="F17" s="103" t="s">
        <v>158</v>
      </c>
      <c r="G17" s="103" t="s">
        <v>103</v>
      </c>
      <c r="H17" s="255" t="str">
        <f>C12</f>
        <v>Sistema Distrital de Cuidado</v>
      </c>
      <c r="I17" s="13"/>
      <c r="J17" s="95">
        <v>0.05</v>
      </c>
      <c r="K17" s="95">
        <v>0.05</v>
      </c>
      <c r="L17" s="112"/>
      <c r="M17" s="97"/>
      <c r="N17" s="15"/>
      <c r="O17" s="99">
        <v>0.3</v>
      </c>
      <c r="P17" s="139" t="s">
        <v>174</v>
      </c>
      <c r="Q17" s="97"/>
      <c r="R17" s="97"/>
      <c r="T17" s="164">
        <v>0.65</v>
      </c>
      <c r="U17" s="164">
        <v>0.63460000000000005</v>
      </c>
      <c r="V17" s="165"/>
      <c r="W17" s="166"/>
      <c r="X17" s="89"/>
      <c r="Y17" s="173">
        <v>0.9</v>
      </c>
      <c r="Z17" s="171">
        <v>0.79210000000000003</v>
      </c>
      <c r="AA17" s="165"/>
      <c r="AB17" s="166"/>
      <c r="AC17" s="89"/>
      <c r="AD17" s="101">
        <v>1</v>
      </c>
      <c r="AE17" s="133">
        <v>0.80459999999999998</v>
      </c>
      <c r="AF17" s="165"/>
      <c r="AG17" s="166"/>
      <c r="AI17" s="101">
        <f>AD17</f>
        <v>1</v>
      </c>
      <c r="AJ17" s="133">
        <f>+AE17</f>
        <v>0.80459999999999998</v>
      </c>
      <c r="AK17" s="102">
        <f t="shared" ref="AK17:AL21" si="0">L17+Q17+V17+AA17+AF17</f>
        <v>0</v>
      </c>
      <c r="AL17" s="102">
        <f t="shared" si="0"/>
        <v>0</v>
      </c>
      <c r="AM17" s="94"/>
    </row>
    <row r="18" spans="1:42" ht="90" x14ac:dyDescent="0.25">
      <c r="A18" s="246"/>
      <c r="B18" s="221"/>
      <c r="C18" s="221"/>
      <c r="D18" s="221"/>
      <c r="E18" s="248"/>
      <c r="F18" s="12" t="s">
        <v>104</v>
      </c>
      <c r="G18" s="12" t="s">
        <v>169</v>
      </c>
      <c r="H18" s="256"/>
      <c r="I18" s="13"/>
      <c r="J18" s="14">
        <v>20</v>
      </c>
      <c r="K18" s="14">
        <v>20</v>
      </c>
      <c r="L18" s="113">
        <v>1562.1521029999999</v>
      </c>
      <c r="M18" s="27">
        <v>1072.7394810000001</v>
      </c>
      <c r="N18" s="15"/>
      <c r="O18" s="82">
        <v>280</v>
      </c>
      <c r="P18" s="14">
        <v>280</v>
      </c>
      <c r="Q18" s="27">
        <f>4680171442/L1</f>
        <v>4680.1714419999998</v>
      </c>
      <c r="R18" s="57">
        <f>4544842307/L1</f>
        <v>4544.8423069999999</v>
      </c>
      <c r="T18" s="167">
        <v>565</v>
      </c>
      <c r="U18" s="167">
        <v>536</v>
      </c>
      <c r="V18" s="27">
        <f>4974978666/L1</f>
        <v>4974.978666</v>
      </c>
      <c r="W18" s="57">
        <f>4964166750/L1</f>
        <v>4964.1667500000003</v>
      </c>
      <c r="X18" s="89"/>
      <c r="Y18" s="82">
        <v>493</v>
      </c>
      <c r="Z18" s="167">
        <v>493</v>
      </c>
      <c r="AA18" s="195">
        <f>7030769613/L1</f>
        <v>7030.7696130000004</v>
      </c>
      <c r="AB18" s="168">
        <f>6922849655/L1</f>
        <v>6922.849655</v>
      </c>
      <c r="AC18" s="89"/>
      <c r="AD18" s="82">
        <v>0</v>
      </c>
      <c r="AE18" s="82">
        <v>0</v>
      </c>
      <c r="AF18" s="27">
        <v>0</v>
      </c>
      <c r="AG18" s="168">
        <v>0</v>
      </c>
      <c r="AI18" s="82">
        <f>J18+O18+T18+Y18+AD18-29</f>
        <v>1329</v>
      </c>
      <c r="AJ18" s="82">
        <f t="shared" ref="AI18:AJ21" si="1">K18+P18+U18+Z18+AE18</f>
        <v>1329</v>
      </c>
      <c r="AK18" s="56">
        <f t="shared" si="0"/>
        <v>18248.071823999999</v>
      </c>
      <c r="AL18" s="56">
        <f t="shared" si="0"/>
        <v>17504.598192999998</v>
      </c>
      <c r="AM18" s="88"/>
    </row>
    <row r="19" spans="1:42" ht="75" x14ac:dyDescent="0.25">
      <c r="A19" s="246"/>
      <c r="B19" s="221"/>
      <c r="C19" s="221"/>
      <c r="D19" s="221"/>
      <c r="E19" s="248"/>
      <c r="F19" s="12" t="s">
        <v>105</v>
      </c>
      <c r="G19" s="12" t="s">
        <v>106</v>
      </c>
      <c r="H19" s="256"/>
      <c r="I19" s="13"/>
      <c r="J19" s="14">
        <v>0</v>
      </c>
      <c r="K19" s="14">
        <v>0</v>
      </c>
      <c r="L19" s="113">
        <v>0</v>
      </c>
      <c r="M19" s="27"/>
      <c r="N19" s="15"/>
      <c r="O19" s="82">
        <v>0</v>
      </c>
      <c r="P19" s="14">
        <v>0</v>
      </c>
      <c r="Q19" s="27">
        <f>1456900000/L1</f>
        <v>1456.9</v>
      </c>
      <c r="R19" s="27">
        <f>1454454730/L1</f>
        <v>1454.4547299999999</v>
      </c>
      <c r="T19" s="167">
        <v>546</v>
      </c>
      <c r="U19" s="167">
        <v>546</v>
      </c>
      <c r="V19" s="27">
        <f>6858418529/L1</f>
        <v>6858.4185289999996</v>
      </c>
      <c r="W19" s="27">
        <f>6833220789/L1</f>
        <v>6833.220789</v>
      </c>
      <c r="X19" s="89"/>
      <c r="Y19" s="82">
        <v>519</v>
      </c>
      <c r="Z19" s="167">
        <v>519</v>
      </c>
      <c r="AA19" s="27">
        <f>7549126108/L1</f>
        <v>7549.1261080000004</v>
      </c>
      <c r="AB19" s="168">
        <f>7519203660/L1</f>
        <v>7519.2036600000001</v>
      </c>
      <c r="AC19" s="89"/>
      <c r="AD19" s="82">
        <v>185</v>
      </c>
      <c r="AE19" s="82">
        <v>0</v>
      </c>
      <c r="AF19" s="27">
        <f>2762397500/L1</f>
        <v>2762.3975</v>
      </c>
      <c r="AG19" s="169">
        <f>256585343/L1</f>
        <v>256.58534300000002</v>
      </c>
      <c r="AI19" s="82">
        <f t="shared" si="1"/>
        <v>1250</v>
      </c>
      <c r="AJ19" s="82">
        <f t="shared" si="1"/>
        <v>1065</v>
      </c>
      <c r="AK19" s="56">
        <f t="shared" si="0"/>
        <v>18626.842137</v>
      </c>
      <c r="AL19" s="56">
        <f t="shared" si="0"/>
        <v>16063.464522</v>
      </c>
      <c r="AM19" s="137"/>
    </row>
    <row r="20" spans="1:42" ht="49.5" customHeight="1" x14ac:dyDescent="0.25">
      <c r="A20" s="246"/>
      <c r="B20" s="221"/>
      <c r="C20" s="221"/>
      <c r="D20" s="221"/>
      <c r="E20" s="248"/>
      <c r="F20" s="12" t="s">
        <v>173</v>
      </c>
      <c r="G20" s="12" t="s">
        <v>106</v>
      </c>
      <c r="H20" s="256"/>
      <c r="I20" s="13"/>
      <c r="J20" s="14">
        <v>0</v>
      </c>
      <c r="K20" s="14">
        <v>0</v>
      </c>
      <c r="L20" s="113">
        <v>0</v>
      </c>
      <c r="M20" s="27"/>
      <c r="N20" s="15"/>
      <c r="O20" s="82">
        <v>406</v>
      </c>
      <c r="P20" s="82">
        <v>406</v>
      </c>
      <c r="Q20" s="27">
        <f>165096800/L1</f>
        <v>165.0968</v>
      </c>
      <c r="R20" s="27">
        <f>123822600/L1</f>
        <v>123.82259999999999</v>
      </c>
      <c r="T20" s="167">
        <v>1647</v>
      </c>
      <c r="U20" s="167">
        <v>1647</v>
      </c>
      <c r="V20" s="27">
        <f>162794289/L1</f>
        <v>162.79428899999999</v>
      </c>
      <c r="W20" s="27">
        <f>158517729/L1</f>
        <v>158.517729</v>
      </c>
      <c r="X20" s="89"/>
      <c r="Y20" s="82">
        <v>1576</v>
      </c>
      <c r="Z20" s="167">
        <v>1576</v>
      </c>
      <c r="AA20" s="27">
        <f>553820000/L1</f>
        <v>553.82000000000005</v>
      </c>
      <c r="AB20" s="168">
        <f>490920000/L1</f>
        <v>490.92</v>
      </c>
      <c r="AC20" s="89"/>
      <c r="AD20" s="82">
        <v>1371</v>
      </c>
      <c r="AE20" s="82">
        <v>75</v>
      </c>
      <c r="AF20" s="27">
        <f>2743550000/L1</f>
        <v>2743.55</v>
      </c>
      <c r="AG20" s="169">
        <f>662093960/L1</f>
        <v>662.09396000000004</v>
      </c>
      <c r="AI20" s="82">
        <f t="shared" si="1"/>
        <v>5000</v>
      </c>
      <c r="AJ20" s="82">
        <f t="shared" si="1"/>
        <v>3704</v>
      </c>
      <c r="AK20" s="56">
        <f t="shared" si="0"/>
        <v>3625.2610890000001</v>
      </c>
      <c r="AL20" s="56">
        <f t="shared" si="0"/>
        <v>1435.3542889999999</v>
      </c>
      <c r="AM20" s="138"/>
    </row>
    <row r="21" spans="1:42" ht="49.5" customHeight="1" x14ac:dyDescent="0.25">
      <c r="A21" s="246"/>
      <c r="B21" s="221"/>
      <c r="C21" s="221"/>
      <c r="D21" s="221"/>
      <c r="E21" s="248"/>
      <c r="F21" s="12" t="s">
        <v>177</v>
      </c>
      <c r="G21" s="12"/>
      <c r="H21" s="256"/>
      <c r="I21" s="13"/>
      <c r="J21" s="14"/>
      <c r="K21" s="14"/>
      <c r="L21" s="113"/>
      <c r="M21" s="27"/>
      <c r="N21" s="15"/>
      <c r="O21" s="82"/>
      <c r="P21" s="82"/>
      <c r="Q21" s="27"/>
      <c r="R21" s="27"/>
      <c r="T21" s="82">
        <v>58</v>
      </c>
      <c r="U21" s="167">
        <v>58</v>
      </c>
      <c r="V21" s="27">
        <f>27483586/L1</f>
        <v>27.483585999999999</v>
      </c>
      <c r="W21" s="57">
        <f>15651770/L1</f>
        <v>15.651770000000001</v>
      </c>
      <c r="X21" s="89"/>
      <c r="Y21" s="82">
        <v>56</v>
      </c>
      <c r="Z21" s="167">
        <v>56</v>
      </c>
      <c r="AA21" s="27">
        <f>68000000/L1</f>
        <v>68</v>
      </c>
      <c r="AB21" s="168">
        <f>68000000/L1</f>
        <v>68</v>
      </c>
      <c r="AC21" s="89"/>
      <c r="AD21" s="82">
        <v>1136</v>
      </c>
      <c r="AE21" s="82">
        <v>70</v>
      </c>
      <c r="AF21" s="27">
        <f>580000000/L1</f>
        <v>580</v>
      </c>
      <c r="AG21" s="169">
        <f>171660800/L1</f>
        <v>171.66079999999999</v>
      </c>
      <c r="AI21" s="82">
        <f t="shared" si="1"/>
        <v>1250</v>
      </c>
      <c r="AJ21" s="82">
        <f t="shared" si="1"/>
        <v>184</v>
      </c>
      <c r="AK21" s="56">
        <f t="shared" si="0"/>
        <v>675.48358600000006</v>
      </c>
      <c r="AL21" s="56">
        <f t="shared" si="0"/>
        <v>255.31256999999999</v>
      </c>
      <c r="AM21" s="138"/>
    </row>
    <row r="22" spans="1:42" ht="68.25" customHeight="1" x14ac:dyDescent="0.25">
      <c r="A22" s="246"/>
      <c r="B22" s="221"/>
      <c r="C22" s="221"/>
      <c r="D22" s="221"/>
      <c r="E22" s="248"/>
      <c r="F22" s="12" t="s">
        <v>189</v>
      </c>
      <c r="G22" s="12"/>
      <c r="H22" s="256"/>
      <c r="I22" s="13"/>
      <c r="J22" s="90"/>
      <c r="K22" s="90"/>
      <c r="L22" s="115"/>
      <c r="M22" s="27"/>
      <c r="N22" s="15"/>
      <c r="O22" s="82"/>
      <c r="P22" s="82"/>
      <c r="Q22" s="27"/>
      <c r="R22" s="27"/>
      <c r="T22" s="82"/>
      <c r="U22" s="167"/>
      <c r="V22" s="27"/>
      <c r="W22" s="57"/>
      <c r="X22" s="89"/>
      <c r="Y22" s="82"/>
      <c r="Z22" s="167"/>
      <c r="AA22" s="27"/>
      <c r="AB22" s="168"/>
      <c r="AC22" s="89"/>
      <c r="AD22" s="82">
        <v>250</v>
      </c>
      <c r="AE22" s="82">
        <v>3</v>
      </c>
      <c r="AF22" s="27">
        <f>2561412900/L1</f>
        <v>2561.4128999999998</v>
      </c>
      <c r="AG22" s="169">
        <f>701735200/L1</f>
        <v>701.73519999999996</v>
      </c>
      <c r="AI22" s="82">
        <f>+AD22</f>
        <v>250</v>
      </c>
      <c r="AJ22" s="82">
        <f>+AE22</f>
        <v>3</v>
      </c>
      <c r="AK22" s="56">
        <f>+AF22</f>
        <v>2561.4128999999998</v>
      </c>
      <c r="AL22" s="56">
        <f>+AG22</f>
        <v>701.73519999999996</v>
      </c>
      <c r="AM22" s="138"/>
    </row>
    <row r="23" spans="1:42" ht="75.75" customHeight="1" x14ac:dyDescent="0.25">
      <c r="A23" s="246"/>
      <c r="B23" s="221"/>
      <c r="C23" s="221"/>
      <c r="D23" s="221"/>
      <c r="E23" s="248"/>
      <c r="F23" s="12" t="s">
        <v>157</v>
      </c>
      <c r="G23" s="12" t="s">
        <v>107</v>
      </c>
      <c r="H23" s="256"/>
      <c r="I23" s="13"/>
      <c r="J23" s="198">
        <v>0.3</v>
      </c>
      <c r="K23" s="198">
        <v>0.3</v>
      </c>
      <c r="L23" s="115"/>
      <c r="M23" s="27"/>
      <c r="N23" s="15"/>
      <c r="O23" s="24">
        <v>0.7</v>
      </c>
      <c r="P23" s="124">
        <v>0.67200000000000004</v>
      </c>
      <c r="Q23" s="27"/>
      <c r="R23" s="27"/>
      <c r="T23" s="172">
        <v>0.9</v>
      </c>
      <c r="U23" s="172">
        <v>1</v>
      </c>
      <c r="V23" s="181"/>
      <c r="W23" s="168"/>
      <c r="X23" s="89"/>
      <c r="Y23" s="172">
        <v>0.95</v>
      </c>
      <c r="Z23" s="172">
        <v>0.94099999999999995</v>
      </c>
      <c r="AA23" s="181"/>
      <c r="AB23" s="168"/>
      <c r="AC23" s="89"/>
      <c r="AD23" s="91">
        <v>1</v>
      </c>
      <c r="AE23" s="91">
        <v>0.94218000000000002</v>
      </c>
      <c r="AF23" s="181"/>
      <c r="AG23" s="168"/>
      <c r="AI23" s="91">
        <f>AD23</f>
        <v>1</v>
      </c>
      <c r="AJ23" s="91">
        <f>Z23</f>
        <v>0.94099999999999995</v>
      </c>
      <c r="AK23" s="56">
        <f t="shared" ref="AJ23:AL24" si="2">L23+Q23+V23+AA23+AF23</f>
        <v>0</v>
      </c>
      <c r="AL23" s="56">
        <f t="shared" si="2"/>
        <v>0</v>
      </c>
      <c r="AM23" s="94"/>
    </row>
    <row r="24" spans="1:42" ht="75.75" customHeight="1" x14ac:dyDescent="0.25">
      <c r="A24" s="246"/>
      <c r="B24" s="221"/>
      <c r="C24" s="221"/>
      <c r="D24" s="221"/>
      <c r="E24" s="248"/>
      <c r="F24" s="103" t="s">
        <v>157</v>
      </c>
      <c r="G24" s="103" t="s">
        <v>170</v>
      </c>
      <c r="H24" s="256"/>
      <c r="I24" s="13"/>
      <c r="J24" s="95">
        <v>1</v>
      </c>
      <c r="K24" s="95">
        <v>1</v>
      </c>
      <c r="L24" s="112"/>
      <c r="M24" s="97"/>
      <c r="N24" s="98"/>
      <c r="O24" s="101">
        <v>0</v>
      </c>
      <c r="P24" s="133">
        <v>0</v>
      </c>
      <c r="Q24" s="97"/>
      <c r="R24" s="97"/>
      <c r="S24" s="170"/>
      <c r="T24" s="164">
        <v>0</v>
      </c>
      <c r="U24" s="164">
        <v>0</v>
      </c>
      <c r="V24" s="165"/>
      <c r="W24" s="166"/>
      <c r="X24" s="100"/>
      <c r="Y24" s="164">
        <v>0</v>
      </c>
      <c r="Z24" s="164">
        <v>0</v>
      </c>
      <c r="AA24" s="165"/>
      <c r="AB24" s="166"/>
      <c r="AC24" s="100"/>
      <c r="AD24" s="101">
        <v>0</v>
      </c>
      <c r="AE24" s="101">
        <v>0</v>
      </c>
      <c r="AF24" s="165"/>
      <c r="AG24" s="166"/>
      <c r="AH24" s="170"/>
      <c r="AI24" s="101">
        <f>J24+O24+T24+Y24+AD24</f>
        <v>1</v>
      </c>
      <c r="AJ24" s="101">
        <f t="shared" si="2"/>
        <v>1</v>
      </c>
      <c r="AK24" s="102">
        <f t="shared" si="2"/>
        <v>0</v>
      </c>
      <c r="AL24" s="102">
        <f t="shared" si="2"/>
        <v>0</v>
      </c>
      <c r="AM24" s="94"/>
    </row>
    <row r="25" spans="1:42" ht="60" x14ac:dyDescent="0.25">
      <c r="A25" s="246"/>
      <c r="B25" s="221"/>
      <c r="C25" s="221"/>
      <c r="D25" s="221"/>
      <c r="E25" s="248"/>
      <c r="F25" s="12" t="s">
        <v>108</v>
      </c>
      <c r="G25" s="12" t="s">
        <v>109</v>
      </c>
      <c r="H25" s="256"/>
      <c r="I25" s="13"/>
      <c r="J25" s="14">
        <v>50</v>
      </c>
      <c r="K25" s="14">
        <v>50</v>
      </c>
      <c r="L25" s="113">
        <v>3103.2696059999998</v>
      </c>
      <c r="M25" s="27">
        <v>2913.9473720000001</v>
      </c>
      <c r="N25" s="15"/>
      <c r="O25" s="14">
        <v>250</v>
      </c>
      <c r="P25" s="14">
        <v>250</v>
      </c>
      <c r="Q25" s="57">
        <f>3932276784/L1</f>
        <v>3932.2767840000001</v>
      </c>
      <c r="R25" s="57">
        <f>3805545713/L1</f>
        <v>3805.545713</v>
      </c>
      <c r="T25" s="82">
        <v>500</v>
      </c>
      <c r="U25" s="167">
        <v>500</v>
      </c>
      <c r="V25" s="27">
        <f>1940129558/L1</f>
        <v>1940.1295580000001</v>
      </c>
      <c r="W25" s="57">
        <f>1927155006/L1</f>
        <v>1927.155006</v>
      </c>
      <c r="X25" s="89"/>
      <c r="Y25" s="82">
        <v>390</v>
      </c>
      <c r="Z25" s="167">
        <v>390</v>
      </c>
      <c r="AA25" s="27">
        <f>1684400713/L1</f>
        <v>1684.400713</v>
      </c>
      <c r="AB25" s="169">
        <f>1682915613/L1</f>
        <v>1682.9156129999999</v>
      </c>
      <c r="AC25" s="89"/>
      <c r="AD25" s="82">
        <v>310</v>
      </c>
      <c r="AE25" s="82">
        <v>7</v>
      </c>
      <c r="AF25" s="27">
        <f>1385959000/L1</f>
        <v>1385.9590000000001</v>
      </c>
      <c r="AG25" s="169">
        <f>295335200/L1</f>
        <v>295.33519999999999</v>
      </c>
      <c r="AI25" s="82">
        <f>J25+O25+T25+Y25+AD25</f>
        <v>1500</v>
      </c>
      <c r="AJ25" s="82">
        <f>K25+P25+U25+Z25+AE25</f>
        <v>1197</v>
      </c>
      <c r="AK25" s="56">
        <f>L25+Q25+V25+AA25+AF25</f>
        <v>12046.035661</v>
      </c>
      <c r="AL25" s="56">
        <f>M25+R25+W25+AB25+AG25</f>
        <v>10624.898903999998</v>
      </c>
    </row>
    <row r="26" spans="1:42" ht="75.75" customHeight="1" x14ac:dyDescent="0.25">
      <c r="A26" s="246"/>
      <c r="B26" s="221"/>
      <c r="C26" s="221"/>
      <c r="D26" s="221"/>
      <c r="E26" s="248"/>
      <c r="F26" s="103" t="s">
        <v>159</v>
      </c>
      <c r="G26" s="103" t="s">
        <v>110</v>
      </c>
      <c r="H26" s="256"/>
      <c r="I26" s="13"/>
      <c r="J26" s="95">
        <v>0.2</v>
      </c>
      <c r="K26" s="95">
        <v>0.2</v>
      </c>
      <c r="L26" s="112"/>
      <c r="M26" s="97"/>
      <c r="N26" s="98"/>
      <c r="O26" s="99">
        <v>0.45</v>
      </c>
      <c r="P26" s="140">
        <v>0.40749999999999997</v>
      </c>
      <c r="Q26" s="97"/>
      <c r="R26" s="97"/>
      <c r="S26" s="170"/>
      <c r="T26" s="164">
        <v>0.8</v>
      </c>
      <c r="U26" s="171">
        <v>0.7843</v>
      </c>
      <c r="V26" s="165"/>
      <c r="W26" s="166"/>
      <c r="X26" s="100"/>
      <c r="Y26" s="164">
        <v>0.9</v>
      </c>
      <c r="Z26" s="164">
        <v>0.8881</v>
      </c>
      <c r="AA26" s="27"/>
      <c r="AB26" s="166"/>
      <c r="AC26" s="100"/>
      <c r="AD26" s="101">
        <v>1</v>
      </c>
      <c r="AE26" s="101">
        <v>0.91049999999999998</v>
      </c>
      <c r="AF26" s="27"/>
      <c r="AG26" s="166"/>
      <c r="AH26" s="170"/>
      <c r="AI26" s="101">
        <f>+AD26</f>
        <v>1</v>
      </c>
      <c r="AJ26" s="133">
        <f>+AE26</f>
        <v>0.91049999999999998</v>
      </c>
      <c r="AK26" s="102">
        <f>L26+Q26+V26+AA26+AF26</f>
        <v>0</v>
      </c>
      <c r="AL26" s="102">
        <f>M26+R26+W26+AB26+AG26</f>
        <v>0</v>
      </c>
      <c r="AM26" s="94"/>
    </row>
    <row r="27" spans="1:42" ht="75" x14ac:dyDescent="0.25">
      <c r="A27" s="246"/>
      <c r="B27" s="215"/>
      <c r="C27" s="215"/>
      <c r="D27" s="215"/>
      <c r="E27" s="262"/>
      <c r="F27" s="12" t="s">
        <v>111</v>
      </c>
      <c r="G27" s="12" t="s">
        <v>110</v>
      </c>
      <c r="H27" s="256"/>
      <c r="I27" s="13"/>
      <c r="J27" s="24">
        <v>0.2</v>
      </c>
      <c r="K27" s="91">
        <v>0.2</v>
      </c>
      <c r="L27" s="113">
        <f>80000000/L1</f>
        <v>80</v>
      </c>
      <c r="M27" s="27">
        <v>37.799999999999997</v>
      </c>
      <c r="N27" s="15"/>
      <c r="O27" s="24">
        <v>0.45</v>
      </c>
      <c r="P27" s="134">
        <v>0.40749999999999997</v>
      </c>
      <c r="Q27" s="27">
        <f>2986400000/L1</f>
        <v>2986.4</v>
      </c>
      <c r="R27" s="27">
        <f>2978800000/L1</f>
        <v>2978.8</v>
      </c>
      <c r="T27" s="172">
        <v>0.8</v>
      </c>
      <c r="U27" s="173">
        <v>0.7843</v>
      </c>
      <c r="V27" s="27">
        <f>836195372/L1</f>
        <v>836.19537200000002</v>
      </c>
      <c r="W27" s="57">
        <f>832393880/L1</f>
        <v>832.39387999999997</v>
      </c>
      <c r="X27" s="89"/>
      <c r="Y27" s="172">
        <v>0.9</v>
      </c>
      <c r="Z27" s="172">
        <f>+Z26</f>
        <v>0.8881</v>
      </c>
      <c r="AA27" s="27">
        <f>3053883566/L1</f>
        <v>3053.883566</v>
      </c>
      <c r="AB27" s="168">
        <f>3050302900/L1</f>
        <v>3050.3029000000001</v>
      </c>
      <c r="AC27" s="89"/>
      <c r="AD27" s="91">
        <v>1</v>
      </c>
      <c r="AE27" s="91">
        <v>0.91049999999999998</v>
      </c>
      <c r="AF27" s="27">
        <f>1358188600/L1</f>
        <v>1358.1886</v>
      </c>
      <c r="AG27" s="168">
        <v>0</v>
      </c>
      <c r="AI27" s="91">
        <f>AD27</f>
        <v>1</v>
      </c>
      <c r="AJ27" s="110">
        <f>+AE27</f>
        <v>0.91049999999999998</v>
      </c>
      <c r="AK27" s="56">
        <f>L27+Q27+V27+AA27+AF27</f>
        <v>8314.6675379999997</v>
      </c>
      <c r="AL27" s="56">
        <f>M27+R27+W27+AB27+AG27</f>
        <v>6899.2967800000006</v>
      </c>
      <c r="AM27" s="94"/>
    </row>
    <row r="28" spans="1:42" s="6" customFormat="1" ht="15.75" x14ac:dyDescent="0.25">
      <c r="A28" s="174"/>
      <c r="B28" s="62" t="s">
        <v>102</v>
      </c>
      <c r="C28" s="62"/>
      <c r="D28" s="62"/>
      <c r="E28" s="62"/>
      <c r="F28" s="37"/>
      <c r="G28" s="37"/>
      <c r="H28" s="37"/>
      <c r="I28" s="38"/>
      <c r="J28" s="39"/>
      <c r="K28" s="39"/>
      <c r="L28" s="114">
        <f>SUM(L17:L27)</f>
        <v>4745.4217090000002</v>
      </c>
      <c r="M28" s="40">
        <f>SUM(M17:M27)</f>
        <v>4024.4868530000003</v>
      </c>
      <c r="N28" s="41"/>
      <c r="O28" s="39"/>
      <c r="P28" s="39"/>
      <c r="Q28" s="40">
        <f>SUM(Q17:Q27)</f>
        <v>13220.845026000001</v>
      </c>
      <c r="R28" s="40">
        <f>SUM(R17:R27)</f>
        <v>12907.465350000002</v>
      </c>
      <c r="T28" s="39"/>
      <c r="U28" s="39"/>
      <c r="V28" s="40">
        <f>SUM(V17:V27)</f>
        <v>14800</v>
      </c>
      <c r="W28" s="40">
        <f>SUM(W17:W27)</f>
        <v>14731.105924</v>
      </c>
      <c r="Y28" s="39"/>
      <c r="Z28" s="39"/>
      <c r="AA28" s="40">
        <f>SUM(AA17:AA27)</f>
        <v>19940</v>
      </c>
      <c r="AB28" s="40">
        <f>SUM(AB17:AB27)</f>
        <v>19734.191827999999</v>
      </c>
      <c r="AD28" s="39"/>
      <c r="AE28" s="40"/>
      <c r="AF28" s="40">
        <f>SUM(AF17:AF27)</f>
        <v>11391.508</v>
      </c>
      <c r="AG28" s="40">
        <f>SUM(AG17:AG27)</f>
        <v>2087.4105030000001</v>
      </c>
      <c r="AI28" s="85"/>
      <c r="AJ28" s="85"/>
      <c r="AK28" s="58">
        <f>SUM(AK17:AK27)</f>
        <v>64097.774735000006</v>
      </c>
      <c r="AL28" s="58">
        <f>SUM(AL17:AL27)</f>
        <v>53484.660458000013</v>
      </c>
      <c r="AM28" s="196"/>
      <c r="AN28" s="23"/>
      <c r="AO28" s="145"/>
      <c r="AP28" s="145"/>
    </row>
    <row r="29" spans="1:42" s="151" customFormat="1" ht="12.75" x14ac:dyDescent="0.2">
      <c r="A29" s="154"/>
      <c r="B29" s="155"/>
      <c r="C29" s="155"/>
      <c r="D29" s="155"/>
      <c r="E29" s="155"/>
      <c r="F29" s="155"/>
      <c r="G29" s="155"/>
      <c r="H29" s="155"/>
      <c r="I29" s="156"/>
      <c r="J29" s="154"/>
      <c r="K29" s="156"/>
      <c r="L29" s="157"/>
      <c r="M29" s="156"/>
      <c r="N29" s="156"/>
      <c r="O29" s="156"/>
      <c r="P29" s="156"/>
      <c r="Q29" s="156"/>
      <c r="R29" s="156"/>
      <c r="T29" s="158"/>
      <c r="U29" s="158"/>
      <c r="V29" s="158"/>
      <c r="W29" s="158"/>
      <c r="Y29" s="158"/>
      <c r="Z29" s="158"/>
      <c r="AA29" s="158"/>
      <c r="AB29" s="158"/>
      <c r="AD29" s="156"/>
      <c r="AE29" s="156"/>
      <c r="AF29" s="158"/>
      <c r="AG29" s="158"/>
      <c r="AI29" s="159"/>
      <c r="AJ29" s="159"/>
      <c r="AK29" s="159"/>
      <c r="AL29" s="160"/>
      <c r="AM29" s="150"/>
    </row>
    <row r="30" spans="1:42" s="153" customFormat="1" ht="15.75" customHeight="1" x14ac:dyDescent="0.2">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152"/>
    </row>
    <row r="31" spans="1:42" s="151" customFormat="1" ht="12.75" x14ac:dyDescent="0.2">
      <c r="A31" s="154"/>
      <c r="B31" s="155"/>
      <c r="C31" s="155"/>
      <c r="D31" s="155"/>
      <c r="E31" s="155"/>
      <c r="F31" s="155"/>
      <c r="G31" s="155"/>
      <c r="H31" s="155"/>
      <c r="I31" s="156"/>
      <c r="J31" s="154"/>
      <c r="K31" s="156"/>
      <c r="L31" s="157"/>
      <c r="M31" s="156"/>
      <c r="N31" s="156"/>
      <c r="O31" s="156"/>
      <c r="P31" s="156"/>
      <c r="Q31" s="156"/>
      <c r="R31" s="156"/>
      <c r="T31" s="158"/>
      <c r="U31" s="158"/>
      <c r="V31" s="158"/>
      <c r="W31" s="158"/>
      <c r="Y31" s="158"/>
      <c r="Z31" s="158"/>
      <c r="AA31" s="158"/>
      <c r="AB31" s="158"/>
      <c r="AD31" s="156"/>
      <c r="AE31" s="156"/>
      <c r="AF31" s="158"/>
      <c r="AG31" s="158"/>
      <c r="AI31" s="159"/>
      <c r="AJ31" s="159"/>
      <c r="AK31" s="159"/>
      <c r="AL31" s="160"/>
      <c r="AM31" s="150"/>
    </row>
    <row r="32" spans="1:42" x14ac:dyDescent="0.25">
      <c r="A32" s="104">
        <v>1</v>
      </c>
      <c r="B32" s="92" t="s">
        <v>93</v>
      </c>
      <c r="C32" s="253" t="s">
        <v>112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row>
    <row r="33" spans="1:43" x14ac:dyDescent="0.25">
      <c r="A33" s="50">
        <v>8</v>
      </c>
      <c r="B33" s="6" t="s">
        <v>155</v>
      </c>
      <c r="C33" s="253" t="s">
        <v>156</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row>
    <row r="34" spans="1:43" x14ac:dyDescent="0.25">
      <c r="A34" s="50">
        <v>19</v>
      </c>
      <c r="B34" s="6" t="s">
        <v>94</v>
      </c>
      <c r="C34" s="253" t="s">
        <v>154</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row>
    <row r="35" spans="1:43" ht="30" x14ac:dyDescent="0.25">
      <c r="A35" s="50">
        <v>3</v>
      </c>
      <c r="B35" s="93" t="s">
        <v>97</v>
      </c>
      <c r="C35" s="253" t="s">
        <v>113</v>
      </c>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row>
    <row r="36" spans="1:43" x14ac:dyDescent="0.25">
      <c r="L36" s="161"/>
      <c r="V36" s="175"/>
      <c r="W36" s="175"/>
      <c r="AA36" s="175"/>
      <c r="AB36" s="175"/>
      <c r="AF36" s="175"/>
      <c r="AG36" s="175"/>
      <c r="AK36" s="86"/>
    </row>
    <row r="37" spans="1:43" s="10" customFormat="1" ht="27" customHeight="1" x14ac:dyDescent="0.25">
      <c r="A37" s="236" t="s">
        <v>2</v>
      </c>
      <c r="B37" s="211" t="s">
        <v>3</v>
      </c>
      <c r="C37" s="251" t="s">
        <v>86</v>
      </c>
      <c r="D37" s="211" t="s">
        <v>66</v>
      </c>
      <c r="E37" s="251" t="s">
        <v>167</v>
      </c>
      <c r="F37" s="233" t="s">
        <v>100</v>
      </c>
      <c r="G37" s="260" t="s">
        <v>89</v>
      </c>
      <c r="H37" s="206" t="s">
        <v>168</v>
      </c>
      <c r="I37" s="9"/>
      <c r="J37" s="206">
        <v>2020</v>
      </c>
      <c r="K37" s="206"/>
      <c r="L37" s="206"/>
      <c r="M37" s="206"/>
      <c r="N37" s="9"/>
      <c r="O37" s="206">
        <v>2021</v>
      </c>
      <c r="P37" s="206"/>
      <c r="Q37" s="206"/>
      <c r="R37" s="206"/>
      <c r="T37" s="206">
        <v>2022</v>
      </c>
      <c r="U37" s="206"/>
      <c r="V37" s="206"/>
      <c r="W37" s="206"/>
      <c r="Y37" s="206">
        <v>2023</v>
      </c>
      <c r="Z37" s="206"/>
      <c r="AA37" s="206"/>
      <c r="AB37" s="206"/>
      <c r="AD37" s="207">
        <v>2024</v>
      </c>
      <c r="AE37" s="208"/>
      <c r="AF37" s="208"/>
      <c r="AG37" s="208"/>
      <c r="AI37" s="254" t="s">
        <v>101</v>
      </c>
      <c r="AJ37" s="254"/>
      <c r="AK37" s="254"/>
      <c r="AL37" s="254"/>
      <c r="AM37" s="87"/>
    </row>
    <row r="38" spans="1:43" s="10" customFormat="1" ht="16.5" customHeight="1" x14ac:dyDescent="0.25">
      <c r="A38" s="237"/>
      <c r="B38" s="212"/>
      <c r="C38" s="234"/>
      <c r="D38" s="212"/>
      <c r="E38" s="234"/>
      <c r="F38" s="234"/>
      <c r="G38" s="260"/>
      <c r="H38" s="206"/>
      <c r="I38" s="9"/>
      <c r="J38" s="206" t="s">
        <v>4</v>
      </c>
      <c r="K38" s="206"/>
      <c r="L38" s="206" t="s">
        <v>61</v>
      </c>
      <c r="M38" s="206"/>
      <c r="N38" s="9"/>
      <c r="O38" s="206" t="s">
        <v>6</v>
      </c>
      <c r="P38" s="206"/>
      <c r="Q38" s="206" t="s">
        <v>8</v>
      </c>
      <c r="R38" s="206"/>
      <c r="S38" s="9"/>
      <c r="T38" s="206" t="s">
        <v>7</v>
      </c>
      <c r="U38" s="206"/>
      <c r="V38" s="206" t="s">
        <v>8</v>
      </c>
      <c r="W38" s="206"/>
      <c r="Y38" s="206" t="s">
        <v>7</v>
      </c>
      <c r="Z38" s="206"/>
      <c r="AA38" s="206" t="s">
        <v>8</v>
      </c>
      <c r="AB38" s="206"/>
      <c r="AD38" s="206" t="s">
        <v>7</v>
      </c>
      <c r="AE38" s="206"/>
      <c r="AF38" s="206" t="s">
        <v>8</v>
      </c>
      <c r="AG38" s="206"/>
      <c r="AI38" s="251" t="s">
        <v>4</v>
      </c>
      <c r="AJ38" s="251" t="s">
        <v>65</v>
      </c>
      <c r="AK38" s="251" t="s">
        <v>8</v>
      </c>
      <c r="AL38" s="251" t="s">
        <v>5</v>
      </c>
      <c r="AM38" s="87"/>
    </row>
    <row r="39" spans="1:43" s="10" customFormat="1" ht="30" x14ac:dyDescent="0.25">
      <c r="A39" s="238"/>
      <c r="B39" s="213"/>
      <c r="C39" s="252"/>
      <c r="D39" s="213"/>
      <c r="E39" s="252"/>
      <c r="F39" s="235"/>
      <c r="G39" s="260"/>
      <c r="H39" s="206"/>
      <c r="I39" s="11"/>
      <c r="J39" s="61" t="s">
        <v>59</v>
      </c>
      <c r="K39" s="61" t="s">
        <v>60</v>
      </c>
      <c r="L39" s="162" t="s">
        <v>63</v>
      </c>
      <c r="M39" s="61" t="s">
        <v>62</v>
      </c>
      <c r="N39" s="11"/>
      <c r="O39" s="163" t="s">
        <v>59</v>
      </c>
      <c r="P39" s="61" t="s">
        <v>60</v>
      </c>
      <c r="Q39" s="163" t="s">
        <v>63</v>
      </c>
      <c r="R39" s="61" t="s">
        <v>62</v>
      </c>
      <c r="S39" s="9"/>
      <c r="T39" s="163" t="s">
        <v>59</v>
      </c>
      <c r="U39" s="61" t="s">
        <v>60</v>
      </c>
      <c r="V39" s="61" t="s">
        <v>63</v>
      </c>
      <c r="W39" s="61" t="s">
        <v>62</v>
      </c>
      <c r="Y39" s="61" t="s">
        <v>59</v>
      </c>
      <c r="Z39" s="61" t="s">
        <v>60</v>
      </c>
      <c r="AA39" s="61" t="s">
        <v>63</v>
      </c>
      <c r="AB39" s="61" t="s">
        <v>62</v>
      </c>
      <c r="AD39" s="61" t="s">
        <v>59</v>
      </c>
      <c r="AE39" s="61" t="s">
        <v>60</v>
      </c>
      <c r="AF39" s="61" t="s">
        <v>63</v>
      </c>
      <c r="AG39" s="61" t="s">
        <v>62</v>
      </c>
      <c r="AI39" s="252"/>
      <c r="AJ39" s="252"/>
      <c r="AK39" s="252"/>
      <c r="AL39" s="252"/>
      <c r="AM39" s="87"/>
    </row>
    <row r="40" spans="1:43" ht="75.75" customHeight="1" x14ac:dyDescent="0.25">
      <c r="A40" s="245" t="s">
        <v>114</v>
      </c>
      <c r="B40" s="214" t="s">
        <v>115</v>
      </c>
      <c r="C40" s="214" t="s">
        <v>116</v>
      </c>
      <c r="D40" s="214" t="s">
        <v>150</v>
      </c>
      <c r="E40" s="214" t="str">
        <f>C33</f>
        <v xml:space="preserve">Aumentar el acceso a vivienda digna, espacio público y equipamientos de la población vulnerable en suelo urbano y rural </v>
      </c>
      <c r="F40" s="103" t="s">
        <v>186</v>
      </c>
      <c r="G40" s="103" t="s">
        <v>90</v>
      </c>
      <c r="H40" s="255" t="str">
        <f>C35</f>
        <v>Sistema Distrital de cuidado</v>
      </c>
      <c r="I40" s="13"/>
      <c r="J40" s="96">
        <v>300</v>
      </c>
      <c r="K40" s="96">
        <v>433</v>
      </c>
      <c r="L40" s="112"/>
      <c r="M40" s="97"/>
      <c r="N40" s="98"/>
      <c r="O40" s="106">
        <v>1005</v>
      </c>
      <c r="P40" s="106">
        <v>1005</v>
      </c>
      <c r="Q40" s="97"/>
      <c r="R40" s="97"/>
      <c r="S40" s="170"/>
      <c r="T40" s="177">
        <v>907</v>
      </c>
      <c r="U40" s="177">
        <v>907</v>
      </c>
      <c r="V40" s="165"/>
      <c r="W40" s="166"/>
      <c r="X40" s="100"/>
      <c r="Y40" s="177">
        <v>784</v>
      </c>
      <c r="Z40" s="177">
        <v>784</v>
      </c>
      <c r="AA40" s="165"/>
      <c r="AB40" s="166"/>
      <c r="AC40" s="100"/>
      <c r="AD40" s="177">
        <v>771</v>
      </c>
      <c r="AE40" s="107">
        <v>16</v>
      </c>
      <c r="AF40" s="165"/>
      <c r="AG40" s="166"/>
      <c r="AH40" s="170"/>
      <c r="AI40" s="107">
        <f>J40+O40+T40+Y40+AD40+133</f>
        <v>3900</v>
      </c>
      <c r="AJ40" s="107">
        <f t="shared" ref="AJ40:AL43" si="3">K40+P40+U40+Z40+AE40</f>
        <v>3145</v>
      </c>
      <c r="AK40" s="102">
        <f t="shared" si="3"/>
        <v>0</v>
      </c>
      <c r="AL40" s="102">
        <f t="shared" si="3"/>
        <v>0</v>
      </c>
      <c r="AM40" s="88"/>
    </row>
    <row r="41" spans="1:43" ht="75.75" customHeight="1" x14ac:dyDescent="0.25">
      <c r="A41" s="246"/>
      <c r="B41" s="221"/>
      <c r="C41" s="221"/>
      <c r="D41" s="221"/>
      <c r="E41" s="221"/>
      <c r="F41" s="12" t="s">
        <v>185</v>
      </c>
      <c r="G41" s="12" t="s">
        <v>90</v>
      </c>
      <c r="H41" s="256"/>
      <c r="I41" s="13"/>
      <c r="J41" s="90">
        <v>300</v>
      </c>
      <c r="K41" s="90">
        <v>433</v>
      </c>
      <c r="L41" s="115">
        <v>2485.9104860000002</v>
      </c>
      <c r="M41" s="27">
        <v>2462.6375039999998</v>
      </c>
      <c r="N41" s="15"/>
      <c r="O41" s="14">
        <v>1005</v>
      </c>
      <c r="P41" s="14">
        <v>1005</v>
      </c>
      <c r="Q41" s="57">
        <f>3174460251/L1</f>
        <v>3174.460251</v>
      </c>
      <c r="R41" s="27">
        <f>3173790307/L1</f>
        <v>3173.7903070000002</v>
      </c>
      <c r="T41" s="14">
        <v>907</v>
      </c>
      <c r="U41" s="167">
        <v>907</v>
      </c>
      <c r="V41" s="57">
        <f>2789780428/L1</f>
        <v>2789.780428</v>
      </c>
      <c r="W41" s="57">
        <f>2722403328/L1</f>
        <v>2722.4033279999999</v>
      </c>
      <c r="X41" s="89"/>
      <c r="Y41" s="176">
        <v>784</v>
      </c>
      <c r="Z41" s="167">
        <f>+Z40</f>
        <v>784</v>
      </c>
      <c r="AA41" s="57">
        <f>2154440514/L1</f>
        <v>2154.4405139999999</v>
      </c>
      <c r="AB41" s="181">
        <f>2126649916/L1</f>
        <v>2126.6499159999998</v>
      </c>
      <c r="AC41" s="89"/>
      <c r="AD41" s="82">
        <v>771</v>
      </c>
      <c r="AE41" s="82">
        <v>16</v>
      </c>
      <c r="AF41" s="57">
        <f>1475520000/L1</f>
        <v>1475.52</v>
      </c>
      <c r="AG41" s="168">
        <f>458748200/L1</f>
        <v>458.7482</v>
      </c>
      <c r="AI41" s="82">
        <f>J41+O41+T41+Y41+AD41+133</f>
        <v>3900</v>
      </c>
      <c r="AJ41" s="82">
        <f t="shared" si="3"/>
        <v>3145</v>
      </c>
      <c r="AK41" s="57">
        <f t="shared" si="3"/>
        <v>12080.111679</v>
      </c>
      <c r="AL41" s="56">
        <f t="shared" si="3"/>
        <v>10944.229255</v>
      </c>
      <c r="AM41" s="88"/>
      <c r="AN41" s="178"/>
    </row>
    <row r="42" spans="1:43" ht="43.5" customHeight="1" x14ac:dyDescent="0.25">
      <c r="A42" s="246"/>
      <c r="B42" s="221"/>
      <c r="C42" s="221"/>
      <c r="D42" s="221"/>
      <c r="E42" s="221"/>
      <c r="F42" s="12" t="s">
        <v>119</v>
      </c>
      <c r="G42" s="12" t="s">
        <v>120</v>
      </c>
      <c r="H42" s="256"/>
      <c r="I42" s="13"/>
      <c r="J42" s="14">
        <v>1</v>
      </c>
      <c r="K42" s="14">
        <v>1</v>
      </c>
      <c r="L42" s="113">
        <v>3933.2635260000002</v>
      </c>
      <c r="M42" s="27">
        <v>3919.824286</v>
      </c>
      <c r="N42" s="15"/>
      <c r="O42" s="18">
        <v>0.35</v>
      </c>
      <c r="P42" s="136">
        <v>0.35</v>
      </c>
      <c r="Q42" s="57">
        <f>785812430/L1</f>
        <v>785.81242999999995</v>
      </c>
      <c r="R42" s="27">
        <f>783562430/L1</f>
        <v>783.56242999999995</v>
      </c>
      <c r="T42" s="179">
        <v>0.25</v>
      </c>
      <c r="U42" s="180">
        <v>0.25</v>
      </c>
      <c r="V42" s="57">
        <f>780581888/L1</f>
        <v>780.58188800000005</v>
      </c>
      <c r="W42" s="57">
        <f>664949494/L1</f>
        <v>664.94949399999996</v>
      </c>
      <c r="X42" s="89"/>
      <c r="Y42" s="179">
        <v>0.27</v>
      </c>
      <c r="Z42" s="201">
        <v>0.13</v>
      </c>
      <c r="AA42" s="57">
        <f>906088213/L1</f>
        <v>906.088213</v>
      </c>
      <c r="AB42" s="57">
        <f>816366845/L1</f>
        <v>816.36684500000001</v>
      </c>
      <c r="AC42" s="89"/>
      <c r="AD42" s="136">
        <v>0.28000000000000003</v>
      </c>
      <c r="AE42" s="82">
        <v>0</v>
      </c>
      <c r="AF42" s="57">
        <f>888200000/L1</f>
        <v>888.2</v>
      </c>
      <c r="AG42" s="168">
        <f>366509158/L1</f>
        <v>366.50915800000001</v>
      </c>
      <c r="AI42" s="82">
        <f>J42+O42+T42+Y42+AD42</f>
        <v>2.1500000000000004</v>
      </c>
      <c r="AJ42" s="136">
        <f t="shared" si="3"/>
        <v>1.73</v>
      </c>
      <c r="AK42" s="57">
        <f>L42+Q42+V42+AA42+AF42</f>
        <v>7293.9460570000001</v>
      </c>
      <c r="AL42" s="56">
        <f t="shared" si="3"/>
        <v>6551.2122129999998</v>
      </c>
      <c r="AM42" s="88"/>
      <c r="AN42" s="66"/>
      <c r="AO42" s="182"/>
    </row>
    <row r="43" spans="1:43" ht="39.75" customHeight="1" x14ac:dyDescent="0.25">
      <c r="A43" s="246"/>
      <c r="B43" s="221"/>
      <c r="C43" s="221"/>
      <c r="D43" s="221"/>
      <c r="E43" s="221"/>
      <c r="F43" s="12" t="s">
        <v>117</v>
      </c>
      <c r="G43" s="12" t="s">
        <v>118</v>
      </c>
      <c r="H43" s="256"/>
      <c r="I43" s="13"/>
      <c r="J43" s="14">
        <v>1</v>
      </c>
      <c r="K43" s="14">
        <v>1</v>
      </c>
      <c r="L43" s="120">
        <v>1.1481950000000001</v>
      </c>
      <c r="M43" s="121">
        <v>1.1481950000000001</v>
      </c>
      <c r="N43" s="15"/>
      <c r="O43" s="14">
        <v>1</v>
      </c>
      <c r="P43" s="14">
        <v>1</v>
      </c>
      <c r="Q43" s="57">
        <f>704512319/L1</f>
        <v>704.51231900000005</v>
      </c>
      <c r="R43" s="27">
        <f>700993442/L1</f>
        <v>700.99344199999996</v>
      </c>
      <c r="T43" s="179" t="s">
        <v>181</v>
      </c>
      <c r="U43" s="180">
        <v>0.7</v>
      </c>
      <c r="V43" s="57">
        <f>544580000/L1</f>
        <v>544.58000000000004</v>
      </c>
      <c r="W43" s="57">
        <f>544580000/L1</f>
        <v>544.58000000000004</v>
      </c>
      <c r="X43" s="89"/>
      <c r="Y43" s="167" t="s">
        <v>180</v>
      </c>
      <c r="Z43" s="201">
        <v>1.05</v>
      </c>
      <c r="AA43" s="57">
        <f>1318697580/L1</f>
        <v>1318.69758</v>
      </c>
      <c r="AB43" s="169">
        <f>1268364625/L1</f>
        <v>1268.3646249999999</v>
      </c>
      <c r="AC43" s="89"/>
      <c r="AD43" s="203">
        <v>0.3</v>
      </c>
      <c r="AE43" s="82">
        <v>0</v>
      </c>
      <c r="AF43" s="57">
        <f>60000000/L1</f>
        <v>60</v>
      </c>
      <c r="AG43" s="168">
        <v>0</v>
      </c>
      <c r="AI43" s="146">
        <v>4</v>
      </c>
      <c r="AJ43" s="136">
        <f t="shared" si="3"/>
        <v>3.75</v>
      </c>
      <c r="AK43" s="57">
        <f t="shared" si="3"/>
        <v>2628.9380940000001</v>
      </c>
      <c r="AL43" s="56">
        <f>M43+R43+W43+AB43+AG43</f>
        <v>2515.0862619999998</v>
      </c>
      <c r="AM43" s="137"/>
    </row>
    <row r="44" spans="1:43" ht="61.5" customHeight="1" x14ac:dyDescent="0.25">
      <c r="A44" s="183"/>
      <c r="B44" s="215"/>
      <c r="C44" s="215"/>
      <c r="D44" s="215"/>
      <c r="E44" s="215"/>
      <c r="F44" s="12" t="s">
        <v>184</v>
      </c>
      <c r="G44" s="142" t="s">
        <v>176</v>
      </c>
      <c r="H44" s="149"/>
      <c r="I44" s="13"/>
      <c r="J44" s="14">
        <v>0</v>
      </c>
      <c r="K44" s="14">
        <v>0</v>
      </c>
      <c r="L44" s="120"/>
      <c r="M44" s="121"/>
      <c r="N44" s="15"/>
      <c r="O44" s="14">
        <v>0</v>
      </c>
      <c r="P44" s="14">
        <v>0</v>
      </c>
      <c r="Q44" s="57"/>
      <c r="R44" s="27"/>
      <c r="T44" s="172">
        <v>1</v>
      </c>
      <c r="U44" s="172">
        <v>0.95</v>
      </c>
      <c r="V44" s="57">
        <f>4835058684/L1</f>
        <v>4835.0586839999996</v>
      </c>
      <c r="W44" s="57">
        <f>4774833286/L1</f>
        <v>4774.833286</v>
      </c>
      <c r="X44" s="89"/>
      <c r="Y44" s="172">
        <v>1</v>
      </c>
      <c r="Z44" s="172">
        <v>0.98799999999999999</v>
      </c>
      <c r="AA44" s="57">
        <f>642633693/L1</f>
        <v>642.63369299999999</v>
      </c>
      <c r="AB44" s="169">
        <f>628436596/L1</f>
        <v>628.43659600000001</v>
      </c>
      <c r="AC44" s="89"/>
      <c r="AD44" s="172">
        <v>1</v>
      </c>
      <c r="AE44" s="172">
        <v>1</v>
      </c>
      <c r="AF44" s="57">
        <f>1566880000/L1</f>
        <v>1566.88</v>
      </c>
      <c r="AG44" s="168">
        <f>241088431/L1</f>
        <v>241.08843100000001</v>
      </c>
      <c r="AI44" s="91">
        <f>AD44</f>
        <v>1</v>
      </c>
      <c r="AJ44" s="110">
        <f>(+Z44+U44+AE44)/3</f>
        <v>0.97933333333333328</v>
      </c>
      <c r="AK44" s="57">
        <f>L44+Q44+V44+AA44+AF44</f>
        <v>7044.5723769999995</v>
      </c>
      <c r="AL44" s="56">
        <f>M44+R44+W44+AB44+AG44</f>
        <v>5644.3583130000006</v>
      </c>
      <c r="AM44" s="137"/>
    </row>
    <row r="45" spans="1:43" s="6" customFormat="1" ht="15.75" x14ac:dyDescent="0.25">
      <c r="A45" s="174"/>
      <c r="B45" s="62" t="s">
        <v>102</v>
      </c>
      <c r="C45" s="62"/>
      <c r="D45" s="62"/>
      <c r="E45" s="62"/>
      <c r="F45" s="37"/>
      <c r="G45" s="37"/>
      <c r="H45" s="37"/>
      <c r="I45" s="38"/>
      <c r="J45" s="39"/>
      <c r="K45" s="39"/>
      <c r="L45" s="114">
        <f>SUM(L40:L44)</f>
        <v>6420.3222070000002</v>
      </c>
      <c r="M45" s="114">
        <f>SUM(M40:M44)</f>
        <v>6383.6099849999991</v>
      </c>
      <c r="N45" s="41"/>
      <c r="O45" s="39"/>
      <c r="P45" s="39"/>
      <c r="Q45" s="114">
        <f>SUM(Q40:Q44)</f>
        <v>4664.7849999999999</v>
      </c>
      <c r="R45" s="114">
        <f>SUM(R40:R44)</f>
        <v>4658.3461790000001</v>
      </c>
      <c r="T45" s="39"/>
      <c r="U45" s="39"/>
      <c r="V45" s="114">
        <f>SUM(V40:V44)</f>
        <v>8950.0010000000002</v>
      </c>
      <c r="W45" s="114">
        <f>SUM(W40:W44)</f>
        <v>8706.7661079999998</v>
      </c>
      <c r="Y45" s="39"/>
      <c r="Z45" s="39"/>
      <c r="AA45" s="114">
        <f>SUM(AA40:AA44)</f>
        <v>5021.8599999999997</v>
      </c>
      <c r="AB45" s="114">
        <f>SUM(AB40:AB44)</f>
        <v>4839.8179820000005</v>
      </c>
      <c r="AD45" s="39"/>
      <c r="AE45" s="40"/>
      <c r="AF45" s="114">
        <f>SUM(AF40:AF44)</f>
        <v>3990.6000000000004</v>
      </c>
      <c r="AG45" s="114">
        <f>SUM(AG40:AG44)</f>
        <v>1066.345789</v>
      </c>
      <c r="AI45" s="85"/>
      <c r="AJ45" s="85"/>
      <c r="AK45" s="114">
        <f>SUM(AK40:AK44)</f>
        <v>29047.568207</v>
      </c>
      <c r="AL45" s="114">
        <f>SUM(AL40:AL44)</f>
        <v>25654.886043000002</v>
      </c>
      <c r="AM45" s="196"/>
      <c r="AN45" s="23"/>
      <c r="AO45" s="145"/>
      <c r="AP45" s="145"/>
      <c r="AQ45" s="87"/>
    </row>
    <row r="46" spans="1:43" x14ac:dyDescent="0.25">
      <c r="AN46" s="66"/>
    </row>
    <row r="47" spans="1:43" s="153" customFormat="1" ht="15.75" customHeight="1" x14ac:dyDescent="0.2">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152"/>
    </row>
    <row r="48" spans="1:43" s="151" customFormat="1" ht="12.75" x14ac:dyDescent="0.2">
      <c r="A48" s="154"/>
      <c r="B48" s="155"/>
      <c r="C48" s="155"/>
      <c r="D48" s="155"/>
      <c r="E48" s="155"/>
      <c r="F48" s="155"/>
      <c r="G48" s="155"/>
      <c r="H48" s="155"/>
      <c r="I48" s="156"/>
      <c r="J48" s="154"/>
      <c r="K48" s="156"/>
      <c r="L48" s="157"/>
      <c r="M48" s="156"/>
      <c r="N48" s="156"/>
      <c r="O48" s="156"/>
      <c r="P48" s="156"/>
      <c r="Q48" s="156"/>
      <c r="R48" s="156"/>
      <c r="T48" s="158"/>
      <c r="U48" s="158"/>
      <c r="V48" s="158"/>
      <c r="W48" s="158"/>
      <c r="Y48" s="158"/>
      <c r="Z48" s="158"/>
      <c r="AA48" s="158"/>
      <c r="AB48" s="158"/>
      <c r="AD48" s="156"/>
      <c r="AE48" s="156"/>
      <c r="AF48" s="158"/>
      <c r="AG48" s="158"/>
      <c r="AI48" s="159"/>
      <c r="AJ48" s="159"/>
      <c r="AK48" s="159"/>
      <c r="AL48" s="160"/>
      <c r="AM48" s="150"/>
    </row>
    <row r="49" spans="1:40" x14ac:dyDescent="0.25">
      <c r="A49" s="104">
        <v>2</v>
      </c>
      <c r="B49" s="92" t="s">
        <v>93</v>
      </c>
      <c r="C49" s="253" t="s">
        <v>160</v>
      </c>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row>
    <row r="50" spans="1:40" ht="15.75" x14ac:dyDescent="0.25">
      <c r="A50" s="50">
        <v>15</v>
      </c>
      <c r="B50" s="6" t="s">
        <v>155</v>
      </c>
      <c r="C50" s="261" t="s">
        <v>161</v>
      </c>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row>
    <row r="51" spans="1:40" x14ac:dyDescent="0.25">
      <c r="A51" s="50">
        <v>29</v>
      </c>
      <c r="B51" s="6" t="s">
        <v>94</v>
      </c>
      <c r="C51" s="253" t="s">
        <v>162</v>
      </c>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row>
    <row r="52" spans="1:40" ht="30" x14ac:dyDescent="0.25">
      <c r="A52" s="50">
        <v>3</v>
      </c>
      <c r="B52" s="93" t="s">
        <v>97</v>
      </c>
      <c r="C52" s="253" t="s">
        <v>113</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row>
    <row r="54" spans="1:40" s="10" customFormat="1" ht="27" customHeight="1" x14ac:dyDescent="0.25">
      <c r="A54" s="236" t="s">
        <v>2</v>
      </c>
      <c r="B54" s="211" t="s">
        <v>3</v>
      </c>
      <c r="C54" s="251" t="s">
        <v>86</v>
      </c>
      <c r="D54" s="211" t="s">
        <v>66</v>
      </c>
      <c r="E54" s="251" t="s">
        <v>167</v>
      </c>
      <c r="F54" s="233" t="s">
        <v>100</v>
      </c>
      <c r="G54" s="260" t="s">
        <v>89</v>
      </c>
      <c r="H54" s="206" t="s">
        <v>168</v>
      </c>
      <c r="I54" s="9"/>
      <c r="J54" s="206">
        <v>2020</v>
      </c>
      <c r="K54" s="206"/>
      <c r="L54" s="206"/>
      <c r="M54" s="206"/>
      <c r="N54" s="9"/>
      <c r="O54" s="206">
        <v>2021</v>
      </c>
      <c r="P54" s="206"/>
      <c r="Q54" s="206"/>
      <c r="R54" s="206"/>
      <c r="T54" s="206">
        <v>2022</v>
      </c>
      <c r="U54" s="206"/>
      <c r="V54" s="206"/>
      <c r="W54" s="206"/>
      <c r="Y54" s="206">
        <v>2023</v>
      </c>
      <c r="Z54" s="206"/>
      <c r="AA54" s="206"/>
      <c r="AB54" s="206"/>
      <c r="AD54" s="207">
        <v>2024</v>
      </c>
      <c r="AE54" s="208"/>
      <c r="AF54" s="208"/>
      <c r="AG54" s="208"/>
      <c r="AI54" s="254" t="s">
        <v>101</v>
      </c>
      <c r="AJ54" s="254"/>
      <c r="AK54" s="254"/>
      <c r="AL54" s="254"/>
      <c r="AM54" s="87"/>
    </row>
    <row r="55" spans="1:40" s="10" customFormat="1" ht="16.5" customHeight="1" x14ac:dyDescent="0.25">
      <c r="A55" s="237"/>
      <c r="B55" s="212"/>
      <c r="C55" s="234"/>
      <c r="D55" s="212"/>
      <c r="E55" s="234"/>
      <c r="F55" s="234"/>
      <c r="G55" s="260"/>
      <c r="H55" s="206"/>
      <c r="I55" s="9"/>
      <c r="J55" s="206" t="s">
        <v>4</v>
      </c>
      <c r="K55" s="206"/>
      <c r="L55" s="206" t="s">
        <v>61</v>
      </c>
      <c r="M55" s="206"/>
      <c r="N55" s="9"/>
      <c r="O55" s="206" t="s">
        <v>6</v>
      </c>
      <c r="P55" s="206"/>
      <c r="Q55" s="206" t="s">
        <v>8</v>
      </c>
      <c r="R55" s="206"/>
      <c r="S55" s="9"/>
      <c r="T55" s="206" t="s">
        <v>7</v>
      </c>
      <c r="U55" s="206"/>
      <c r="V55" s="206" t="s">
        <v>8</v>
      </c>
      <c r="W55" s="206"/>
      <c r="Y55" s="206" t="s">
        <v>7</v>
      </c>
      <c r="Z55" s="206"/>
      <c r="AA55" s="206" t="s">
        <v>8</v>
      </c>
      <c r="AB55" s="206"/>
      <c r="AD55" s="206" t="s">
        <v>7</v>
      </c>
      <c r="AE55" s="206"/>
      <c r="AF55" s="206" t="s">
        <v>8</v>
      </c>
      <c r="AG55" s="206"/>
      <c r="AI55" s="251" t="s">
        <v>4</v>
      </c>
      <c r="AJ55" s="251" t="s">
        <v>65</v>
      </c>
      <c r="AK55" s="251" t="s">
        <v>8</v>
      </c>
      <c r="AL55" s="251" t="s">
        <v>5</v>
      </c>
      <c r="AM55" s="87"/>
    </row>
    <row r="56" spans="1:40" s="10" customFormat="1" ht="30" x14ac:dyDescent="0.25">
      <c r="A56" s="238"/>
      <c r="B56" s="213"/>
      <c r="C56" s="252"/>
      <c r="D56" s="213"/>
      <c r="E56" s="252"/>
      <c r="F56" s="235"/>
      <c r="G56" s="260"/>
      <c r="H56" s="206"/>
      <c r="I56" s="11"/>
      <c r="J56" s="61" t="s">
        <v>59</v>
      </c>
      <c r="K56" s="61" t="s">
        <v>60</v>
      </c>
      <c r="L56" s="162" t="s">
        <v>63</v>
      </c>
      <c r="M56" s="61" t="s">
        <v>62</v>
      </c>
      <c r="N56" s="11"/>
      <c r="O56" s="163" t="s">
        <v>59</v>
      </c>
      <c r="P56" s="61" t="s">
        <v>60</v>
      </c>
      <c r="Q56" s="163" t="s">
        <v>63</v>
      </c>
      <c r="R56" s="61" t="s">
        <v>62</v>
      </c>
      <c r="S56" s="9"/>
      <c r="T56" s="163" t="s">
        <v>59</v>
      </c>
      <c r="U56" s="61" t="s">
        <v>60</v>
      </c>
      <c r="V56" s="61" t="s">
        <v>63</v>
      </c>
      <c r="W56" s="61" t="s">
        <v>62</v>
      </c>
      <c r="Y56" s="61" t="s">
        <v>59</v>
      </c>
      <c r="Z56" s="61" t="s">
        <v>60</v>
      </c>
      <c r="AA56" s="61" t="s">
        <v>63</v>
      </c>
      <c r="AB56" s="61" t="s">
        <v>62</v>
      </c>
      <c r="AD56" s="61" t="s">
        <v>59</v>
      </c>
      <c r="AE56" s="61" t="s">
        <v>60</v>
      </c>
      <c r="AF56" s="61" t="s">
        <v>63</v>
      </c>
      <c r="AG56" s="61" t="s">
        <v>62</v>
      </c>
      <c r="AI56" s="252"/>
      <c r="AJ56" s="252"/>
      <c r="AK56" s="252"/>
      <c r="AL56" s="252"/>
      <c r="AM56" s="87"/>
    </row>
    <row r="57" spans="1:40" ht="75.75" customHeight="1" x14ac:dyDescent="0.25">
      <c r="A57" s="249" t="s">
        <v>121</v>
      </c>
      <c r="B57" s="214" t="s">
        <v>123</v>
      </c>
      <c r="C57" s="214" t="s">
        <v>122</v>
      </c>
      <c r="D57" s="214" t="s">
        <v>151</v>
      </c>
      <c r="E57" s="214" t="str">
        <f>C50</f>
        <v xml:space="preserve">Intervenir integralmente áreas estratégicas de Bogotá teniendo en cuenta las dinámicas patrimoniales, ambientales, sociales y culturales  
</v>
      </c>
      <c r="F57" s="103" t="s">
        <v>124</v>
      </c>
      <c r="G57" s="103" t="s">
        <v>125</v>
      </c>
      <c r="H57" s="255" t="str">
        <f>C52</f>
        <v>Sistema Distrital de cuidado</v>
      </c>
      <c r="I57" s="13"/>
      <c r="J57" s="96">
        <v>410</v>
      </c>
      <c r="K57" s="96">
        <v>410</v>
      </c>
      <c r="L57" s="112"/>
      <c r="M57" s="97"/>
      <c r="N57" s="98"/>
      <c r="O57" s="107">
        <v>526</v>
      </c>
      <c r="P57" s="106">
        <v>526</v>
      </c>
      <c r="Q57" s="97"/>
      <c r="R57" s="97"/>
      <c r="S57" s="170"/>
      <c r="T57" s="177">
        <v>703</v>
      </c>
      <c r="U57" s="177">
        <v>703</v>
      </c>
      <c r="V57" s="165"/>
      <c r="W57" s="166"/>
      <c r="X57" s="100"/>
      <c r="Y57" s="177">
        <v>218</v>
      </c>
      <c r="Z57" s="177">
        <v>218</v>
      </c>
      <c r="AA57" s="165"/>
      <c r="AB57" s="166"/>
      <c r="AC57" s="100"/>
      <c r="AD57" s="107">
        <v>293</v>
      </c>
      <c r="AE57" s="107">
        <v>107</v>
      </c>
      <c r="AF57" s="165"/>
      <c r="AG57" s="166"/>
      <c r="AH57" s="170"/>
      <c r="AI57" s="107">
        <f>J57+O57+T57+Y57+AD57</f>
        <v>2150</v>
      </c>
      <c r="AJ57" s="107">
        <f>K57+P57+U57+Z57+AE57</f>
        <v>1964</v>
      </c>
      <c r="AK57" s="102">
        <f>L57+Q57+V57+AA57+AF57</f>
        <v>0</v>
      </c>
      <c r="AL57" s="102">
        <f>M57+R57+W57+AB57+AG57</f>
        <v>0</v>
      </c>
      <c r="AM57" s="88"/>
    </row>
    <row r="58" spans="1:40" ht="71.25" customHeight="1" x14ac:dyDescent="0.25">
      <c r="A58" s="250"/>
      <c r="B58" s="221"/>
      <c r="C58" s="221"/>
      <c r="D58" s="221"/>
      <c r="E58" s="221"/>
      <c r="F58" s="12" t="s">
        <v>126</v>
      </c>
      <c r="G58" s="12" t="s">
        <v>127</v>
      </c>
      <c r="H58" s="256"/>
      <c r="I58" s="13"/>
      <c r="J58" s="14">
        <v>54</v>
      </c>
      <c r="K58" s="82">
        <v>55</v>
      </c>
      <c r="L58" s="113">
        <v>5071.6473960000003</v>
      </c>
      <c r="M58" s="27">
        <v>4319.8978859999997</v>
      </c>
      <c r="N58" s="15"/>
      <c r="O58" s="14">
        <v>207</v>
      </c>
      <c r="P58" s="14">
        <v>207</v>
      </c>
      <c r="Q58" s="57">
        <f>10671009470/L1</f>
        <v>10671.009470000001</v>
      </c>
      <c r="R58" s="27">
        <f>10624208143/L1</f>
        <v>10624.208143</v>
      </c>
      <c r="T58" s="176">
        <v>422</v>
      </c>
      <c r="U58" s="185">
        <v>422</v>
      </c>
      <c r="V58" s="57">
        <f>21096250020/L1</f>
        <v>21096.250019999999</v>
      </c>
      <c r="W58" s="57">
        <f>20872326132/L1</f>
        <v>20872.326131999998</v>
      </c>
      <c r="X58" s="89"/>
      <c r="Y58" s="167">
        <v>208</v>
      </c>
      <c r="Z58" s="167">
        <v>208</v>
      </c>
      <c r="AA58" s="57">
        <f>5680333377/L1</f>
        <v>5680.3333769999999</v>
      </c>
      <c r="AB58" s="168">
        <f>5680333377/L1</f>
        <v>5680.3333769999999</v>
      </c>
      <c r="AC58" s="89"/>
      <c r="AD58" s="82">
        <v>332</v>
      </c>
      <c r="AE58" s="82">
        <v>0</v>
      </c>
      <c r="AF58" s="57">
        <f>2933053000/L1</f>
        <v>2933.0529999999999</v>
      </c>
      <c r="AG58" s="169">
        <v>0</v>
      </c>
      <c r="AI58" s="82">
        <f>J58+O58+T58+Y58+AD58</f>
        <v>1223</v>
      </c>
      <c r="AJ58" s="82">
        <f t="shared" ref="AJ58:AJ63" si="4">K58+P58+U58+Z58+AE58</f>
        <v>892</v>
      </c>
      <c r="AK58" s="56">
        <f t="shared" ref="AK58:AL64" si="5">L58+Q58+V58+AA58+AF58</f>
        <v>45452.293263</v>
      </c>
      <c r="AL58" s="56">
        <f t="shared" si="5"/>
        <v>41496.765538</v>
      </c>
      <c r="AM58" s="88"/>
    </row>
    <row r="59" spans="1:40" ht="66.75" customHeight="1" x14ac:dyDescent="0.25">
      <c r="A59" s="250"/>
      <c r="B59" s="221"/>
      <c r="C59" s="221"/>
      <c r="D59" s="221"/>
      <c r="E59" s="221"/>
      <c r="F59" s="12" t="s">
        <v>128</v>
      </c>
      <c r="G59" s="12" t="s">
        <v>129</v>
      </c>
      <c r="H59" s="256"/>
      <c r="I59" s="13"/>
      <c r="J59" s="14">
        <v>28</v>
      </c>
      <c r="K59" s="14">
        <v>27</v>
      </c>
      <c r="L59" s="113">
        <v>2969.3287610000002</v>
      </c>
      <c r="M59" s="27">
        <v>2928.9973829999999</v>
      </c>
      <c r="N59" s="15"/>
      <c r="O59" s="82">
        <v>37</v>
      </c>
      <c r="P59" s="82">
        <v>37</v>
      </c>
      <c r="Q59" s="57">
        <f>2731695509/L1</f>
        <v>2731.6955090000001</v>
      </c>
      <c r="R59" s="27">
        <f>2708768098/L1</f>
        <v>2708.768098</v>
      </c>
      <c r="T59" s="176">
        <v>41</v>
      </c>
      <c r="U59" s="167">
        <v>41</v>
      </c>
      <c r="V59" s="57">
        <f>2062738063/L1</f>
        <v>2062.7380629999998</v>
      </c>
      <c r="W59" s="57">
        <f>2059134205/L1</f>
        <v>2059.1342049999998</v>
      </c>
      <c r="X59" s="89"/>
      <c r="Y59" s="167">
        <v>10</v>
      </c>
      <c r="Z59" s="167">
        <v>10</v>
      </c>
      <c r="AA59" s="57">
        <f>800000000/L1</f>
        <v>800</v>
      </c>
      <c r="AB59" s="169">
        <f>800000000/L1</f>
        <v>800</v>
      </c>
      <c r="AC59" s="89"/>
      <c r="AD59" s="82">
        <v>1</v>
      </c>
      <c r="AE59" s="82">
        <v>0</v>
      </c>
      <c r="AF59" s="57">
        <f>547500000/L1</f>
        <v>547.5</v>
      </c>
      <c r="AG59" s="169">
        <v>0</v>
      </c>
      <c r="AI59" s="82">
        <f>J59+O59+T59+Y59+AD59-1</f>
        <v>116</v>
      </c>
      <c r="AJ59" s="82">
        <f t="shared" si="4"/>
        <v>115</v>
      </c>
      <c r="AK59" s="56">
        <f t="shared" si="5"/>
        <v>9111.2623329999988</v>
      </c>
      <c r="AL59" s="56">
        <f t="shared" si="5"/>
        <v>8496.8996860000007</v>
      </c>
    </row>
    <row r="60" spans="1:40" ht="58.5" customHeight="1" x14ac:dyDescent="0.25">
      <c r="A60" s="250"/>
      <c r="B60" s="221"/>
      <c r="C60" s="221"/>
      <c r="D60" s="221"/>
      <c r="E60" s="221"/>
      <c r="F60" s="12" t="s">
        <v>187</v>
      </c>
      <c r="G60" s="12" t="s">
        <v>130</v>
      </c>
      <c r="H60" s="256"/>
      <c r="I60" s="13"/>
      <c r="J60" s="14">
        <v>1497</v>
      </c>
      <c r="K60" s="14">
        <v>1484</v>
      </c>
      <c r="L60" s="113">
        <v>3667.6184499999999</v>
      </c>
      <c r="M60" s="27">
        <v>3203.0383700000002</v>
      </c>
      <c r="N60" s="15"/>
      <c r="O60" s="82">
        <v>1598</v>
      </c>
      <c r="P60" s="14">
        <v>1588</v>
      </c>
      <c r="Q60" s="27">
        <f>5904783901/L1</f>
        <v>5904.7839009999998</v>
      </c>
      <c r="R60" s="57">
        <f>5824458558/L1</f>
        <v>5824.4585580000003</v>
      </c>
      <c r="T60" s="14">
        <v>1706</v>
      </c>
      <c r="U60" s="14">
        <v>1706</v>
      </c>
      <c r="V60" s="57">
        <f>3927095865/L1</f>
        <v>3927.0958649999998</v>
      </c>
      <c r="W60" s="57">
        <f>3927095865/L1</f>
        <v>3927.0958649999998</v>
      </c>
      <c r="X60" s="89"/>
      <c r="Y60" s="176">
        <v>0</v>
      </c>
      <c r="Z60" s="167">
        <v>0</v>
      </c>
      <c r="AA60" s="57">
        <v>0</v>
      </c>
      <c r="AB60" s="181">
        <v>0</v>
      </c>
      <c r="AC60" s="89"/>
      <c r="AD60" s="82">
        <v>0</v>
      </c>
      <c r="AE60" s="82">
        <v>0</v>
      </c>
      <c r="AF60" s="57">
        <v>0</v>
      </c>
      <c r="AG60" s="181"/>
      <c r="AI60" s="82">
        <f>U60</f>
        <v>1706</v>
      </c>
      <c r="AJ60" s="82">
        <f>+U60</f>
        <v>1706</v>
      </c>
      <c r="AK60" s="56">
        <f t="shared" si="5"/>
        <v>13499.498216</v>
      </c>
      <c r="AL60" s="56">
        <f t="shared" si="5"/>
        <v>12954.592793</v>
      </c>
      <c r="AM60" s="88"/>
    </row>
    <row r="61" spans="1:40" ht="43.5" customHeight="1" x14ac:dyDescent="0.25">
      <c r="A61" s="183"/>
      <c r="B61" s="221"/>
      <c r="C61" s="221"/>
      <c r="D61" s="221"/>
      <c r="E61" s="221"/>
      <c r="F61" s="197" t="s">
        <v>183</v>
      </c>
      <c r="G61" s="12" t="s">
        <v>130</v>
      </c>
      <c r="H61" s="149"/>
      <c r="I61" s="13"/>
      <c r="J61" s="14">
        <v>0</v>
      </c>
      <c r="K61" s="14">
        <v>0</v>
      </c>
      <c r="L61" s="113"/>
      <c r="M61" s="27"/>
      <c r="N61" s="15"/>
      <c r="O61" s="82">
        <v>797</v>
      </c>
      <c r="P61" s="82">
        <v>797</v>
      </c>
      <c r="Q61" s="57">
        <f>279171937/L1</f>
        <v>279.17193700000001</v>
      </c>
      <c r="R61" s="27">
        <f>279171937/L1</f>
        <v>279.17193700000001</v>
      </c>
      <c r="T61" s="176">
        <v>437</v>
      </c>
      <c r="U61" s="167">
        <v>437</v>
      </c>
      <c r="V61" s="57">
        <f>477501590/L1</f>
        <v>477.50159000000002</v>
      </c>
      <c r="W61" s="57">
        <f>477501590/L1</f>
        <v>477.50159000000002</v>
      </c>
      <c r="X61" s="89"/>
      <c r="Y61" s="176">
        <v>104</v>
      </c>
      <c r="Z61" s="167">
        <v>104</v>
      </c>
      <c r="AA61" s="57">
        <f>446501192/L1</f>
        <v>446.501192</v>
      </c>
      <c r="AB61" s="181">
        <f>442234525/L1</f>
        <v>442.23452500000002</v>
      </c>
      <c r="AC61" s="89"/>
      <c r="AD61" s="82">
        <v>411</v>
      </c>
      <c r="AE61" s="82">
        <v>63</v>
      </c>
      <c r="AF61" s="57">
        <f>302358703/L1</f>
        <v>302.35870299999999</v>
      </c>
      <c r="AG61" s="181">
        <v>0</v>
      </c>
      <c r="AI61" s="82">
        <f>J61+O61+T61+Y61+AD61</f>
        <v>1749</v>
      </c>
      <c r="AJ61" s="82">
        <f t="shared" si="4"/>
        <v>1401</v>
      </c>
      <c r="AK61" s="56">
        <f t="shared" si="5"/>
        <v>1505.533422</v>
      </c>
      <c r="AL61" s="56">
        <f t="shared" si="5"/>
        <v>1198.908052</v>
      </c>
      <c r="AM61" s="88"/>
      <c r="AN61" s="178"/>
    </row>
    <row r="62" spans="1:40" ht="109.5" customHeight="1" x14ac:dyDescent="0.25">
      <c r="A62" s="183"/>
      <c r="B62" s="221"/>
      <c r="C62" s="221"/>
      <c r="D62" s="221"/>
      <c r="E62" s="221"/>
      <c r="F62" s="12" t="s">
        <v>172</v>
      </c>
      <c r="G62" s="12" t="s">
        <v>130</v>
      </c>
      <c r="H62" s="149"/>
      <c r="I62" s="13"/>
      <c r="J62" s="14">
        <v>0</v>
      </c>
      <c r="K62" s="14">
        <v>0</v>
      </c>
      <c r="L62" s="113"/>
      <c r="M62" s="27"/>
      <c r="N62" s="15"/>
      <c r="O62" s="24">
        <v>1</v>
      </c>
      <c r="P62" s="130">
        <v>1</v>
      </c>
      <c r="Q62" s="57">
        <f>4077434183/L1</f>
        <v>4077.4341829999998</v>
      </c>
      <c r="R62" s="27">
        <f>4077434183/L1</f>
        <v>4077.4341829999998</v>
      </c>
      <c r="T62" s="24">
        <v>1</v>
      </c>
      <c r="U62" s="130">
        <v>1</v>
      </c>
      <c r="V62" s="57">
        <f>5557762193/L1</f>
        <v>5557.7621929999996</v>
      </c>
      <c r="W62" s="57">
        <f>5557762193/L1</f>
        <v>5557.7621929999996</v>
      </c>
      <c r="X62" s="89"/>
      <c r="Y62" s="24">
        <v>1</v>
      </c>
      <c r="Z62" s="24">
        <v>1</v>
      </c>
      <c r="AA62" s="57">
        <f>6322617397/L1</f>
        <v>6322.617397</v>
      </c>
      <c r="AB62" s="181">
        <f>6049359489/L1</f>
        <v>6049.3594890000004</v>
      </c>
      <c r="AC62" s="89"/>
      <c r="AD62" s="24">
        <v>1</v>
      </c>
      <c r="AE62" s="24">
        <v>1</v>
      </c>
      <c r="AF62" s="57">
        <f>4900565881/L1</f>
        <v>4900.5658810000004</v>
      </c>
      <c r="AG62" s="168">
        <f>731481846/L1</f>
        <v>731.48184600000002</v>
      </c>
      <c r="AI62" s="91">
        <f>AD62</f>
        <v>1</v>
      </c>
      <c r="AJ62" s="130">
        <f>(P62+U62+Z62+AE62)/4</f>
        <v>1</v>
      </c>
      <c r="AK62" s="56">
        <f t="shared" si="5"/>
        <v>20858.379654</v>
      </c>
      <c r="AL62" s="56">
        <f t="shared" si="5"/>
        <v>16416.037711000001</v>
      </c>
      <c r="AM62" s="88"/>
    </row>
    <row r="63" spans="1:40" ht="76.5" customHeight="1" x14ac:dyDescent="0.25">
      <c r="A63" s="183"/>
      <c r="B63" s="221"/>
      <c r="C63" s="221"/>
      <c r="D63" s="221"/>
      <c r="E63" s="221"/>
      <c r="F63" s="12" t="s">
        <v>182</v>
      </c>
      <c r="G63" s="12" t="s">
        <v>130</v>
      </c>
      <c r="H63" s="149"/>
      <c r="I63" s="13"/>
      <c r="J63" s="14">
        <v>0</v>
      </c>
      <c r="K63" s="14">
        <v>0</v>
      </c>
      <c r="L63" s="113"/>
      <c r="M63" s="27"/>
      <c r="N63" s="15"/>
      <c r="O63" s="14">
        <v>0</v>
      </c>
      <c r="P63" s="14">
        <v>0</v>
      </c>
      <c r="Q63" s="57">
        <v>0</v>
      </c>
      <c r="R63" s="27">
        <v>0</v>
      </c>
      <c r="T63" s="143">
        <v>266</v>
      </c>
      <c r="U63" s="143">
        <v>266</v>
      </c>
      <c r="V63" s="57">
        <f>150000000/L1</f>
        <v>150</v>
      </c>
      <c r="W63" s="57">
        <f>149984130/L1</f>
        <v>149.98412999999999</v>
      </c>
      <c r="X63" s="89"/>
      <c r="Y63" s="143">
        <v>114</v>
      </c>
      <c r="Z63" s="143">
        <v>114</v>
      </c>
      <c r="AA63" s="57">
        <f>241316426/L1</f>
        <v>241.31642600000001</v>
      </c>
      <c r="AB63" s="181">
        <f>197602666/L1</f>
        <v>197.602666</v>
      </c>
      <c r="AC63" s="89"/>
      <c r="AD63" s="143">
        <v>117</v>
      </c>
      <c r="AE63" s="143">
        <v>44</v>
      </c>
      <c r="AF63" s="57">
        <f>458264000/L1</f>
        <v>458.26400000000001</v>
      </c>
      <c r="AG63" s="181">
        <f>106642028/L1</f>
        <v>106.642028</v>
      </c>
      <c r="AI63" s="82">
        <f>J63+O63+T63+Y63+AD63</f>
        <v>497</v>
      </c>
      <c r="AJ63" s="82">
        <f t="shared" si="4"/>
        <v>424</v>
      </c>
      <c r="AK63" s="56">
        <f t="shared" si="5"/>
        <v>849.58042599999999</v>
      </c>
      <c r="AL63" s="56">
        <f t="shared" si="5"/>
        <v>454.22882399999997</v>
      </c>
      <c r="AM63" s="88"/>
    </row>
    <row r="64" spans="1:40" ht="109.5" customHeight="1" x14ac:dyDescent="0.25">
      <c r="A64" s="183"/>
      <c r="B64" s="215"/>
      <c r="C64" s="215"/>
      <c r="D64" s="215"/>
      <c r="E64" s="215"/>
      <c r="F64" s="12" t="s">
        <v>179</v>
      </c>
      <c r="G64" s="12" t="s">
        <v>130</v>
      </c>
      <c r="H64" s="149"/>
      <c r="I64" s="13"/>
      <c r="J64" s="24">
        <v>0</v>
      </c>
      <c r="K64" s="24">
        <v>0</v>
      </c>
      <c r="L64" s="113"/>
      <c r="M64" s="27"/>
      <c r="N64" s="15"/>
      <c r="O64" s="24">
        <v>0</v>
      </c>
      <c r="P64" s="24">
        <v>0</v>
      </c>
      <c r="Q64" s="57">
        <v>0</v>
      </c>
      <c r="R64" s="27">
        <v>0</v>
      </c>
      <c r="T64" s="24">
        <v>1</v>
      </c>
      <c r="U64" s="24">
        <v>1</v>
      </c>
      <c r="V64" s="57">
        <f>992287113/L1</f>
        <v>992.28711299999998</v>
      </c>
      <c r="W64" s="57">
        <f>991221015/L1</f>
        <v>991.22101499999997</v>
      </c>
      <c r="X64" s="89"/>
      <c r="Y64" s="24">
        <v>1</v>
      </c>
      <c r="Z64" s="24">
        <v>0.91669999999999996</v>
      </c>
      <c r="AA64" s="57">
        <f>3488109455/L1</f>
        <v>3488.1094549999998</v>
      </c>
      <c r="AB64" s="181">
        <f>3439501314/L1</f>
        <v>3439.5013140000001</v>
      </c>
      <c r="AC64" s="89"/>
      <c r="AD64" s="24">
        <v>1</v>
      </c>
      <c r="AE64" s="24">
        <v>0.33</v>
      </c>
      <c r="AF64" s="57">
        <f>7423752000/L1</f>
        <v>7423.7520000000004</v>
      </c>
      <c r="AG64" s="181">
        <f>552723531/L1</f>
        <v>552.72353099999998</v>
      </c>
      <c r="AI64" s="91">
        <f>AD64</f>
        <v>1</v>
      </c>
      <c r="AJ64" s="110">
        <f>(+Z64+U64+AE64)/3</f>
        <v>0.74890000000000001</v>
      </c>
      <c r="AK64" s="56">
        <f t="shared" si="5"/>
        <v>11904.148568000001</v>
      </c>
      <c r="AL64" s="56">
        <f t="shared" si="5"/>
        <v>4983.4458599999998</v>
      </c>
      <c r="AM64" s="88"/>
    </row>
    <row r="65" spans="1:41" ht="109.5" customHeight="1" x14ac:dyDescent="0.25">
      <c r="A65" s="183"/>
      <c r="B65" s="202"/>
      <c r="C65" s="202"/>
      <c r="D65" s="202"/>
      <c r="E65" s="202"/>
      <c r="F65" s="12" t="s">
        <v>188</v>
      </c>
      <c r="G65" s="12" t="s">
        <v>130</v>
      </c>
      <c r="H65" s="149"/>
      <c r="I65" s="13"/>
      <c r="J65" s="57"/>
      <c r="K65" s="24"/>
      <c r="L65" s="113"/>
      <c r="M65" s="27"/>
      <c r="N65" s="15"/>
      <c r="O65" s="24"/>
      <c r="P65" s="24"/>
      <c r="Q65" s="57"/>
      <c r="R65" s="27"/>
      <c r="T65" s="24"/>
      <c r="U65" s="24"/>
      <c r="V65" s="57"/>
      <c r="W65" s="57"/>
      <c r="X65" s="89"/>
      <c r="Y65" s="24">
        <v>1</v>
      </c>
      <c r="Z65" s="24">
        <v>0</v>
      </c>
      <c r="AA65" s="57">
        <f>865285153/L1</f>
        <v>865.28515300000004</v>
      </c>
      <c r="AB65" s="56">
        <f>864820021/L1</f>
        <v>864.820021</v>
      </c>
      <c r="AC65" s="89"/>
      <c r="AD65" s="24">
        <v>1</v>
      </c>
      <c r="AE65" s="204">
        <v>0.2</v>
      </c>
      <c r="AF65" s="57">
        <f>809674416/L1</f>
        <v>809.67441599999995</v>
      </c>
      <c r="AG65" s="181">
        <v>0</v>
      </c>
      <c r="AI65" s="91">
        <f>AD65</f>
        <v>1</v>
      </c>
      <c r="AJ65" s="110">
        <f>(+Z65+AE65)/2</f>
        <v>0.1</v>
      </c>
      <c r="AK65" s="56">
        <f t="shared" ref="AK65" si="6">L65+Q65+V65+AA65+AF65</f>
        <v>1674.9595690000001</v>
      </c>
      <c r="AL65" s="56">
        <f t="shared" ref="AL65" si="7">M65+R65+W65+AB65+AG65</f>
        <v>864.820021</v>
      </c>
      <c r="AM65" s="88"/>
    </row>
    <row r="66" spans="1:41" x14ac:dyDescent="0.25">
      <c r="AO66" s="186"/>
    </row>
    <row r="67" spans="1:41" s="6" customFormat="1" ht="15.75" x14ac:dyDescent="0.25">
      <c r="A67" s="174"/>
      <c r="B67" s="62" t="s">
        <v>102</v>
      </c>
      <c r="C67" s="62"/>
      <c r="D67" s="62"/>
      <c r="E67" s="62"/>
      <c r="F67" s="37"/>
      <c r="G67" s="37"/>
      <c r="H67" s="37"/>
      <c r="I67" s="38"/>
      <c r="J67" s="39"/>
      <c r="K67" s="39"/>
      <c r="L67" s="114">
        <f>SUM(L57:L65)</f>
        <v>11708.594607000001</v>
      </c>
      <c r="M67" s="114">
        <f>SUM(M57:M65)</f>
        <v>10451.933638999999</v>
      </c>
      <c r="N67" s="41"/>
      <c r="O67" s="39"/>
      <c r="P67" s="39"/>
      <c r="Q67" s="114">
        <f>SUM(Q57:Q65)</f>
        <v>23664.095000000001</v>
      </c>
      <c r="R67" s="114">
        <f>SUM(R57:R65)</f>
        <v>23514.040919000003</v>
      </c>
      <c r="T67" s="39"/>
      <c r="U67" s="39"/>
      <c r="V67" s="114">
        <f>SUM(V57:V65)</f>
        <v>34263.634844</v>
      </c>
      <c r="W67" s="114">
        <f>SUM(W57:W65)</f>
        <v>34035.025129999995</v>
      </c>
      <c r="Y67" s="39"/>
      <c r="Z67" s="39"/>
      <c r="AA67" s="114">
        <f>SUM(AA57:AA65)</f>
        <v>17844.163</v>
      </c>
      <c r="AB67" s="114">
        <f>SUM(AB57:AB65)</f>
        <v>17473.851392</v>
      </c>
      <c r="AD67" s="39"/>
      <c r="AE67" s="40"/>
      <c r="AF67" s="114">
        <f>SUM(AF57:AF65)</f>
        <v>17375.168000000001</v>
      </c>
      <c r="AG67" s="114">
        <f>SUM(AG57:AG65)</f>
        <v>1390.847405</v>
      </c>
      <c r="AI67" s="85"/>
      <c r="AJ67" s="85"/>
      <c r="AK67" s="114">
        <f>SUM(AK57:AK65)</f>
        <v>104855.655451</v>
      </c>
      <c r="AL67" s="114">
        <f>SUM(AL57:AL65)</f>
        <v>86865.698485000015</v>
      </c>
      <c r="AM67" s="196"/>
      <c r="AN67" s="84"/>
      <c r="AO67" s="135"/>
    </row>
    <row r="68" spans="1:41" x14ac:dyDescent="0.25">
      <c r="AO68" s="186"/>
    </row>
    <row r="69" spans="1:41" s="153" customFormat="1" ht="15.75" customHeight="1" x14ac:dyDescent="0.2">
      <c r="A69" s="257"/>
      <c r="B69" s="257"/>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152"/>
    </row>
    <row r="70" spans="1:41" s="151" customFormat="1" ht="12.75" x14ac:dyDescent="0.2">
      <c r="A70" s="154"/>
      <c r="B70" s="155"/>
      <c r="C70" s="155"/>
      <c r="D70" s="155"/>
      <c r="E70" s="155"/>
      <c r="F70" s="155"/>
      <c r="G70" s="155"/>
      <c r="H70" s="155"/>
      <c r="I70" s="156"/>
      <c r="J70" s="154"/>
      <c r="K70" s="156"/>
      <c r="L70" s="157"/>
      <c r="M70" s="156"/>
      <c r="N70" s="156"/>
      <c r="O70" s="156"/>
      <c r="P70" s="156"/>
      <c r="Q70" s="156"/>
      <c r="R70" s="156"/>
      <c r="T70" s="158"/>
      <c r="U70" s="158"/>
      <c r="V70" s="158"/>
      <c r="W70" s="158"/>
      <c r="Y70" s="158"/>
      <c r="Z70" s="158"/>
      <c r="AA70" s="158"/>
      <c r="AB70" s="158"/>
      <c r="AD70" s="156"/>
      <c r="AE70" s="156"/>
      <c r="AF70" s="158"/>
      <c r="AG70" s="158"/>
      <c r="AI70" s="159"/>
      <c r="AJ70" s="159"/>
      <c r="AK70" s="159"/>
      <c r="AL70" s="160"/>
      <c r="AM70" s="150"/>
    </row>
    <row r="71" spans="1:41" x14ac:dyDescent="0.25">
      <c r="A71" s="104">
        <v>1</v>
      </c>
      <c r="B71" s="92" t="s">
        <v>93</v>
      </c>
      <c r="C71" s="253" t="s">
        <v>112</v>
      </c>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row>
    <row r="72" spans="1:41" x14ac:dyDescent="0.25">
      <c r="A72" s="50">
        <v>8</v>
      </c>
      <c r="B72" s="6" t="s">
        <v>155</v>
      </c>
      <c r="C72" s="253" t="s">
        <v>156</v>
      </c>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row>
    <row r="73" spans="1:41" x14ac:dyDescent="0.25">
      <c r="A73" s="50">
        <v>19</v>
      </c>
      <c r="B73" s="6" t="s">
        <v>94</v>
      </c>
      <c r="C73" s="253" t="s">
        <v>154</v>
      </c>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row>
    <row r="74" spans="1:41" ht="30" x14ac:dyDescent="0.25">
      <c r="A74" s="50">
        <v>3</v>
      </c>
      <c r="B74" s="93" t="s">
        <v>97</v>
      </c>
      <c r="C74" s="253" t="s">
        <v>113</v>
      </c>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row>
    <row r="76" spans="1:41" s="10" customFormat="1" ht="27" customHeight="1" x14ac:dyDescent="0.25">
      <c r="A76" s="236" t="s">
        <v>2</v>
      </c>
      <c r="B76" s="211" t="s">
        <v>3</v>
      </c>
      <c r="C76" s="251" t="s">
        <v>86</v>
      </c>
      <c r="D76" s="211" t="s">
        <v>66</v>
      </c>
      <c r="E76" s="251" t="s">
        <v>167</v>
      </c>
      <c r="F76" s="233" t="s">
        <v>100</v>
      </c>
      <c r="G76" s="260" t="s">
        <v>89</v>
      </c>
      <c r="H76" s="206" t="s">
        <v>168</v>
      </c>
      <c r="I76" s="9"/>
      <c r="J76" s="206">
        <v>2020</v>
      </c>
      <c r="K76" s="206"/>
      <c r="L76" s="206"/>
      <c r="M76" s="206"/>
      <c r="N76" s="9"/>
      <c r="O76" s="206">
        <v>2021</v>
      </c>
      <c r="P76" s="206"/>
      <c r="Q76" s="206"/>
      <c r="R76" s="206"/>
      <c r="T76" s="206">
        <v>2022</v>
      </c>
      <c r="U76" s="206"/>
      <c r="V76" s="206"/>
      <c r="W76" s="206"/>
      <c r="Y76" s="206">
        <v>2023</v>
      </c>
      <c r="Z76" s="206"/>
      <c r="AA76" s="206"/>
      <c r="AB76" s="206"/>
      <c r="AD76" s="207">
        <v>2024</v>
      </c>
      <c r="AE76" s="208"/>
      <c r="AF76" s="208"/>
      <c r="AG76" s="208"/>
      <c r="AI76" s="254" t="s">
        <v>101</v>
      </c>
      <c r="AJ76" s="254"/>
      <c r="AK76" s="254"/>
      <c r="AL76" s="254"/>
      <c r="AM76" s="87"/>
    </row>
    <row r="77" spans="1:41" s="10" customFormat="1" ht="16.5" customHeight="1" x14ac:dyDescent="0.25">
      <c r="A77" s="237"/>
      <c r="B77" s="212"/>
      <c r="C77" s="234"/>
      <c r="D77" s="212"/>
      <c r="E77" s="234"/>
      <c r="F77" s="234"/>
      <c r="G77" s="260"/>
      <c r="H77" s="206"/>
      <c r="I77" s="9"/>
      <c r="J77" s="206" t="s">
        <v>4</v>
      </c>
      <c r="K77" s="206"/>
      <c r="L77" s="206" t="s">
        <v>61</v>
      </c>
      <c r="M77" s="206"/>
      <c r="N77" s="9"/>
      <c r="O77" s="206" t="s">
        <v>6</v>
      </c>
      <c r="P77" s="206"/>
      <c r="Q77" s="206" t="s">
        <v>8</v>
      </c>
      <c r="R77" s="206"/>
      <c r="S77" s="9"/>
      <c r="T77" s="206" t="s">
        <v>7</v>
      </c>
      <c r="U77" s="206"/>
      <c r="V77" s="206" t="s">
        <v>8</v>
      </c>
      <c r="W77" s="206"/>
      <c r="Y77" s="206" t="s">
        <v>7</v>
      </c>
      <c r="Z77" s="206"/>
      <c r="AA77" s="206" t="s">
        <v>8</v>
      </c>
      <c r="AB77" s="206"/>
      <c r="AD77" s="206" t="s">
        <v>7</v>
      </c>
      <c r="AE77" s="206"/>
      <c r="AF77" s="206" t="s">
        <v>8</v>
      </c>
      <c r="AG77" s="206"/>
      <c r="AI77" s="251" t="s">
        <v>4</v>
      </c>
      <c r="AJ77" s="251" t="s">
        <v>65</v>
      </c>
      <c r="AK77" s="251" t="s">
        <v>8</v>
      </c>
      <c r="AL77" s="251" t="s">
        <v>5</v>
      </c>
      <c r="AM77" s="87"/>
    </row>
    <row r="78" spans="1:41" s="10" customFormat="1" ht="30" x14ac:dyDescent="0.25">
      <c r="A78" s="238"/>
      <c r="B78" s="213"/>
      <c r="C78" s="252"/>
      <c r="D78" s="213"/>
      <c r="E78" s="252"/>
      <c r="F78" s="235"/>
      <c r="G78" s="260"/>
      <c r="H78" s="206"/>
      <c r="I78" s="11"/>
      <c r="J78" s="61" t="s">
        <v>59</v>
      </c>
      <c r="K78" s="61" t="s">
        <v>60</v>
      </c>
      <c r="L78" s="162" t="s">
        <v>63</v>
      </c>
      <c r="M78" s="61" t="s">
        <v>62</v>
      </c>
      <c r="N78" s="11"/>
      <c r="O78" s="163" t="s">
        <v>59</v>
      </c>
      <c r="P78" s="61" t="s">
        <v>60</v>
      </c>
      <c r="Q78" s="163" t="s">
        <v>63</v>
      </c>
      <c r="R78" s="61" t="s">
        <v>62</v>
      </c>
      <c r="S78" s="9"/>
      <c r="T78" s="163" t="s">
        <v>59</v>
      </c>
      <c r="U78" s="61" t="s">
        <v>60</v>
      </c>
      <c r="V78" s="61" t="s">
        <v>63</v>
      </c>
      <c r="W78" s="61" t="s">
        <v>62</v>
      </c>
      <c r="Y78" s="61" t="s">
        <v>59</v>
      </c>
      <c r="Z78" s="61" t="s">
        <v>60</v>
      </c>
      <c r="AA78" s="61" t="s">
        <v>63</v>
      </c>
      <c r="AB78" s="61" t="s">
        <v>62</v>
      </c>
      <c r="AD78" s="61" t="s">
        <v>59</v>
      </c>
      <c r="AE78" s="61" t="s">
        <v>60</v>
      </c>
      <c r="AF78" s="61" t="s">
        <v>63</v>
      </c>
      <c r="AG78" s="61" t="s">
        <v>62</v>
      </c>
      <c r="AI78" s="252"/>
      <c r="AJ78" s="252"/>
      <c r="AK78" s="252"/>
      <c r="AL78" s="252"/>
      <c r="AM78" s="87"/>
    </row>
    <row r="79" spans="1:41" ht="75.75" customHeight="1" x14ac:dyDescent="0.25">
      <c r="A79" s="245" t="s">
        <v>131</v>
      </c>
      <c r="B79" s="214" t="s">
        <v>132</v>
      </c>
      <c r="C79" s="214" t="s">
        <v>87</v>
      </c>
      <c r="D79" s="214" t="s">
        <v>152</v>
      </c>
      <c r="E79" s="247" t="str">
        <f>C72</f>
        <v xml:space="preserve">Aumentar el acceso a vivienda digna, espacio público y equipamientos de la población vulnerable en suelo urbano y rural </v>
      </c>
      <c r="F79" s="103" t="s">
        <v>164</v>
      </c>
      <c r="G79" s="103" t="s">
        <v>171</v>
      </c>
      <c r="H79" s="255" t="str">
        <f>C74</f>
        <v>Sistema Distrital de cuidado</v>
      </c>
      <c r="I79" s="13"/>
      <c r="J79" s="109">
        <v>17305.599999999999</v>
      </c>
      <c r="K79" s="96">
        <v>17000</v>
      </c>
      <c r="L79" s="112"/>
      <c r="M79" s="97"/>
      <c r="N79" s="98"/>
      <c r="O79" s="96">
        <v>14571</v>
      </c>
      <c r="P79" s="96">
        <v>14571</v>
      </c>
      <c r="Q79" s="97"/>
      <c r="R79" s="97"/>
      <c r="S79" s="170"/>
      <c r="T79" s="106">
        <v>40000</v>
      </c>
      <c r="U79" s="106">
        <v>38899</v>
      </c>
      <c r="V79" s="165"/>
      <c r="W79" s="166"/>
      <c r="X79" s="100"/>
      <c r="Y79" s="199">
        <v>10518</v>
      </c>
      <c r="Z79" s="199">
        <v>10518</v>
      </c>
      <c r="AA79" s="165"/>
      <c r="AB79" s="166"/>
      <c r="AC79" s="100"/>
      <c r="AD79" s="106">
        <v>19012</v>
      </c>
      <c r="AE79" s="107">
        <v>14085</v>
      </c>
      <c r="AF79" s="165"/>
      <c r="AG79" s="166"/>
      <c r="AH79" s="170"/>
      <c r="AI79" s="107">
        <f>J79+O79+T79+Y79+AD79-1407</f>
        <v>99999.6</v>
      </c>
      <c r="AJ79" s="107">
        <f t="shared" ref="AJ79:AL80" si="8">K79+P79+U79+Z79+AE79</f>
        <v>95073</v>
      </c>
      <c r="AK79" s="102">
        <f t="shared" si="8"/>
        <v>0</v>
      </c>
      <c r="AL79" s="102">
        <f t="shared" si="8"/>
        <v>0</v>
      </c>
      <c r="AM79" s="88"/>
      <c r="AO79" s="178"/>
    </row>
    <row r="80" spans="1:41" ht="43.5" customHeight="1" x14ac:dyDescent="0.25">
      <c r="A80" s="246"/>
      <c r="B80" s="221"/>
      <c r="C80" s="221"/>
      <c r="D80" s="221"/>
      <c r="E80" s="248"/>
      <c r="F80" s="12" t="s">
        <v>178</v>
      </c>
      <c r="G80" s="12" t="s">
        <v>133</v>
      </c>
      <c r="H80" s="256"/>
      <c r="I80" s="13"/>
      <c r="J80" s="108">
        <v>17305.599999999999</v>
      </c>
      <c r="K80" s="90">
        <v>17000</v>
      </c>
      <c r="L80" s="115">
        <f>3602795429/L1</f>
        <v>3602.7954289999998</v>
      </c>
      <c r="M80" s="27">
        <v>3501.5279959999998</v>
      </c>
      <c r="N80" s="15"/>
      <c r="O80" s="90">
        <v>14571</v>
      </c>
      <c r="P80" s="90">
        <v>14571</v>
      </c>
      <c r="Q80" s="57">
        <v>61555</v>
      </c>
      <c r="R80" s="57">
        <v>56013</v>
      </c>
      <c r="T80" s="82">
        <v>40000</v>
      </c>
      <c r="U80" s="82">
        <v>38899</v>
      </c>
      <c r="V80" s="57">
        <f>18750560550/L1</f>
        <v>18750.560549999998</v>
      </c>
      <c r="W80" s="57">
        <f>18722560550/L1</f>
        <v>18722.560549999998</v>
      </c>
      <c r="X80" s="89"/>
      <c r="Y80" s="82">
        <f>+Y79</f>
        <v>10518</v>
      </c>
      <c r="Z80" s="200">
        <f>+Z79</f>
        <v>10518</v>
      </c>
      <c r="AA80" s="57">
        <f>14361427344/L1</f>
        <v>14361.427344</v>
      </c>
      <c r="AB80" s="168">
        <f>13608437847/L1</f>
        <v>13608.437846999999</v>
      </c>
      <c r="AC80" s="89"/>
      <c r="AD80" s="82">
        <f>+AD79</f>
        <v>19012</v>
      </c>
      <c r="AE80" s="82">
        <f>+AE79</f>
        <v>14085</v>
      </c>
      <c r="AF80" s="57">
        <f>4100000000/L1</f>
        <v>4100</v>
      </c>
      <c r="AG80" s="168">
        <f>327541251/L1</f>
        <v>327.54125099999999</v>
      </c>
      <c r="AI80" s="82">
        <f>J80+O80+T80+Y80+AD80-1407</f>
        <v>99999.6</v>
      </c>
      <c r="AJ80" s="82">
        <f t="shared" si="8"/>
        <v>95073</v>
      </c>
      <c r="AK80" s="56">
        <f t="shared" si="8"/>
        <v>102369.783323</v>
      </c>
      <c r="AL80" s="56">
        <f t="shared" si="8"/>
        <v>92173.067643999995</v>
      </c>
      <c r="AM80" s="88"/>
    </row>
    <row r="81" spans="1:42" ht="30" x14ac:dyDescent="0.25">
      <c r="A81" s="246"/>
      <c r="B81" s="221"/>
      <c r="C81" s="221"/>
      <c r="D81" s="221"/>
      <c r="E81" s="248"/>
      <c r="F81" s="12" t="s">
        <v>134</v>
      </c>
      <c r="G81" s="12" t="s">
        <v>133</v>
      </c>
      <c r="H81" s="256"/>
      <c r="I81" s="13"/>
      <c r="J81" s="24">
        <v>1</v>
      </c>
      <c r="K81" s="110">
        <v>0.96689999999999998</v>
      </c>
      <c r="L81" s="113">
        <f>1600000000/L1</f>
        <v>1600</v>
      </c>
      <c r="M81" s="27">
        <v>1435.632384</v>
      </c>
      <c r="N81" s="15"/>
      <c r="O81" s="24">
        <v>1</v>
      </c>
      <c r="P81" s="110">
        <v>0.97250000000000003</v>
      </c>
      <c r="Q81" s="57">
        <v>5840</v>
      </c>
      <c r="R81" s="57">
        <v>5444</v>
      </c>
      <c r="T81" s="187">
        <v>1</v>
      </c>
      <c r="U81" s="91">
        <v>0.94579999999999997</v>
      </c>
      <c r="V81" s="57">
        <f>4799456606/L1</f>
        <v>4799.4566059999997</v>
      </c>
      <c r="W81" s="57">
        <f>4638243827/L1</f>
        <v>4638.2438270000002</v>
      </c>
      <c r="X81" s="89"/>
      <c r="Y81" s="172">
        <v>1</v>
      </c>
      <c r="Z81" s="172">
        <v>0.95250000000000001</v>
      </c>
      <c r="AA81" s="57">
        <f>10983135656/L1</f>
        <v>10983.135656</v>
      </c>
      <c r="AB81" s="168">
        <f>8672589083/L1</f>
        <v>8672.5890830000008</v>
      </c>
      <c r="AC81" s="89"/>
      <c r="AD81" s="91">
        <v>1</v>
      </c>
      <c r="AE81" s="91">
        <v>1</v>
      </c>
      <c r="AF81" s="57">
        <f>12560557000/L1</f>
        <v>12560.557000000001</v>
      </c>
      <c r="AG81" s="168">
        <f>3465610937/L1</f>
        <v>3465.6109369999999</v>
      </c>
      <c r="AI81" s="91">
        <f>AD81</f>
        <v>1</v>
      </c>
      <c r="AJ81" s="91">
        <f>(+Z81+U81+AE81+P81+K81)/5</f>
        <v>0.96753999999999996</v>
      </c>
      <c r="AK81" s="56">
        <f>L81+Q81+V81+AA81+AF81</f>
        <v>35783.149261999999</v>
      </c>
      <c r="AL81" s="56">
        <f>M81+R81+W81+AB81+AG81</f>
        <v>23656.076231000003</v>
      </c>
      <c r="AM81" s="88"/>
    </row>
    <row r="82" spans="1:42" s="6" customFormat="1" ht="15.75" x14ac:dyDescent="0.25">
      <c r="A82" s="174"/>
      <c r="B82" s="62" t="s">
        <v>102</v>
      </c>
      <c r="C82" s="62"/>
      <c r="D82" s="62"/>
      <c r="E82" s="62"/>
      <c r="F82" s="37"/>
      <c r="G82" s="37"/>
      <c r="H82" s="37"/>
      <c r="I82" s="38"/>
      <c r="J82" s="39"/>
      <c r="K82" s="39"/>
      <c r="L82" s="114">
        <f>SUM(L79:L81)</f>
        <v>5202.7954289999998</v>
      </c>
      <c r="M82" s="40">
        <f>SUM(M79:M81)</f>
        <v>4937.1603799999993</v>
      </c>
      <c r="N82" s="41"/>
      <c r="O82" s="39"/>
      <c r="P82" s="39"/>
      <c r="Q82" s="40">
        <f>SUM(Q79:Q81)</f>
        <v>67395</v>
      </c>
      <c r="R82" s="40">
        <f>SUM(R79:R81)</f>
        <v>61457</v>
      </c>
      <c r="T82" s="39"/>
      <c r="U82" s="39"/>
      <c r="V82" s="40">
        <f>SUM(V79:V81)</f>
        <v>23550.017155999998</v>
      </c>
      <c r="W82" s="40">
        <f>SUM(W79:W81)</f>
        <v>23360.804377</v>
      </c>
      <c r="Y82" s="39"/>
      <c r="Z82" s="39"/>
      <c r="AA82" s="40">
        <f>SUM(AA79:AA81)</f>
        <v>25344.563000000002</v>
      </c>
      <c r="AB82" s="40">
        <f>SUM(AB79:AB81)</f>
        <v>22281.02693</v>
      </c>
      <c r="AD82" s="39"/>
      <c r="AE82" s="40"/>
      <c r="AF82" s="40">
        <f>SUM(AF79:AF81)</f>
        <v>16660.557000000001</v>
      </c>
      <c r="AG82" s="40">
        <f>SUM(AG79:AG81)</f>
        <v>3793.152188</v>
      </c>
      <c r="AI82" s="85"/>
      <c r="AJ82" s="85"/>
      <c r="AK82" s="58">
        <f>SUM(AK79:AK81)</f>
        <v>138152.932585</v>
      </c>
      <c r="AL82" s="58">
        <f>SUM(AL79:AL81)</f>
        <v>115829.14387499999</v>
      </c>
      <c r="AM82" s="196"/>
      <c r="AO82" s="145"/>
      <c r="AP82" s="145"/>
    </row>
    <row r="84" spans="1:42" s="153" customFormat="1" ht="15.75" customHeight="1" x14ac:dyDescent="0.2">
      <c r="A84" s="257"/>
      <c r="B84" s="257"/>
      <c r="C84" s="257"/>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152"/>
    </row>
    <row r="85" spans="1:42" s="151" customFormat="1" ht="12.75" x14ac:dyDescent="0.2">
      <c r="A85" s="154"/>
      <c r="B85" s="155"/>
      <c r="C85" s="155"/>
      <c r="D85" s="155"/>
      <c r="E85" s="155"/>
      <c r="F85" s="155"/>
      <c r="G85" s="155"/>
      <c r="H85" s="155"/>
      <c r="I85" s="156"/>
      <c r="J85" s="154"/>
      <c r="K85" s="156"/>
      <c r="L85" s="157"/>
      <c r="M85" s="156"/>
      <c r="N85" s="156"/>
      <c r="O85" s="156"/>
      <c r="P85" s="156"/>
      <c r="Q85" s="156"/>
      <c r="R85" s="156"/>
      <c r="T85" s="158"/>
      <c r="U85" s="158"/>
      <c r="V85" s="158"/>
      <c r="W85" s="158"/>
      <c r="Y85" s="158"/>
      <c r="Z85" s="158"/>
      <c r="AA85" s="158"/>
      <c r="AB85" s="158"/>
      <c r="AD85" s="156"/>
      <c r="AE85" s="156"/>
      <c r="AF85" s="158"/>
      <c r="AG85" s="158"/>
      <c r="AI85" s="159"/>
      <c r="AJ85" s="159"/>
      <c r="AK85" s="159"/>
      <c r="AL85" s="160"/>
      <c r="AM85" s="150"/>
    </row>
    <row r="86" spans="1:42" x14ac:dyDescent="0.25">
      <c r="A86" s="104">
        <v>5</v>
      </c>
      <c r="B86" s="92" t="s">
        <v>93</v>
      </c>
      <c r="C86" s="253" t="s">
        <v>163</v>
      </c>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row>
    <row r="87" spans="1:42" x14ac:dyDescent="0.25">
      <c r="A87" s="50">
        <v>30</v>
      </c>
      <c r="B87" s="6" t="s">
        <v>155</v>
      </c>
      <c r="C87" s="253" t="s">
        <v>175</v>
      </c>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row>
    <row r="88" spans="1:42" x14ac:dyDescent="0.25">
      <c r="A88" s="50">
        <v>56</v>
      </c>
      <c r="B88" s="6" t="s">
        <v>94</v>
      </c>
      <c r="C88" s="253" t="s">
        <v>135</v>
      </c>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row>
    <row r="89" spans="1:42" ht="30" x14ac:dyDescent="0.25">
      <c r="A89" s="50"/>
      <c r="B89" s="93" t="s">
        <v>97</v>
      </c>
      <c r="C89" s="253" t="s">
        <v>136</v>
      </c>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row>
    <row r="91" spans="1:42" s="10" customFormat="1" ht="27" customHeight="1" x14ac:dyDescent="0.25">
      <c r="A91" s="236" t="s">
        <v>2</v>
      </c>
      <c r="B91" s="211" t="s">
        <v>3</v>
      </c>
      <c r="C91" s="251" t="s">
        <v>86</v>
      </c>
      <c r="D91" s="211" t="s">
        <v>66</v>
      </c>
      <c r="E91" s="251" t="s">
        <v>167</v>
      </c>
      <c r="F91" s="233" t="s">
        <v>100</v>
      </c>
      <c r="G91" s="260" t="s">
        <v>89</v>
      </c>
      <c r="H91" s="206" t="s">
        <v>168</v>
      </c>
      <c r="I91" s="9"/>
      <c r="J91" s="206">
        <v>2020</v>
      </c>
      <c r="K91" s="206"/>
      <c r="L91" s="206"/>
      <c r="M91" s="206"/>
      <c r="N91" s="9"/>
      <c r="O91" s="206">
        <v>2021</v>
      </c>
      <c r="P91" s="206"/>
      <c r="Q91" s="206"/>
      <c r="R91" s="206"/>
      <c r="T91" s="206">
        <v>2022</v>
      </c>
      <c r="U91" s="206"/>
      <c r="V91" s="206"/>
      <c r="W91" s="206"/>
      <c r="Y91" s="206">
        <v>2023</v>
      </c>
      <c r="Z91" s="206"/>
      <c r="AA91" s="206"/>
      <c r="AB91" s="206"/>
      <c r="AD91" s="207">
        <v>2024</v>
      </c>
      <c r="AE91" s="208"/>
      <c r="AF91" s="208"/>
      <c r="AG91" s="208"/>
      <c r="AI91" s="254" t="s">
        <v>101</v>
      </c>
      <c r="AJ91" s="254"/>
      <c r="AK91" s="254"/>
      <c r="AL91" s="254"/>
      <c r="AM91" s="87"/>
    </row>
    <row r="92" spans="1:42" s="10" customFormat="1" ht="16.5" customHeight="1" x14ac:dyDescent="0.25">
      <c r="A92" s="237"/>
      <c r="B92" s="212"/>
      <c r="C92" s="234"/>
      <c r="D92" s="212"/>
      <c r="E92" s="234"/>
      <c r="F92" s="234"/>
      <c r="G92" s="260"/>
      <c r="H92" s="206"/>
      <c r="I92" s="9"/>
      <c r="J92" s="206" t="s">
        <v>4</v>
      </c>
      <c r="K92" s="206"/>
      <c r="L92" s="206" t="s">
        <v>61</v>
      </c>
      <c r="M92" s="206"/>
      <c r="N92" s="9"/>
      <c r="O92" s="206" t="s">
        <v>6</v>
      </c>
      <c r="P92" s="206"/>
      <c r="Q92" s="206" t="s">
        <v>8</v>
      </c>
      <c r="R92" s="206"/>
      <c r="S92" s="9"/>
      <c r="T92" s="206" t="s">
        <v>7</v>
      </c>
      <c r="U92" s="206"/>
      <c r="V92" s="206" t="s">
        <v>8</v>
      </c>
      <c r="W92" s="206"/>
      <c r="Y92" s="206" t="s">
        <v>7</v>
      </c>
      <c r="Z92" s="206"/>
      <c r="AA92" s="206" t="s">
        <v>8</v>
      </c>
      <c r="AB92" s="206"/>
      <c r="AD92" s="206" t="s">
        <v>7</v>
      </c>
      <c r="AE92" s="206"/>
      <c r="AF92" s="206" t="s">
        <v>8</v>
      </c>
      <c r="AG92" s="206"/>
      <c r="AI92" s="251" t="s">
        <v>4</v>
      </c>
      <c r="AJ92" s="251" t="s">
        <v>65</v>
      </c>
      <c r="AK92" s="258" t="s">
        <v>8</v>
      </c>
      <c r="AL92" s="251" t="s">
        <v>5</v>
      </c>
      <c r="AM92" s="87"/>
    </row>
    <row r="93" spans="1:42" s="10" customFormat="1" ht="30" x14ac:dyDescent="0.25">
      <c r="A93" s="238"/>
      <c r="B93" s="213"/>
      <c r="C93" s="252"/>
      <c r="D93" s="213"/>
      <c r="E93" s="252"/>
      <c r="F93" s="235"/>
      <c r="G93" s="260"/>
      <c r="H93" s="206"/>
      <c r="I93" s="11"/>
      <c r="J93" s="61" t="s">
        <v>59</v>
      </c>
      <c r="K93" s="61" t="s">
        <v>60</v>
      </c>
      <c r="L93" s="162" t="s">
        <v>63</v>
      </c>
      <c r="M93" s="61" t="s">
        <v>62</v>
      </c>
      <c r="N93" s="11"/>
      <c r="O93" s="163" t="s">
        <v>59</v>
      </c>
      <c r="P93" s="61" t="s">
        <v>60</v>
      </c>
      <c r="Q93" s="163" t="s">
        <v>63</v>
      </c>
      <c r="R93" s="61" t="s">
        <v>62</v>
      </c>
      <c r="S93" s="9"/>
      <c r="T93" s="163" t="s">
        <v>59</v>
      </c>
      <c r="U93" s="61" t="s">
        <v>60</v>
      </c>
      <c r="V93" s="61" t="s">
        <v>63</v>
      </c>
      <c r="W93" s="61" t="s">
        <v>62</v>
      </c>
      <c r="Y93" s="61" t="s">
        <v>59</v>
      </c>
      <c r="Z93" s="61" t="s">
        <v>60</v>
      </c>
      <c r="AA93" s="61" t="s">
        <v>63</v>
      </c>
      <c r="AB93" s="61" t="s">
        <v>62</v>
      </c>
      <c r="AD93" s="61" t="s">
        <v>59</v>
      </c>
      <c r="AE93" s="61" t="s">
        <v>60</v>
      </c>
      <c r="AF93" s="61" t="s">
        <v>63</v>
      </c>
      <c r="AG93" s="61" t="s">
        <v>62</v>
      </c>
      <c r="AI93" s="252"/>
      <c r="AJ93" s="252"/>
      <c r="AK93" s="259"/>
      <c r="AL93" s="252"/>
      <c r="AM93" s="87"/>
    </row>
    <row r="94" spans="1:42" ht="45" x14ac:dyDescent="0.25">
      <c r="A94" s="245" t="s">
        <v>137</v>
      </c>
      <c r="B94" s="214" t="s">
        <v>138</v>
      </c>
      <c r="C94" s="214" t="s">
        <v>139</v>
      </c>
      <c r="D94" s="214" t="s">
        <v>153</v>
      </c>
      <c r="E94" s="247" t="str">
        <f>C87</f>
        <v xml:space="preserve"> Incrementar la efectividad de la gestión pública distrital y local. </v>
      </c>
      <c r="F94" s="103" t="s">
        <v>165</v>
      </c>
      <c r="G94" s="103" t="s">
        <v>140</v>
      </c>
      <c r="H94" s="255" t="str">
        <f>C89</f>
        <v>Gestión pública efectiva, abierta y transparente</v>
      </c>
      <c r="I94" s="13"/>
      <c r="J94" s="126">
        <v>0.1</v>
      </c>
      <c r="K94" s="127">
        <v>0.1</v>
      </c>
      <c r="L94" s="116"/>
      <c r="M94" s="97"/>
      <c r="N94" s="98"/>
      <c r="O94" s="126">
        <v>0.25</v>
      </c>
      <c r="P94" s="126">
        <v>0.25</v>
      </c>
      <c r="Q94" s="97"/>
      <c r="R94" s="97"/>
      <c r="S94" s="170"/>
      <c r="T94" s="188">
        <v>0.3</v>
      </c>
      <c r="U94" s="189">
        <v>0.3</v>
      </c>
      <c r="V94" s="165"/>
      <c r="W94" s="166"/>
      <c r="X94" s="100"/>
      <c r="Y94" s="188">
        <v>0.25</v>
      </c>
      <c r="Z94" s="164">
        <v>0.25</v>
      </c>
      <c r="AA94" s="165"/>
      <c r="AB94" s="166"/>
      <c r="AC94" s="100"/>
      <c r="AD94" s="129">
        <v>0.1</v>
      </c>
      <c r="AE94" s="188">
        <v>0.05</v>
      </c>
      <c r="AF94" s="165"/>
      <c r="AG94" s="166"/>
      <c r="AH94" s="170"/>
      <c r="AI94" s="129">
        <f t="shared" ref="AI94:AL99" si="9">J94+O94+T94+Y94+AD94</f>
        <v>0.99999999999999989</v>
      </c>
      <c r="AJ94" s="129">
        <f t="shared" si="9"/>
        <v>0.95</v>
      </c>
      <c r="AK94" s="102">
        <f t="shared" si="9"/>
        <v>0</v>
      </c>
      <c r="AL94" s="102">
        <f t="shared" si="9"/>
        <v>0</v>
      </c>
      <c r="AM94" s="88"/>
    </row>
    <row r="95" spans="1:42" ht="45" x14ac:dyDescent="0.25">
      <c r="A95" s="246"/>
      <c r="B95" s="221"/>
      <c r="C95" s="221"/>
      <c r="D95" s="221"/>
      <c r="E95" s="248"/>
      <c r="F95" s="190" t="s">
        <v>141</v>
      </c>
      <c r="G95" s="190" t="s">
        <v>142</v>
      </c>
      <c r="H95" s="256"/>
      <c r="I95" s="13"/>
      <c r="J95" s="128">
        <v>0.1</v>
      </c>
      <c r="K95" s="132">
        <v>0.1</v>
      </c>
      <c r="L95" s="113">
        <v>3048.153773</v>
      </c>
      <c r="M95" s="27">
        <v>2948.422376</v>
      </c>
      <c r="N95" s="15"/>
      <c r="O95" s="128">
        <v>0.25</v>
      </c>
      <c r="P95" s="128">
        <v>0.25</v>
      </c>
      <c r="Q95" s="57">
        <f>3679264491/L1</f>
        <v>3679.2644909999999</v>
      </c>
      <c r="R95" s="27">
        <f>3664659327/L1</f>
        <v>3664.6593269999998</v>
      </c>
      <c r="T95" s="191">
        <v>0.3</v>
      </c>
      <c r="U95" s="192">
        <v>0.3</v>
      </c>
      <c r="V95" s="57">
        <f>4404578840/L1</f>
        <v>4404.5788400000001</v>
      </c>
      <c r="W95" s="57">
        <f>4404578838/L1</f>
        <v>4404.5788380000004</v>
      </c>
      <c r="X95" s="89"/>
      <c r="Y95" s="191">
        <v>0.25</v>
      </c>
      <c r="Z95" s="172">
        <v>0.25</v>
      </c>
      <c r="AA95" s="57">
        <f>4995385877/L1</f>
        <v>4995.3858769999997</v>
      </c>
      <c r="AB95" s="168">
        <f>4872884455/L1</f>
        <v>4872.8844550000003</v>
      </c>
      <c r="AC95" s="89"/>
      <c r="AD95" s="130">
        <v>0.1</v>
      </c>
      <c r="AE95" s="193">
        <v>5.7099999999999998E-2</v>
      </c>
      <c r="AF95" s="57">
        <f>4301032000/L1</f>
        <v>4301.0320000000002</v>
      </c>
      <c r="AG95" s="168">
        <f>1562477457/L1</f>
        <v>1562.477457</v>
      </c>
      <c r="AI95" s="130">
        <f t="shared" si="9"/>
        <v>0.99999999999999989</v>
      </c>
      <c r="AJ95" s="130">
        <f t="shared" si="9"/>
        <v>0.95709999999999995</v>
      </c>
      <c r="AK95" s="56">
        <f t="shared" si="9"/>
        <v>20428.414980999998</v>
      </c>
      <c r="AL95" s="56">
        <f t="shared" si="9"/>
        <v>17453.022453000001</v>
      </c>
      <c r="AM95" s="88"/>
    </row>
    <row r="96" spans="1:42" ht="45" x14ac:dyDescent="0.25">
      <c r="A96" s="246"/>
      <c r="B96" s="221"/>
      <c r="C96" s="221"/>
      <c r="D96" s="221"/>
      <c r="E96" s="248"/>
      <c r="F96" s="190" t="s">
        <v>143</v>
      </c>
      <c r="G96" s="190" t="s">
        <v>144</v>
      </c>
      <c r="H96" s="256"/>
      <c r="I96" s="13"/>
      <c r="J96" s="128">
        <v>0.1</v>
      </c>
      <c r="K96" s="91">
        <v>0.1</v>
      </c>
      <c r="L96" s="113">
        <v>1331.746357</v>
      </c>
      <c r="M96" s="27">
        <v>1314.039006</v>
      </c>
      <c r="N96" s="15"/>
      <c r="O96" s="128">
        <v>0.25</v>
      </c>
      <c r="P96" s="128">
        <v>0.25</v>
      </c>
      <c r="Q96" s="57">
        <f>2926616487/L1</f>
        <v>2926.6164869999998</v>
      </c>
      <c r="R96" s="27">
        <f>2923453407/L1</f>
        <v>2923.453407</v>
      </c>
      <c r="T96" s="191">
        <v>0.3</v>
      </c>
      <c r="U96" s="173">
        <v>0.3</v>
      </c>
      <c r="V96" s="57">
        <f>3179641038/L1</f>
        <v>3179.6410380000002</v>
      </c>
      <c r="W96" s="57">
        <f>3179601851/L1</f>
        <v>3179.6018509999999</v>
      </c>
      <c r="X96" s="89"/>
      <c r="Y96" s="191">
        <v>0.25</v>
      </c>
      <c r="Z96" s="172">
        <v>0.25</v>
      </c>
      <c r="AA96" s="57">
        <f>3203519211/L1</f>
        <v>3203.5192109999998</v>
      </c>
      <c r="AB96" s="168">
        <f>3147144376/L1</f>
        <v>3147.1443760000002</v>
      </c>
      <c r="AC96" s="89"/>
      <c r="AD96" s="130">
        <v>0.1</v>
      </c>
      <c r="AE96" s="91">
        <v>6.2E-2</v>
      </c>
      <c r="AF96" s="57">
        <f>3103440000/L1</f>
        <v>3103.44</v>
      </c>
      <c r="AG96" s="168">
        <f>2202851939/L1</f>
        <v>2202.8519390000001</v>
      </c>
      <c r="AI96" s="130">
        <f t="shared" si="9"/>
        <v>0.99999999999999989</v>
      </c>
      <c r="AJ96" s="130">
        <f t="shared" si="9"/>
        <v>0.96199999999999997</v>
      </c>
      <c r="AK96" s="56">
        <f t="shared" si="9"/>
        <v>13744.963093</v>
      </c>
      <c r="AL96" s="56">
        <f t="shared" si="9"/>
        <v>12767.090579</v>
      </c>
      <c r="AM96" s="88"/>
    </row>
    <row r="97" spans="1:43" ht="75" x14ac:dyDescent="0.25">
      <c r="A97" s="246"/>
      <c r="B97" s="221"/>
      <c r="C97" s="221"/>
      <c r="D97" s="221"/>
      <c r="E97" s="248"/>
      <c r="F97" s="190" t="s">
        <v>145</v>
      </c>
      <c r="G97" s="190" t="s">
        <v>146</v>
      </c>
      <c r="H97" s="256"/>
      <c r="I97" s="13"/>
      <c r="J97" s="118">
        <v>1.5</v>
      </c>
      <c r="K97" s="119">
        <v>1.5</v>
      </c>
      <c r="L97" s="113">
        <v>147.96897799999999</v>
      </c>
      <c r="M97" s="27">
        <v>147.96897799999999</v>
      </c>
      <c r="N97" s="15"/>
      <c r="O97" s="122">
        <v>3.75</v>
      </c>
      <c r="P97" s="122">
        <v>3.75</v>
      </c>
      <c r="Q97" s="57">
        <f>226913453/L1</f>
        <v>226.913453</v>
      </c>
      <c r="R97" s="27">
        <f>226511474/L1</f>
        <v>226.51147399999999</v>
      </c>
      <c r="T97" s="122">
        <v>4.5</v>
      </c>
      <c r="U97" s="122">
        <v>4.5</v>
      </c>
      <c r="V97" s="57">
        <f>329259368/L1</f>
        <v>329.25936799999999</v>
      </c>
      <c r="W97" s="57">
        <f>329259368/L1</f>
        <v>329.25936799999999</v>
      </c>
      <c r="X97" s="89"/>
      <c r="Y97" s="122">
        <v>3.75</v>
      </c>
      <c r="Z97" s="122">
        <v>3.75</v>
      </c>
      <c r="AA97" s="57">
        <f>263812850/L1</f>
        <v>263.81285000000003</v>
      </c>
      <c r="AB97" s="168">
        <f>263812850/L1</f>
        <v>263.81285000000003</v>
      </c>
      <c r="AC97" s="89"/>
      <c r="AD97" s="122">
        <v>1.5</v>
      </c>
      <c r="AE97" s="122">
        <v>0.9</v>
      </c>
      <c r="AF97" s="57">
        <f>262529000/L1</f>
        <v>262.529</v>
      </c>
      <c r="AG97" s="168">
        <f>55600000/L1</f>
        <v>55.6</v>
      </c>
      <c r="AI97" s="123">
        <f t="shared" si="9"/>
        <v>15</v>
      </c>
      <c r="AJ97" s="144">
        <f t="shared" si="9"/>
        <v>14.4</v>
      </c>
      <c r="AK97" s="56">
        <f t="shared" si="9"/>
        <v>1230.483649</v>
      </c>
      <c r="AL97" s="56">
        <f t="shared" si="9"/>
        <v>1023.1526700000001</v>
      </c>
      <c r="AM97" s="141"/>
    </row>
    <row r="98" spans="1:43" ht="60" x14ac:dyDescent="0.25">
      <c r="A98" s="246"/>
      <c r="B98" s="221"/>
      <c r="C98" s="221"/>
      <c r="D98" s="221"/>
      <c r="E98" s="248"/>
      <c r="F98" s="190" t="s">
        <v>166</v>
      </c>
      <c r="G98" s="190" t="s">
        <v>148</v>
      </c>
      <c r="H98" s="256"/>
      <c r="I98" s="13"/>
      <c r="J98" s="24">
        <v>0</v>
      </c>
      <c r="K98" s="91">
        <v>0</v>
      </c>
      <c r="L98" s="113">
        <v>0</v>
      </c>
      <c r="M98" s="27">
        <v>0</v>
      </c>
      <c r="N98" s="15"/>
      <c r="O98" s="24">
        <v>0.35</v>
      </c>
      <c r="P98" s="131">
        <v>0.35</v>
      </c>
      <c r="Q98" s="125">
        <f>322206012/L1</f>
        <v>322.20601199999999</v>
      </c>
      <c r="R98" s="27">
        <f>322206012/L1</f>
        <v>322.20601199999999</v>
      </c>
      <c r="T98" s="187">
        <v>0.3</v>
      </c>
      <c r="U98" s="172">
        <v>0.3</v>
      </c>
      <c r="V98" s="57">
        <f>1182721850/L1</f>
        <v>1182.7218499999999</v>
      </c>
      <c r="W98" s="57">
        <f>1182721830/L1</f>
        <v>1182.72183</v>
      </c>
      <c r="X98" s="89"/>
      <c r="Y98" s="187">
        <v>0.25</v>
      </c>
      <c r="Z98" s="172">
        <v>0.25</v>
      </c>
      <c r="AA98" s="57">
        <f>984025790/L1</f>
        <v>984.02579000000003</v>
      </c>
      <c r="AB98" s="168">
        <f>984025790/L1</f>
        <v>984.02579000000003</v>
      </c>
      <c r="AC98" s="89"/>
      <c r="AD98" s="91">
        <v>0.1</v>
      </c>
      <c r="AE98" s="91">
        <v>0.06</v>
      </c>
      <c r="AF98" s="57">
        <f>758521000/L1</f>
        <v>758.52099999999996</v>
      </c>
      <c r="AG98" s="168">
        <f>316932235/L1</f>
        <v>316.93223499999999</v>
      </c>
      <c r="AI98" s="91">
        <f t="shared" si="9"/>
        <v>0.99999999999999989</v>
      </c>
      <c r="AJ98" s="110">
        <f t="shared" si="9"/>
        <v>0.96</v>
      </c>
      <c r="AK98" s="56">
        <f t="shared" si="9"/>
        <v>3247.4746519999999</v>
      </c>
      <c r="AL98" s="56">
        <f t="shared" si="9"/>
        <v>2805.885867</v>
      </c>
      <c r="AM98" s="88"/>
    </row>
    <row r="99" spans="1:43" ht="24.75" customHeight="1" x14ac:dyDescent="0.25">
      <c r="A99" s="183"/>
      <c r="B99" s="147"/>
      <c r="C99" s="147"/>
      <c r="D99" s="147"/>
      <c r="E99" s="148"/>
      <c r="F99" s="190" t="s">
        <v>147</v>
      </c>
      <c r="G99" s="190" t="s">
        <v>148</v>
      </c>
      <c r="H99" s="149"/>
      <c r="I99" s="13"/>
      <c r="J99" s="24">
        <v>0.05</v>
      </c>
      <c r="K99" s="91">
        <v>0.05</v>
      </c>
      <c r="L99" s="113">
        <v>2200.3575080000001</v>
      </c>
      <c r="M99" s="27">
        <v>1998.231702</v>
      </c>
      <c r="N99" s="15"/>
      <c r="O99" s="124">
        <v>0.125</v>
      </c>
      <c r="P99" s="134">
        <v>0.125</v>
      </c>
      <c r="Q99" s="125">
        <f>2090691557/L1</f>
        <v>2090.6915570000001</v>
      </c>
      <c r="R99" s="27">
        <f>2083805588/L1</f>
        <v>2083.8055880000002</v>
      </c>
      <c r="T99" s="187">
        <v>0.15</v>
      </c>
      <c r="U99" s="173">
        <v>0.15</v>
      </c>
      <c r="V99" s="57">
        <f xml:space="preserve"> 2903798904/L1</f>
        <v>2903.7989040000002</v>
      </c>
      <c r="W99" s="57">
        <f>2883365115/L1</f>
        <v>2883.3651150000001</v>
      </c>
      <c r="X99" s="89"/>
      <c r="Y99" s="194">
        <v>0.125</v>
      </c>
      <c r="Z99" s="172">
        <v>0.125</v>
      </c>
      <c r="AA99" s="57">
        <f>3179412272/L1</f>
        <v>3179.412272</v>
      </c>
      <c r="AB99" s="168">
        <f>3154044903/L1</f>
        <v>3154.044903</v>
      </c>
      <c r="AC99" s="89"/>
      <c r="AD99" s="91">
        <v>0.05</v>
      </c>
      <c r="AE99" s="91">
        <v>1.4999999999999999E-2</v>
      </c>
      <c r="AF99" s="57">
        <f>6200027000/L1</f>
        <v>6200.027</v>
      </c>
      <c r="AG99" s="168">
        <f>1910774744/L1</f>
        <v>1910.7747440000001</v>
      </c>
      <c r="AI99" s="91">
        <f t="shared" si="9"/>
        <v>0.49999999999999994</v>
      </c>
      <c r="AJ99" s="91">
        <f t="shared" si="9"/>
        <v>0.46499999999999997</v>
      </c>
      <c r="AK99" s="56">
        <f t="shared" si="9"/>
        <v>16574.287240999998</v>
      </c>
      <c r="AL99" s="56">
        <f t="shared" si="9"/>
        <v>12030.222052000001</v>
      </c>
      <c r="AM99" s="88"/>
    </row>
    <row r="100" spans="1:43" s="6" customFormat="1" ht="15.75" x14ac:dyDescent="0.25">
      <c r="A100" s="174"/>
      <c r="B100" s="62" t="s">
        <v>102</v>
      </c>
      <c r="C100" s="62"/>
      <c r="D100" s="62"/>
      <c r="E100" s="62"/>
      <c r="F100" s="37"/>
      <c r="G100" s="37"/>
      <c r="H100" s="37"/>
      <c r="I100" s="38"/>
      <c r="J100" s="39"/>
      <c r="K100" s="39"/>
      <c r="L100" s="114">
        <f>SUM(L94:L99)</f>
        <v>6728.2266159999999</v>
      </c>
      <c r="M100" s="111">
        <f>SUM(M94:M99)</f>
        <v>6408.6620619999994</v>
      </c>
      <c r="N100" s="41"/>
      <c r="O100" s="39"/>
      <c r="P100" s="39"/>
      <c r="Q100" s="111">
        <f>SUM(Q94:Q99)</f>
        <v>9245.6919999999991</v>
      </c>
      <c r="R100" s="111">
        <f>SUM(R94:R99)</f>
        <v>9220.6358079999991</v>
      </c>
      <c r="T100" s="39"/>
      <c r="U100" s="39"/>
      <c r="V100" s="111">
        <f>SUM(V94:V99)</f>
        <v>12000</v>
      </c>
      <c r="W100" s="111">
        <f>SUM(W94:W99)</f>
        <v>11979.527002000001</v>
      </c>
      <c r="Y100" s="39"/>
      <c r="Z100" s="39"/>
      <c r="AA100" s="111">
        <f>SUM(AA94:AA99)</f>
        <v>12626.155999999999</v>
      </c>
      <c r="AB100" s="111">
        <f>SUM(AB94:AB99)</f>
        <v>12421.912374</v>
      </c>
      <c r="AD100" s="39"/>
      <c r="AE100" s="40"/>
      <c r="AF100" s="111">
        <f>SUM(AF94:AF99)</f>
        <v>14625.549000000001</v>
      </c>
      <c r="AG100" s="111">
        <f>SUM(AG94:AG99)</f>
        <v>6048.636375</v>
      </c>
      <c r="AI100" s="85"/>
      <c r="AJ100" s="85"/>
      <c r="AK100" s="111">
        <f>SUM(AK94:AK99)</f>
        <v>55225.623615999997</v>
      </c>
      <c r="AL100" s="111">
        <f>SUM(AL94:AL99)</f>
        <v>46079.373621000006</v>
      </c>
      <c r="AM100" s="196"/>
      <c r="AN100" s="7"/>
      <c r="AO100" s="145"/>
      <c r="AP100" s="145"/>
      <c r="AQ100" s="87"/>
    </row>
  </sheetData>
  <mergeCells count="200">
    <mergeCell ref="C57:C64"/>
    <mergeCell ref="B57:B64"/>
    <mergeCell ref="C33:AL33"/>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7"/>
    <mergeCell ref="C17:C27"/>
    <mergeCell ref="D17:D27"/>
    <mergeCell ref="E17:E27"/>
    <mergeCell ref="H17:H27"/>
    <mergeCell ref="A17:A27"/>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40:A43"/>
    <mergeCell ref="H40:H43"/>
    <mergeCell ref="A54:A56"/>
    <mergeCell ref="B54:B56"/>
    <mergeCell ref="C54:C56"/>
    <mergeCell ref="D54:D56"/>
    <mergeCell ref="E54:E56"/>
    <mergeCell ref="F54:F56"/>
    <mergeCell ref="G54:G56"/>
    <mergeCell ref="H54:H56"/>
    <mergeCell ref="C50:AL50"/>
    <mergeCell ref="J54:M54"/>
    <mergeCell ref="O54:R54"/>
    <mergeCell ref="T54:W54"/>
    <mergeCell ref="Y54:AB54"/>
    <mergeCell ref="AD54:AG54"/>
    <mergeCell ref="AI54:AL54"/>
    <mergeCell ref="J55:K55"/>
    <mergeCell ref="L55:M55"/>
    <mergeCell ref="O55:P55"/>
    <mergeCell ref="C40:C44"/>
    <mergeCell ref="B40:B44"/>
    <mergeCell ref="AK55:AK56"/>
    <mergeCell ref="AL55:AL56"/>
    <mergeCell ref="V38:W38"/>
    <mergeCell ref="Y38:Z38"/>
    <mergeCell ref="AA38:AB38"/>
    <mergeCell ref="AD38:AE38"/>
    <mergeCell ref="AF38:AG38"/>
    <mergeCell ref="G91:G93"/>
    <mergeCell ref="H91:H93"/>
    <mergeCell ref="J91:M91"/>
    <mergeCell ref="O91:R91"/>
    <mergeCell ref="T91:W91"/>
    <mergeCell ref="Y91:AB91"/>
    <mergeCell ref="J76:M76"/>
    <mergeCell ref="O76:R76"/>
    <mergeCell ref="T76:W76"/>
    <mergeCell ref="Y76:AB76"/>
    <mergeCell ref="J77:K77"/>
    <mergeCell ref="L77:M77"/>
    <mergeCell ref="O77:P77"/>
    <mergeCell ref="Q77:R77"/>
    <mergeCell ref="T77:U77"/>
    <mergeCell ref="V77:W77"/>
    <mergeCell ref="Y77:Z77"/>
    <mergeCell ref="AA77:AB77"/>
    <mergeCell ref="H57:H60"/>
    <mergeCell ref="D37:D39"/>
    <mergeCell ref="E37:E39"/>
    <mergeCell ref="F37:F39"/>
    <mergeCell ref="G37:G39"/>
    <mergeCell ref="H37:H39"/>
    <mergeCell ref="J37:M37"/>
    <mergeCell ref="T38:U38"/>
    <mergeCell ref="G76:G78"/>
    <mergeCell ref="H76:H78"/>
    <mergeCell ref="E40:E44"/>
    <mergeCell ref="D40:D44"/>
    <mergeCell ref="E57:E64"/>
    <mergeCell ref="D57:D64"/>
    <mergeCell ref="Q55:R55"/>
    <mergeCell ref="T55:U55"/>
    <mergeCell ref="V55:W55"/>
    <mergeCell ref="Y55:Z55"/>
    <mergeCell ref="AA55:AB55"/>
    <mergeCell ref="AD55:AE55"/>
    <mergeCell ref="AF55:AG55"/>
    <mergeCell ref="AI55:AI56"/>
    <mergeCell ref="AJ55:AJ56"/>
    <mergeCell ref="C91:C93"/>
    <mergeCell ref="D91:D93"/>
    <mergeCell ref="E91:E93"/>
    <mergeCell ref="F91:F93"/>
    <mergeCell ref="C74:AL74"/>
    <mergeCell ref="A84:AL84"/>
    <mergeCell ref="C86:AL86"/>
    <mergeCell ref="C88:AL88"/>
    <mergeCell ref="C89:AL89"/>
    <mergeCell ref="AD91:AG91"/>
    <mergeCell ref="AI91:AL91"/>
    <mergeCell ref="J92:K92"/>
    <mergeCell ref="L92:M92"/>
    <mergeCell ref="O92:P92"/>
    <mergeCell ref="Q92:R92"/>
    <mergeCell ref="T92:U92"/>
    <mergeCell ref="AD92:AE92"/>
    <mergeCell ref="A30:AL30"/>
    <mergeCell ref="C32:AL32"/>
    <mergeCell ref="C34:AL34"/>
    <mergeCell ref="C35:AL35"/>
    <mergeCell ref="A47:AL47"/>
    <mergeCell ref="C49:AL49"/>
    <mergeCell ref="C51:AL51"/>
    <mergeCell ref="C52:AL52"/>
    <mergeCell ref="O37:R37"/>
    <mergeCell ref="T37:W37"/>
    <mergeCell ref="Y37:AB37"/>
    <mergeCell ref="AD37:AG37"/>
    <mergeCell ref="AI37:AL37"/>
    <mergeCell ref="J38:K38"/>
    <mergeCell ref="L38:M38"/>
    <mergeCell ref="O38:P38"/>
    <mergeCell ref="Q38:R38"/>
    <mergeCell ref="AI38:AI39"/>
    <mergeCell ref="AJ38:AJ39"/>
    <mergeCell ref="AK38:AK39"/>
    <mergeCell ref="AL38:AL39"/>
    <mergeCell ref="A37:A39"/>
    <mergeCell ref="C37:C39"/>
    <mergeCell ref="B37:B39"/>
    <mergeCell ref="AJ92:AJ93"/>
    <mergeCell ref="AK92:AK93"/>
    <mergeCell ref="AL92:AL93"/>
    <mergeCell ref="A79:A81"/>
    <mergeCell ref="F76:F78"/>
    <mergeCell ref="AK77:AK78"/>
    <mergeCell ref="AL77:AL78"/>
    <mergeCell ref="B79:B81"/>
    <mergeCell ref="C79:C81"/>
    <mergeCell ref="D79:D81"/>
    <mergeCell ref="E79:E81"/>
    <mergeCell ref="H79:H81"/>
    <mergeCell ref="V92:W92"/>
    <mergeCell ref="Y92:Z92"/>
    <mergeCell ref="AA92:AB92"/>
    <mergeCell ref="C87:AL87"/>
    <mergeCell ref="AF92:AG92"/>
    <mergeCell ref="AI92:AI93"/>
    <mergeCell ref="A94:A98"/>
    <mergeCell ref="B94:B98"/>
    <mergeCell ref="C94:C98"/>
    <mergeCell ref="D94:D98"/>
    <mergeCell ref="E94:E98"/>
    <mergeCell ref="A57:A60"/>
    <mergeCell ref="A76:A78"/>
    <mergeCell ref="B76:B78"/>
    <mergeCell ref="C76:C78"/>
    <mergeCell ref="D76:D78"/>
    <mergeCell ref="E76:E78"/>
    <mergeCell ref="C73:AL73"/>
    <mergeCell ref="AD76:AG76"/>
    <mergeCell ref="AI76:AL76"/>
    <mergeCell ref="AD77:AE77"/>
    <mergeCell ref="AF77:AG77"/>
    <mergeCell ref="AI77:AI78"/>
    <mergeCell ref="AJ77:AJ78"/>
    <mergeCell ref="H94:H98"/>
    <mergeCell ref="A69:AL69"/>
    <mergeCell ref="C71:AL71"/>
    <mergeCell ref="C72:AL72"/>
    <mergeCell ref="A91:A93"/>
    <mergeCell ref="B91:B93"/>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_pios_id" r:id="rId2"/>
    <customPr name="EpmWorksheetKeyString_GUID" r:id="rId3"/>
  </customProperties>
  <ignoredErrors>
    <ignoredError sqref="AI23:AJ23 AI62:AI63" formula="1"/>
    <ignoredError sqref="AJ43" evalError="1"/>
    <ignoredError sqref="T43 Y43"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MAR- 2024</vt:lpstr>
      <vt:lpstr>'MAR- 2024'!Área_de_impresión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2024-04-27T00:23:25Z</cp:lastPrinted>
  <dcterms:created xsi:type="dcterms:W3CDTF">2009-07-24T20:19:08Z</dcterms:created>
  <dcterms:modified xsi:type="dcterms:W3CDTF">2024-04-27T00:24:07Z</dcterms:modified>
</cp:coreProperties>
</file>