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2210" tabRatio="553" firstSheet="2" activeTab="2"/>
  </bookViews>
  <sheets>
    <sheet name="DIFERENCIAS" sheetId="52" state="hidden" r:id="rId1"/>
    <sheet name="SOPORTE REPROGRAMACIÓN $ 2017" sheetId="53" state="hidden" r:id="rId2"/>
    <sheet name="SEP-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'SEP-2023'!$A:$AL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F94" i="93" l="1"/>
  <c r="AF98" i="93"/>
  <c r="AF19" i="93"/>
  <c r="AB19" i="93" l="1"/>
  <c r="AF97" i="93" l="1"/>
  <c r="AF96" i="93"/>
  <c r="AF95" i="93"/>
  <c r="AF80" i="93"/>
  <c r="AF79" i="93"/>
  <c r="AL66" i="93"/>
  <c r="AK66" i="93"/>
  <c r="AF66" i="93"/>
  <c r="AB66" i="93"/>
  <c r="AA66" i="93"/>
  <c r="W66" i="93"/>
  <c r="V66" i="93"/>
  <c r="R66" i="93"/>
  <c r="Q66" i="93"/>
  <c r="M66" i="93"/>
  <c r="L66" i="93"/>
  <c r="AF64" i="93"/>
  <c r="AF63" i="93"/>
  <c r="AF62" i="93"/>
  <c r="AF61" i="93"/>
  <c r="AF60" i="93"/>
  <c r="AF58" i="93"/>
  <c r="AF57" i="93"/>
  <c r="AF43" i="93"/>
  <c r="AF41" i="93"/>
  <c r="AF40" i="93"/>
  <c r="AF27" i="93"/>
  <c r="AF21" i="93"/>
  <c r="AF20" i="93"/>
  <c r="AF26" i="93"/>
  <c r="AF24" i="93"/>
  <c r="AI79" i="93"/>
  <c r="AI78" i="93"/>
  <c r="AB98" i="93" l="1"/>
  <c r="AB95" i="93"/>
  <c r="AA95" i="93"/>
  <c r="AB94" i="93"/>
  <c r="AA94" i="93"/>
  <c r="AB80" i="93"/>
  <c r="AB79" i="93"/>
  <c r="AB63" i="93"/>
  <c r="AA63" i="93"/>
  <c r="AB64" i="93"/>
  <c r="AL64" i="93"/>
  <c r="AA64" i="93"/>
  <c r="AK64" i="93"/>
  <c r="AJ64" i="93"/>
  <c r="AI64" i="93"/>
  <c r="AB62" i="93"/>
  <c r="AB61" i="93"/>
  <c r="AA61" i="93"/>
  <c r="AA62" i="93"/>
  <c r="AB58" i="93"/>
  <c r="AB57" i="93"/>
  <c r="AB43" i="93"/>
  <c r="AA43" i="93"/>
  <c r="AB42" i="93"/>
  <c r="AA42" i="93"/>
  <c r="AB41" i="93"/>
  <c r="AA41" i="93"/>
  <c r="AB40" i="93"/>
  <c r="AA40" i="93"/>
  <c r="AA26" i="93"/>
  <c r="AB20" i="93"/>
  <c r="AA19" i="93"/>
  <c r="AB18" i="93"/>
  <c r="Z79" i="93"/>
  <c r="Y79" i="93"/>
  <c r="AI57" i="93"/>
  <c r="AD57" i="93"/>
  <c r="AA80" i="93"/>
  <c r="AA79" i="93"/>
  <c r="AA24" i="93"/>
  <c r="AA18" i="93"/>
  <c r="AI58" i="93"/>
  <c r="AB24" i="93"/>
  <c r="AJ63" i="93"/>
  <c r="AB97" i="93"/>
  <c r="AB96" i="93"/>
  <c r="AA96" i="93"/>
  <c r="AA60" i="93"/>
  <c r="AB21" i="93"/>
  <c r="AA20" i="93"/>
  <c r="AA21" i="93"/>
  <c r="AA98" i="93"/>
  <c r="AA97" i="93"/>
  <c r="AB60" i="93"/>
  <c r="AB26" i="93"/>
  <c r="AJ80" i="93"/>
  <c r="AJ43" i="93"/>
  <c r="AJ17" i="93"/>
  <c r="AB44" i="93"/>
  <c r="AI18" i="93"/>
  <c r="AB27" i="93"/>
  <c r="AJ61" i="93"/>
  <c r="Z26" i="93"/>
  <c r="AJ26" i="93"/>
  <c r="AJ25" i="93"/>
  <c r="AJ22" i="93"/>
  <c r="AG105" i="93"/>
  <c r="W105" i="93"/>
  <c r="V105" i="93"/>
  <c r="R105" i="93"/>
  <c r="Q105" i="93"/>
  <c r="M105" i="93"/>
  <c r="L105" i="93"/>
  <c r="W98" i="93"/>
  <c r="V98" i="93"/>
  <c r="W97" i="93"/>
  <c r="V97" i="93"/>
  <c r="W95" i="93"/>
  <c r="V95" i="93"/>
  <c r="W94" i="93"/>
  <c r="V94" i="93"/>
  <c r="V80" i="93"/>
  <c r="W80" i="93"/>
  <c r="W79" i="93"/>
  <c r="V79" i="93"/>
  <c r="V58" i="93"/>
  <c r="V57" i="93"/>
  <c r="W63" i="93"/>
  <c r="V63" i="93"/>
  <c r="W62" i="93"/>
  <c r="W61" i="93"/>
  <c r="V61" i="93"/>
  <c r="W60" i="93"/>
  <c r="V60" i="93"/>
  <c r="W59" i="93"/>
  <c r="V59" i="93"/>
  <c r="W58" i="93"/>
  <c r="W57" i="93"/>
  <c r="W43" i="93"/>
  <c r="V43" i="93"/>
  <c r="W42" i="93"/>
  <c r="V42" i="93"/>
  <c r="W41" i="93"/>
  <c r="V41" i="93"/>
  <c r="W40" i="93"/>
  <c r="V40" i="93"/>
  <c r="W26" i="93"/>
  <c r="V26" i="93"/>
  <c r="W24" i="93"/>
  <c r="V24" i="93"/>
  <c r="W21" i="93"/>
  <c r="V21" i="93"/>
  <c r="W20" i="93"/>
  <c r="V20" i="93"/>
  <c r="W19" i="93"/>
  <c r="V19" i="93"/>
  <c r="W18" i="93"/>
  <c r="V18" i="93"/>
  <c r="AJ42" i="93"/>
  <c r="V96" i="93"/>
  <c r="AG99" i="93"/>
  <c r="AF99" i="93"/>
  <c r="AF105" i="93" s="1"/>
  <c r="AB99" i="93"/>
  <c r="W99" i="93"/>
  <c r="M99" i="93"/>
  <c r="L99" i="93"/>
  <c r="AL98" i="93"/>
  <c r="AK98" i="93"/>
  <c r="AJ98" i="93"/>
  <c r="AI98" i="93"/>
  <c r="R98" i="93"/>
  <c r="Q98" i="93"/>
  <c r="AL97" i="93"/>
  <c r="AJ97" i="93"/>
  <c r="AI97" i="93"/>
  <c r="V99" i="93"/>
  <c r="R97" i="93"/>
  <c r="Q97" i="93"/>
  <c r="AJ96" i="93"/>
  <c r="AI96" i="93"/>
  <c r="W96" i="93"/>
  <c r="R96" i="93"/>
  <c r="AL96" i="93"/>
  <c r="Q96" i="93"/>
  <c r="AK96" i="93"/>
  <c r="AL95" i="93"/>
  <c r="AK95" i="93"/>
  <c r="AJ95" i="93"/>
  <c r="AI95" i="93"/>
  <c r="R95" i="93"/>
  <c r="Q95" i="93"/>
  <c r="AJ94" i="93"/>
  <c r="AI94" i="93"/>
  <c r="AA99" i="93"/>
  <c r="R94" i="93"/>
  <c r="AL94" i="93"/>
  <c r="Q94" i="93"/>
  <c r="AK94" i="93"/>
  <c r="AL93" i="93"/>
  <c r="AK93" i="93"/>
  <c r="AJ93" i="93"/>
  <c r="AI93" i="93"/>
  <c r="H93" i="93"/>
  <c r="E93" i="93"/>
  <c r="AG81" i="93"/>
  <c r="AF81" i="93"/>
  <c r="AB81" i="93"/>
  <c r="AA81" i="93"/>
  <c r="W81" i="93"/>
  <c r="V81" i="93"/>
  <c r="R81" i="93"/>
  <c r="Q81" i="93"/>
  <c r="M81" i="93"/>
  <c r="AL80" i="93"/>
  <c r="AI80" i="93"/>
  <c r="L80" i="93"/>
  <c r="L81" i="93"/>
  <c r="AL79" i="93"/>
  <c r="AJ79" i="93"/>
  <c r="L79" i="93"/>
  <c r="AK79" i="93"/>
  <c r="AL78" i="93"/>
  <c r="AK78" i="93"/>
  <c r="AJ78" i="93"/>
  <c r="H78" i="93"/>
  <c r="E78" i="93"/>
  <c r="AG66" i="93"/>
  <c r="AL63" i="93"/>
  <c r="AI63" i="93"/>
  <c r="AK63" i="93"/>
  <c r="AL62" i="93"/>
  <c r="AJ62" i="93"/>
  <c r="AI62" i="93"/>
  <c r="V62" i="93"/>
  <c r="AL61" i="93"/>
  <c r="AI61" i="93"/>
  <c r="AK61" i="93"/>
  <c r="R61" i="93"/>
  <c r="Q61" i="93"/>
  <c r="AJ60" i="93"/>
  <c r="AI60" i="93"/>
  <c r="R60" i="93"/>
  <c r="AL60" i="93"/>
  <c r="Q60" i="93"/>
  <c r="AK60" i="93"/>
  <c r="AL59" i="93"/>
  <c r="AJ59" i="93"/>
  <c r="AI59" i="93"/>
  <c r="R59" i="93"/>
  <c r="Q59" i="93"/>
  <c r="AK59" i="93"/>
  <c r="AJ58" i="93"/>
  <c r="AA58" i="93"/>
  <c r="AK58" i="93"/>
  <c r="R58" i="93"/>
  <c r="AL58" i="93"/>
  <c r="Q58" i="93"/>
  <c r="AJ57" i="93"/>
  <c r="AA57" i="93"/>
  <c r="R57" i="93"/>
  <c r="AL57" i="93"/>
  <c r="Q57" i="93"/>
  <c r="AK57" i="93"/>
  <c r="AL56" i="93"/>
  <c r="AK56" i="93"/>
  <c r="AJ56" i="93"/>
  <c r="AI56" i="93"/>
  <c r="H56" i="93"/>
  <c r="E56" i="93"/>
  <c r="AG44" i="93"/>
  <c r="AF44" i="93"/>
  <c r="AA44" i="93"/>
  <c r="W44" i="93"/>
  <c r="V44" i="93"/>
  <c r="R44" i="93"/>
  <c r="Q44" i="93"/>
  <c r="M44" i="93"/>
  <c r="L44" i="93"/>
  <c r="AL43" i="93"/>
  <c r="AK43" i="93"/>
  <c r="AI43" i="93"/>
  <c r="AL42" i="93"/>
  <c r="R42" i="93"/>
  <c r="Q42" i="93"/>
  <c r="AK42" i="93"/>
  <c r="AL41" i="93"/>
  <c r="AK41" i="93"/>
  <c r="AJ41" i="93"/>
  <c r="AI41" i="93"/>
  <c r="R41" i="93"/>
  <c r="Q41" i="93"/>
  <c r="AJ40" i="93"/>
  <c r="AI40" i="93"/>
  <c r="R40" i="93"/>
  <c r="AL40" i="93"/>
  <c r="Q40" i="93"/>
  <c r="AK40" i="93"/>
  <c r="AL39" i="93"/>
  <c r="AK39" i="93"/>
  <c r="AJ39" i="93"/>
  <c r="AI39" i="93"/>
  <c r="H39" i="93"/>
  <c r="E39" i="93"/>
  <c r="AG27" i="93"/>
  <c r="AA27" i="93"/>
  <c r="W27" i="93"/>
  <c r="V27" i="93"/>
  <c r="R27" i="93"/>
  <c r="Q27" i="93"/>
  <c r="M27" i="93"/>
  <c r="AI26" i="93"/>
  <c r="R26" i="93"/>
  <c r="AL26" i="93"/>
  <c r="Q26" i="93"/>
  <c r="L26" i="93"/>
  <c r="L27" i="93"/>
  <c r="AL25" i="93"/>
  <c r="AK25" i="93"/>
  <c r="AI25" i="93"/>
  <c r="AJ24" i="93"/>
  <c r="AI24" i="93"/>
  <c r="R24" i="93"/>
  <c r="AL24" i="93"/>
  <c r="Q24" i="93"/>
  <c r="AK24" i="93"/>
  <c r="AL23" i="93"/>
  <c r="AK23" i="93"/>
  <c r="AJ23" i="93"/>
  <c r="AI23" i="93"/>
  <c r="AL22" i="93"/>
  <c r="AK22" i="93"/>
  <c r="AI22" i="93"/>
  <c r="AK21" i="93"/>
  <c r="AJ21" i="93"/>
  <c r="AI21" i="93"/>
  <c r="AL21" i="93"/>
  <c r="AL20" i="93"/>
  <c r="AK20" i="93"/>
  <c r="AJ20" i="93"/>
  <c r="AI20" i="93"/>
  <c r="R20" i="93"/>
  <c r="Q20" i="93"/>
  <c r="AJ19" i="93"/>
  <c r="AI19" i="93"/>
  <c r="R19" i="93"/>
  <c r="AL19" i="93"/>
  <c r="Q19" i="93"/>
  <c r="AK19" i="93"/>
  <c r="AL18" i="93"/>
  <c r="AK18" i="93"/>
  <c r="AJ18" i="93"/>
  <c r="R18" i="93"/>
  <c r="Q18" i="93"/>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B105" i="93"/>
  <c r="AA105" i="93"/>
  <c r="AL81" i="93"/>
  <c r="AM81" i="93"/>
  <c r="AK80" i="93"/>
  <c r="AK81" i="93"/>
  <c r="AK97" i="93"/>
  <c r="Q99" i="93"/>
  <c r="R99" i="93"/>
  <c r="AK26" i="93"/>
  <c r="AL44" i="93"/>
  <c r="AM44" i="93"/>
  <c r="AK62" i="93"/>
  <c r="AL27" i="93"/>
  <c r="AM27" i="93"/>
  <c r="AK44" i="93"/>
  <c r="AL99" i="93"/>
  <c r="AM99" i="93"/>
  <c r="AM66" i="93"/>
  <c r="AL105" i="93"/>
  <c r="AK99" i="93" l="1"/>
  <c r="AK27" i="93"/>
  <c r="AK105" i="93" l="1"/>
</calcChain>
</file>

<file path=xl/comments1.xml><?xml version="1.0" encoding="utf-8"?>
<comments xmlns="http://schemas.openxmlformats.org/spreadsheetml/2006/main">
  <authors>
    <author>Adriana Gomez Martinez</author>
  </authors>
  <commentList>
    <comment ref="J39" authorId="0" shapeId="0">
      <text>
        <r>
          <rPr>
            <b/>
            <sz val="9"/>
            <color indexed="81"/>
            <rFont val="Tahoma"/>
            <family val="2"/>
          </rPr>
          <t>Adriana Gomez Martinez:</t>
        </r>
        <r>
          <rPr>
            <sz val="9"/>
            <color indexed="81"/>
            <rFont val="Tahoma"/>
            <family val="2"/>
          </rPr>
          <t xml:space="preserve">
</t>
        </r>
      </text>
    </comment>
    <comment ref="J40" authorId="0" shapeId="0">
      <text>
        <r>
          <rPr>
            <b/>
            <sz val="9"/>
            <color indexed="81"/>
            <rFont val="Tahoma"/>
            <family val="2"/>
          </rPr>
          <t>Adriana Gomez Martinez:</t>
        </r>
        <r>
          <rPr>
            <sz val="9"/>
            <color indexed="81"/>
            <rFont val="Tahoma"/>
            <family val="2"/>
          </rPr>
          <t xml:space="preserve">
</t>
        </r>
      </text>
    </comment>
    <comment ref="AI57" authorId="0" shapeId="0">
      <text>
        <r>
          <rPr>
            <b/>
            <sz val="9"/>
            <color indexed="81"/>
            <rFont val="Tahoma"/>
            <family val="2"/>
          </rPr>
          <t>se reprogramo para la meta del cuatrenio la programación del año 2020, de acuerdo con la ejecución.</t>
        </r>
        <r>
          <rPr>
            <sz val="9"/>
            <color indexed="81"/>
            <rFont val="Tahoma"/>
            <family val="2"/>
          </rPr>
          <t xml:space="preserve">
</t>
        </r>
      </text>
    </commen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8"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79"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0"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<sst xmlns="http://schemas.openxmlformats.org/spreadsheetml/2006/main" count="510" uniqueCount="189">
  <si>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</si>
  <si>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</si>
  <si>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</si>
  <si>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</si>
  <si>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</si>
  <si>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</si>
  <si>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</si>
  <si>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</si>
  <si>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</si>
  <si>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</si>
  <si>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</si>
  <si>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</si>
  <si>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</si>
  <si>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</si>
  <si>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</si>
  <si>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</si>
  <si>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</si>
  <si>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</si>
  <si>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</si>
  <si>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</si>
  <si>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</si>
  <si>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</si>
  <si>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</si>
  <si>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</si>
  <si>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</si>
  <si>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</si>
  <si>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</si>
  <si>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</si>
  <si>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</si>
  <si>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</si>
  <si>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</si>
  <si>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</si>
  <si>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</si>
  <si>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</si>
  <si>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</si>
  <si>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</si>
  <si>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</si>
  <si>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</si>
  <si>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</si>
  <si>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</si>
  <si>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</si>
  <si>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</si>
  <si>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</si>
  <si>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</si>
  <si>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</si>
  <si>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</si>
  <si>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</si>
  <si>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</si>
  <si>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</si>
  <si>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</si>
  <si>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</si>
  <si>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</si>
  <si>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</si>
  <si>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</si>
  <si>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</si>
  <si>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</si>
  <si>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</si>
  <si>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</si>
  <si>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</si>
  <si>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</si>
  <si>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</si>
  <si>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</si>
  <si>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</si>
  <si>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</si>
  <si>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</si>
  <si>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</si>
  <si>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</si>
  <si>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</si>
  <si>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</si>
  <si>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</si>
  <si>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</si>
  <si>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</si>
  <si>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</si>
  <si>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</si>
  <si>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</si>
  <si>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</si>
  <si>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</si>
  <si>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</si>
  <si>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</si>
  <si>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</si>
  <si>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</si>
  <si>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</si>
  <si>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</si>
  <si>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</si>
  <si>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</si>
  <si>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</si>
  <si>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</si>
  <si>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</si>
  <si>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</si>
  <si>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</si>
  <si>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</si>
  <si>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</si>
  <si>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</si>
  <si>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</si>
  <si>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</si>
  <si>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</si>
  <si>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</si>
  <si>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</si>
  <si>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</si>
  <si>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</si>
  <si>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</si>
  <si>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</si>
  <si>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</si>
  <si>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</si>
  <si>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</si>
  <si>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</si>
  <si>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</si>
  <si>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</si>
  <si>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</si>
  <si>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</si>
  <si>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</si>
  <si>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</si>
  <si>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</si>
  <si>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</si>
  <si>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</si>
  <si>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</si>
  <si>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</si>
  <si>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</si>
  <si>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</si>
  <si>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</si>
  <si>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</si>
  <si>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</si>
  <si>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</si>
  <si>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</si>
  <si>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</si>
  <si>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</si>
  <si>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</si>
  <si>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</si>
  <si>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</si>
  <si>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</si>
  <si>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</si>
  <si>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</si>
  <si>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</si>
  <si>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</si>
  <si>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</si>
  <si>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</si>
  <si>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</si>
  <si>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</si>
  <si>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</si>
  <si>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</si>
  <si>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</si>
  <si>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</si>
  <si>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</si>
  <si>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</si>
  <si>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</si>
  <si>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</si>
  <si>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</si>
  <si>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</si>
  <si>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</si>
  <si>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</si>
  <si>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</si>
  <si>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</si>
  <si>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</si>
  <si>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</si>
  <si>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</si>
  <si>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</si>
  <si>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</si>
  <si>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</si>
  <si>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</si>
  <si>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</si>
  <si>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</si>
  <si>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</si>
  <si>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</si>
  <si>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</si>
  <si>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</si>
  <si>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</si>
  <si>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</si>
  <si>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</si>
  <si>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</si>
  <si>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</si>
  <si>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</si>
  <si>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</si>
  <si>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</si>
  <si>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</si>
  <si>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</si>
  <si>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</si>
  <si>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</si>
  <si>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</si>
  <si>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</si>
  <si>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</si>
  <si>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</si>
  <si>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</si>
  <si>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</si>
  <si>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</si>
  <si>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</si>
  <si>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</si>
  <si>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</si>
  <si>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</si>
  <si>
    <t xml:space="preserve">Intervenir el 100% de la demanda de actividades de adecuación preliminar, demarcación y señalización de los predios desocupados en desarrollo del proceso de reasentamientos por alto riesgo no mitigables, acorde a la delegación establecida en el Decreto 555 de 2021 del POT.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</si>
</sst>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90">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3" fontId="17" fillId="0" borderId="0" xfId="24" applyNumberFormat="1" applyBorder="1"/>
    <xf numFmtId="171" fontId="17" fillId="0" borderId="0" xfId="128" applyNumberFormat="1" applyBorder="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171"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173" fontId="22" fillId="0" borderId="0" xfId="24" applyNumberFormat="1" applyFont="1" applyAlignment="1">
      <alignment vertical="center"/>
    </xf>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173"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NumberFormat="1" applyFont="1" applyFill="1" applyBorder="1" applyAlignment="1">
      <alignment horizontal="center" vertical="center"/>
    </xf>
    <xf numFmtId="168" fontId="26" fillId="0" borderId="3" xfId="80" applyNumberFormat="1"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4" fontId="34" fillId="0" borderId="3" xfId="81" applyNumberFormat="1" applyFont="1" applyFill="1" applyBorder="1" applyAlignment="1">
      <alignment horizontal="center" vertical="center"/>
    </xf>
    <xf numFmtId="171" fontId="22" fillId="0" borderId="0" xfId="128" applyNumberFormat="1" applyFont="1"/>
    <xf numFmtId="3" fontId="22" fillId="0" borderId="0" xfId="128" applyNumberFormat="1" applyFont="1"/>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69" fontId="22" fillId="0" borderId="0" xfId="24" applyNumberFormat="1" applyFont="1" applyAlignment="1">
      <alignment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89"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Fill="1" applyBorder="1" applyAlignment="1">
      <alignment horizontal="right" vertical="center"/>
    </xf>
    <xf numFmtId="174" fontId="26" fillId="0" borderId="3" xfId="0" applyNumberFormat="1" applyFont="1" applyFill="1" applyBorder="1" applyAlignment="1">
      <alignment horizontal="right" vertical="center"/>
    </xf>
    <xf numFmtId="0" fontId="17" fillId="16" borderId="0" xfId="128" applyFont="1"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50" fillId="5" borderId="0" xfId="106" applyNumberFormat="1" applyFont="1" applyFill="1" applyBorder="1" applyAlignment="1">
      <alignment horizontal="center" vertical="center" wrapText="1"/>
    </xf>
    <xf numFmtId="173"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Fill="1" applyBorder="1" applyAlignment="1">
      <alignment horizontal="right" vertical="center"/>
    </xf>
    <xf numFmtId="171" fontId="17" fillId="0" borderId="0" xfId="128" applyNumberFormat="1" applyFont="1"/>
    <xf numFmtId="4" fontId="17" fillId="0" borderId="0" xfId="128" applyNumberFormat="1" applyFont="1"/>
    <xf numFmtId="49" fontId="50" fillId="6" borderId="0" xfId="106" applyNumberFormat="1" applyFont="1" applyFill="1" applyBorder="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171" fontId="36" fillId="0" borderId="0" xfId="128" applyNumberFormat="1" applyFont="1"/>
    <xf numFmtId="0" fontId="37" fillId="0" borderId="3" xfId="128" applyFont="1" applyFill="1" applyBorder="1" applyAlignment="1" applyProtection="1">
      <alignment horizontal="justify" vertical="center" wrapText="1"/>
    </xf>
    <xf numFmtId="9" fontId="26" fillId="0" borderId="4" xfId="149" applyFont="1" applyFill="1" applyBorder="1" applyAlignment="1">
      <alignment horizontal="center" vertical="center"/>
    </xf>
    <xf numFmtId="9" fontId="34" fillId="16" borderId="3" xfId="3459" applyNumberFormat="1" applyFont="1" applyFill="1" applyBorder="1" applyAlignment="1">
      <alignment horizontal="center" vertical="center"/>
    </xf>
    <xf numFmtId="3" fontId="34" fillId="16" borderId="3" xfId="319" applyNumberFormat="1" applyFont="1" applyFill="1" applyBorder="1" applyAlignment="1">
      <alignment horizontal="center" vertical="center" wrapText="1"/>
    </xf>
    <xf numFmtId="3" fontId="34" fillId="5" borderId="3" xfId="319" applyNumberFormat="1" applyFont="1" applyFill="1" applyBorder="1" applyAlignment="1">
      <alignment horizontal="center" vertical="center" wrapText="1"/>
    </xf>
    <xf numFmtId="192" fontId="34" fillId="0" borderId="3" xfId="319" applyNumberFormat="1" applyFont="1" applyFill="1" applyBorder="1" applyAlignment="1">
      <alignment horizontal="center" vertical="center" wrapText="1"/>
    </xf>
    <xf numFmtId="0" fontId="25" fillId="0" borderId="2" xfId="128" applyFont="1" applyFill="1" applyBorder="1" applyAlignment="1" applyProtection="1">
      <alignment horizontal="center" vertical="center" wrapText="1"/>
    </xf>
    <xf numFmtId="49" fontId="50" fillId="6" borderId="0" xfId="106" applyNumberFormat="1" applyFont="1" applyFill="1" applyBorder="1" applyAlignment="1">
      <alignment horizontal="center" vertical="center" wrapText="1"/>
    </xf>
    <xf numFmtId="0" fontId="23" fillId="0" borderId="0" xfId="128" applyFont="1" applyFill="1" applyBorder="1" applyAlignment="1">
      <alignment horizontal="center"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3" fillId="0" borderId="5"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3"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Border="1" applyAlignment="1">
      <alignment horizontal="center" vertical="center" wrapText="1"/>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19" fillId="8" borderId="3" xfId="128" applyFont="1" applyFill="1" applyBorder="1" applyAlignment="1">
      <alignment horizontal="center"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0" fontId="48" fillId="12" borderId="0" xfId="106" applyFont="1" applyFill="1" applyBorder="1" applyAlignment="1">
      <alignment horizontal="center" vertical="center"/>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27" fillId="0" borderId="0" xfId="128" applyFont="1" applyAlignment="1">
      <alignment horizontal="left" vertical="center" wrapText="1"/>
    </xf>
    <xf numFmtId="0" fontId="23" fillId="0" borderId="4" xfId="128" applyFont="1" applyFill="1" applyBorder="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76</v>
      </c>
      <c r="B1" s="73" t="s">
        <v>74</v>
      </c>
      <c r="C1" s="73" t="s">
        <v>75</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74</v>
      </c>
      <c r="B9" s="76">
        <f>SUM(B2:B8)</f>
        <v>305007.99585200002</v>
      </c>
      <c r="C9" s="75"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64</v>
      </c>
    </row>
    <row r="3" spans="1:18" s="3" customFormat="1" ht="12.75" x14ac:dyDescent="0.2">
      <c r="A3" s="254" t="s">
        <v>0</v>
      </c>
      <c r="B3" s="255"/>
      <c r="C3" s="255"/>
      <c r="D3" s="256"/>
      <c r="E3" s="1"/>
      <c r="F3" s="2"/>
      <c r="G3" s="2"/>
      <c r="H3" s="2"/>
      <c r="I3" s="2"/>
      <c r="J3" s="2"/>
      <c r="K3" s="2"/>
      <c r="M3" s="2"/>
      <c r="O3" s="2"/>
      <c r="Q3" s="2"/>
    </row>
    <row r="4" spans="1:18" s="3" customFormat="1" ht="12.75" x14ac:dyDescent="0.2">
      <c r="A4" s="254" t="s">
        <v>14</v>
      </c>
      <c r="B4" s="255"/>
      <c r="C4" s="255"/>
      <c r="D4" s="256"/>
      <c r="E4" s="1"/>
      <c r="F4" s="2"/>
      <c r="G4" s="2"/>
      <c r="H4" s="2"/>
      <c r="I4" s="2"/>
      <c r="J4" s="2"/>
      <c r="K4" s="2"/>
      <c r="M4" s="2"/>
      <c r="O4" s="2"/>
      <c r="Q4" s="2"/>
    </row>
    <row r="5" spans="1:18" s="3" customFormat="1" ht="12.75" x14ac:dyDescent="0.2">
      <c r="A5" s="254" t="s">
        <v>0</v>
      </c>
      <c r="B5" s="255"/>
      <c r="C5" s="255"/>
      <c r="D5" s="256"/>
      <c r="E5" s="1"/>
      <c r="F5" s="2"/>
      <c r="G5" s="2"/>
      <c r="H5" s="2"/>
      <c r="I5" s="2"/>
      <c r="J5" s="2"/>
      <c r="K5" s="2"/>
      <c r="M5" s="2"/>
      <c r="O5" s="2"/>
      <c r="Q5" s="2"/>
    </row>
    <row r="6" spans="1:18" s="3" customFormat="1" ht="12.75" x14ac:dyDescent="0.2">
      <c r="A6" s="254" t="s">
        <v>15</v>
      </c>
      <c r="B6" s="255"/>
      <c r="C6" s="255"/>
      <c r="D6" s="256"/>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63" t="s">
        <v>84</v>
      </c>
      <c r="B8" s="264"/>
      <c r="C8" s="264"/>
      <c r="D8" s="264"/>
    </row>
    <row r="9" spans="1:18" s="3" customFormat="1" ht="12.75" x14ac:dyDescent="0.2">
      <c r="A9" s="4"/>
      <c r="B9" s="4"/>
      <c r="C9" s="4"/>
      <c r="D9" s="4"/>
      <c r="E9" s="2"/>
      <c r="F9" s="2"/>
      <c r="G9" s="2"/>
      <c r="H9" s="2"/>
      <c r="I9" s="2"/>
      <c r="J9" s="2"/>
      <c r="K9" s="2"/>
      <c r="M9" s="2"/>
      <c r="O9" s="2"/>
      <c r="Q9" s="2"/>
    </row>
    <row r="10" spans="1:18" ht="34.5" customHeight="1" x14ac:dyDescent="0.25">
      <c r="A10" s="33" t="s">
        <v>1</v>
      </c>
      <c r="B10" s="265" t="s">
        <v>16</v>
      </c>
      <c r="C10" s="265"/>
      <c r="D10" s="265"/>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60" t="s">
        <v>2</v>
      </c>
      <c r="B13" s="235" t="s">
        <v>3</v>
      </c>
      <c r="C13" s="235" t="s">
        <v>66</v>
      </c>
      <c r="D13" s="257" t="s">
        <v>19</v>
      </c>
      <c r="E13" s="10"/>
      <c r="F13" s="66">
        <v>2016</v>
      </c>
      <c r="G13" s="10"/>
      <c r="H13" s="231">
        <v>2017</v>
      </c>
      <c r="I13" s="232"/>
      <c r="J13" s="268"/>
      <c r="K13" s="231">
        <v>2018</v>
      </c>
      <c r="L13" s="268"/>
      <c r="M13" s="231">
        <v>2019</v>
      </c>
      <c r="N13" s="268"/>
      <c r="O13" s="231">
        <v>2020</v>
      </c>
      <c r="P13" s="232"/>
      <c r="Q13" s="232" t="s">
        <v>77</v>
      </c>
      <c r="R13" s="232"/>
    </row>
    <row r="14" spans="1:18" s="11" customFormat="1" ht="15" customHeight="1" x14ac:dyDescent="0.25">
      <c r="A14" s="261"/>
      <c r="B14" s="236"/>
      <c r="C14" s="236"/>
      <c r="D14" s="258"/>
      <c r="E14" s="10"/>
      <c r="F14" s="229" t="s">
        <v>8</v>
      </c>
      <c r="G14" s="10"/>
      <c r="H14" s="229" t="s">
        <v>8</v>
      </c>
      <c r="I14" s="229" t="s">
        <v>83</v>
      </c>
      <c r="J14" s="229" t="s">
        <v>79</v>
      </c>
      <c r="K14" s="229" t="s">
        <v>8</v>
      </c>
      <c r="L14" s="229" t="s">
        <v>78</v>
      </c>
      <c r="M14" s="229" t="s">
        <v>8</v>
      </c>
      <c r="N14" s="229" t="s">
        <v>78</v>
      </c>
      <c r="O14" s="233" t="s">
        <v>8</v>
      </c>
      <c r="P14" s="229" t="s">
        <v>78</v>
      </c>
      <c r="Q14" s="233" t="s">
        <v>8</v>
      </c>
      <c r="R14" s="229" t="s">
        <v>78</v>
      </c>
    </row>
    <row r="15" spans="1:18" s="11" customFormat="1" ht="47.25" customHeight="1" x14ac:dyDescent="0.25">
      <c r="A15" s="262"/>
      <c r="B15" s="237"/>
      <c r="C15" s="237"/>
      <c r="D15" s="259"/>
      <c r="E15" s="12"/>
      <c r="F15" s="229"/>
      <c r="G15" s="12"/>
      <c r="H15" s="229"/>
      <c r="I15" s="229"/>
      <c r="J15" s="229"/>
      <c r="K15" s="229"/>
      <c r="L15" s="229"/>
      <c r="M15" s="229"/>
      <c r="N15" s="229"/>
      <c r="O15" s="234"/>
      <c r="P15" s="229"/>
      <c r="Q15" s="234"/>
      <c r="R15" s="229"/>
    </row>
    <row r="16" spans="1:18" ht="60" customHeight="1" x14ac:dyDescent="0.25">
      <c r="A16" s="266" t="s">
        <v>11</v>
      </c>
      <c r="B16" s="238" t="s">
        <v>12</v>
      </c>
      <c r="C16" s="238" t="s">
        <v>67</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67"/>
      <c r="B17" s="245"/>
      <c r="C17" s="245"/>
      <c r="D17" s="13" t="s">
        <v>80</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67"/>
      <c r="B18" s="245"/>
      <c r="C18" s="245"/>
      <c r="D18" s="13" t="s">
        <v>81</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67"/>
      <c r="B19" s="245"/>
      <c r="C19" s="245"/>
      <c r="D19" s="13" t="s">
        <v>85</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67"/>
      <c r="B20" s="239"/>
      <c r="C20" s="239"/>
      <c r="D20" s="13" t="s">
        <v>82</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30" t="s">
        <v>2</v>
      </c>
      <c r="B26" s="230" t="s">
        <v>3</v>
      </c>
      <c r="C26" s="235" t="s">
        <v>66</v>
      </c>
      <c r="D26" s="230" t="s">
        <v>19</v>
      </c>
      <c r="E26" s="10"/>
      <c r="F26" s="70">
        <v>2016</v>
      </c>
      <c r="G26" s="78"/>
      <c r="H26" s="230">
        <v>2017</v>
      </c>
      <c r="I26" s="230"/>
      <c r="J26" s="230"/>
      <c r="K26" s="230">
        <v>2018</v>
      </c>
      <c r="L26" s="230"/>
      <c r="M26" s="230">
        <v>2019</v>
      </c>
      <c r="N26" s="230"/>
      <c r="O26" s="230">
        <v>2020</v>
      </c>
      <c r="P26" s="230"/>
      <c r="Q26" s="230" t="s">
        <v>77</v>
      </c>
      <c r="R26" s="230"/>
    </row>
    <row r="27" spans="1:20" s="11" customFormat="1" ht="15" customHeight="1" x14ac:dyDescent="0.25">
      <c r="A27" s="230"/>
      <c r="B27" s="230"/>
      <c r="C27" s="236"/>
      <c r="D27" s="230"/>
      <c r="E27" s="10"/>
      <c r="F27" s="229" t="s">
        <v>8</v>
      </c>
      <c r="G27" s="78"/>
      <c r="H27" s="229" t="s">
        <v>8</v>
      </c>
      <c r="I27" s="229" t="s">
        <v>83</v>
      </c>
      <c r="J27" s="229" t="s">
        <v>79</v>
      </c>
      <c r="K27" s="229" t="s">
        <v>8</v>
      </c>
      <c r="L27" s="229" t="s">
        <v>78</v>
      </c>
      <c r="M27" s="229" t="s">
        <v>8</v>
      </c>
      <c r="N27" s="229" t="s">
        <v>78</v>
      </c>
      <c r="O27" s="229" t="s">
        <v>8</v>
      </c>
      <c r="P27" s="229" t="s">
        <v>78</v>
      </c>
      <c r="Q27" s="229" t="s">
        <v>8</v>
      </c>
      <c r="R27" s="229" t="s">
        <v>78</v>
      </c>
    </row>
    <row r="28" spans="1:20" s="11" customFormat="1" ht="47.25" customHeight="1" x14ac:dyDescent="0.25">
      <c r="A28" s="230"/>
      <c r="B28" s="230"/>
      <c r="C28" s="237"/>
      <c r="D28" s="230"/>
      <c r="E28" s="12"/>
      <c r="F28" s="229"/>
      <c r="G28" s="79"/>
      <c r="H28" s="229"/>
      <c r="I28" s="229"/>
      <c r="J28" s="229"/>
      <c r="K28" s="229"/>
      <c r="L28" s="229"/>
      <c r="M28" s="229"/>
      <c r="N28" s="229"/>
      <c r="O28" s="229"/>
      <c r="P28" s="229"/>
      <c r="Q28" s="229"/>
      <c r="R28" s="229"/>
    </row>
    <row r="29" spans="1:20" ht="51" hidden="1" customHeight="1" x14ac:dyDescent="0.25">
      <c r="A29" s="252" t="s">
        <v>24</v>
      </c>
      <c r="B29" s="253" t="s">
        <v>25</v>
      </c>
      <c r="C29" s="67"/>
      <c r="D29" s="18" t="s">
        <v>9</v>
      </c>
      <c r="E29" s="14"/>
      <c r="F29" s="28"/>
      <c r="G29" s="80"/>
      <c r="H29" s="28"/>
      <c r="I29" s="80"/>
      <c r="J29" s="80"/>
      <c r="K29" s="29"/>
      <c r="L29" s="81"/>
      <c r="M29" s="20"/>
      <c r="N29" s="81"/>
      <c r="O29" s="20"/>
      <c r="P29" s="81"/>
      <c r="Q29" s="15"/>
      <c r="R29" s="81"/>
    </row>
    <row r="30" spans="1:20" ht="95.25" customHeight="1" x14ac:dyDescent="0.25">
      <c r="A30" s="252"/>
      <c r="B30" s="253"/>
      <c r="C30" s="253" t="s">
        <v>68</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52"/>
      <c r="B31" s="253"/>
      <c r="C31" s="253"/>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46" t="s">
        <v>10</v>
      </c>
      <c r="B33" s="249" t="s">
        <v>26</v>
      </c>
      <c r="C33" s="249" t="s">
        <v>69</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7"/>
      <c r="B34" s="250"/>
      <c r="C34" s="250"/>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8"/>
      <c r="B35" s="251"/>
      <c r="C35" s="251"/>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42" t="s">
        <v>27</v>
      </c>
      <c r="B37" s="238" t="s">
        <v>28</v>
      </c>
      <c r="C37" s="238" t="s">
        <v>70</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43"/>
      <c r="B38" s="245"/>
      <c r="C38" s="245"/>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44"/>
      <c r="B39" s="239"/>
      <c r="C39" s="239"/>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30" t="s">
        <v>2</v>
      </c>
      <c r="B45" s="230" t="s">
        <v>3</v>
      </c>
      <c r="C45" s="235" t="s">
        <v>66</v>
      </c>
      <c r="D45" s="230" t="s">
        <v>19</v>
      </c>
      <c r="E45" s="10"/>
      <c r="F45" s="70">
        <v>2016</v>
      </c>
      <c r="G45" s="78"/>
      <c r="H45" s="230">
        <v>2017</v>
      </c>
      <c r="I45" s="230"/>
      <c r="J45" s="230"/>
      <c r="K45" s="230">
        <v>2018</v>
      </c>
      <c r="L45" s="230"/>
      <c r="M45" s="230">
        <v>2019</v>
      </c>
      <c r="N45" s="230"/>
      <c r="O45" s="230">
        <v>2020</v>
      </c>
      <c r="P45" s="230"/>
      <c r="Q45" s="230" t="s">
        <v>77</v>
      </c>
      <c r="R45" s="230"/>
    </row>
    <row r="46" spans="1:20" s="11" customFormat="1" ht="15" customHeight="1" x14ac:dyDescent="0.25">
      <c r="A46" s="230"/>
      <c r="B46" s="230"/>
      <c r="C46" s="236"/>
      <c r="D46" s="230"/>
      <c r="E46" s="10"/>
      <c r="F46" s="233" t="s">
        <v>8</v>
      </c>
      <c r="G46" s="78"/>
      <c r="H46" s="233" t="s">
        <v>8</v>
      </c>
      <c r="I46" s="229" t="s">
        <v>83</v>
      </c>
      <c r="J46" s="229" t="s">
        <v>79</v>
      </c>
      <c r="K46" s="233" t="s">
        <v>8</v>
      </c>
      <c r="L46" s="229" t="s">
        <v>78</v>
      </c>
      <c r="M46" s="233" t="s">
        <v>8</v>
      </c>
      <c r="N46" s="229" t="s">
        <v>78</v>
      </c>
      <c r="O46" s="229" t="s">
        <v>8</v>
      </c>
      <c r="P46" s="229" t="s">
        <v>78</v>
      </c>
      <c r="Q46" s="233" t="s">
        <v>8</v>
      </c>
      <c r="R46" s="229" t="s">
        <v>78</v>
      </c>
    </row>
    <row r="47" spans="1:20" s="11" customFormat="1" ht="47.25" customHeight="1" x14ac:dyDescent="0.25">
      <c r="A47" s="230"/>
      <c r="B47" s="230"/>
      <c r="C47" s="237"/>
      <c r="D47" s="230"/>
      <c r="E47" s="12"/>
      <c r="F47" s="234"/>
      <c r="G47" s="79"/>
      <c r="H47" s="234"/>
      <c r="I47" s="229"/>
      <c r="J47" s="229"/>
      <c r="K47" s="234"/>
      <c r="L47" s="229"/>
      <c r="M47" s="234"/>
      <c r="N47" s="229"/>
      <c r="O47" s="229"/>
      <c r="P47" s="229"/>
      <c r="Q47" s="234"/>
      <c r="R47" s="229"/>
    </row>
    <row r="48" spans="1:20" ht="60" customHeight="1" x14ac:dyDescent="0.25">
      <c r="A48" s="240" t="s">
        <v>35</v>
      </c>
      <c r="B48" s="238" t="s">
        <v>36</v>
      </c>
      <c r="C48" s="238" t="s">
        <v>71</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41"/>
      <c r="B49" s="239"/>
      <c r="C49" s="239"/>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30" t="s">
        <v>2</v>
      </c>
      <c r="B54" s="230" t="s">
        <v>3</v>
      </c>
      <c r="C54" s="235" t="s">
        <v>66</v>
      </c>
      <c r="D54" s="230" t="s">
        <v>19</v>
      </c>
      <c r="E54" s="10"/>
      <c r="F54" s="70">
        <v>2016</v>
      </c>
      <c r="G54" s="78"/>
      <c r="H54" s="230">
        <v>2017</v>
      </c>
      <c r="I54" s="230"/>
      <c r="J54" s="230"/>
      <c r="K54" s="230">
        <v>2018</v>
      </c>
      <c r="L54" s="230"/>
      <c r="M54" s="230">
        <v>2019</v>
      </c>
      <c r="N54" s="230"/>
      <c r="O54" s="230">
        <v>2020</v>
      </c>
      <c r="P54" s="230"/>
      <c r="Q54" s="230" t="s">
        <v>77</v>
      </c>
      <c r="R54" s="230"/>
    </row>
    <row r="55" spans="1:20" s="11" customFormat="1" ht="15" customHeight="1" x14ac:dyDescent="0.25">
      <c r="A55" s="230"/>
      <c r="B55" s="230"/>
      <c r="C55" s="236"/>
      <c r="D55" s="230"/>
      <c r="E55" s="10"/>
      <c r="F55" s="229" t="s">
        <v>8</v>
      </c>
      <c r="G55" s="78"/>
      <c r="H55" s="229" t="s">
        <v>8</v>
      </c>
      <c r="I55" s="229" t="s">
        <v>83</v>
      </c>
      <c r="J55" s="229" t="s">
        <v>79</v>
      </c>
      <c r="K55" s="229" t="s">
        <v>8</v>
      </c>
      <c r="L55" s="229" t="s">
        <v>78</v>
      </c>
      <c r="M55" s="229" t="s">
        <v>8</v>
      </c>
      <c r="N55" s="229" t="s">
        <v>78</v>
      </c>
      <c r="O55" s="229" t="s">
        <v>8</v>
      </c>
      <c r="P55" s="229" t="s">
        <v>78</v>
      </c>
      <c r="Q55" s="229" t="s">
        <v>8</v>
      </c>
      <c r="R55" s="229" t="s">
        <v>78</v>
      </c>
    </row>
    <row r="56" spans="1:20" s="11" customFormat="1" ht="47.25" customHeight="1" x14ac:dyDescent="0.25">
      <c r="A56" s="230"/>
      <c r="B56" s="230"/>
      <c r="C56" s="237"/>
      <c r="D56" s="230"/>
      <c r="E56" s="12"/>
      <c r="F56" s="229"/>
      <c r="G56" s="79"/>
      <c r="H56" s="229"/>
      <c r="I56" s="229"/>
      <c r="J56" s="229"/>
      <c r="K56" s="229"/>
      <c r="L56" s="229"/>
      <c r="M56" s="229"/>
      <c r="N56" s="229"/>
      <c r="O56" s="229"/>
      <c r="P56" s="229"/>
      <c r="Q56" s="229"/>
      <c r="R56" s="229"/>
    </row>
    <row r="57" spans="1:20" ht="88.5" customHeight="1" x14ac:dyDescent="0.25">
      <c r="A57" s="240" t="s">
        <v>39</v>
      </c>
      <c r="B57" s="238" t="s">
        <v>13</v>
      </c>
      <c r="C57" s="238" t="s">
        <v>72</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41"/>
      <c r="B58" s="239"/>
      <c r="C58" s="239"/>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30" t="s">
        <v>2</v>
      </c>
      <c r="B63" s="230" t="s">
        <v>3</v>
      </c>
      <c r="C63" s="235" t="s">
        <v>66</v>
      </c>
      <c r="D63" s="230" t="s">
        <v>19</v>
      </c>
      <c r="E63" s="10"/>
      <c r="F63" s="70">
        <v>2016</v>
      </c>
      <c r="G63" s="78"/>
      <c r="H63" s="230">
        <v>2017</v>
      </c>
      <c r="I63" s="230"/>
      <c r="J63" s="230"/>
      <c r="K63" s="230">
        <v>2018</v>
      </c>
      <c r="L63" s="230"/>
      <c r="M63" s="230">
        <v>2019</v>
      </c>
      <c r="N63" s="230"/>
      <c r="O63" s="230">
        <v>2020</v>
      </c>
      <c r="P63" s="230"/>
      <c r="Q63" s="230" t="s">
        <v>77</v>
      </c>
      <c r="R63" s="230"/>
    </row>
    <row r="64" spans="1:20" s="11" customFormat="1" ht="15" customHeight="1" x14ac:dyDescent="0.25">
      <c r="A64" s="230"/>
      <c r="B64" s="230"/>
      <c r="C64" s="236"/>
      <c r="D64" s="230"/>
      <c r="E64" s="10"/>
      <c r="F64" s="229" t="s">
        <v>8</v>
      </c>
      <c r="G64" s="78"/>
      <c r="H64" s="229" t="s">
        <v>8</v>
      </c>
      <c r="I64" s="229" t="s">
        <v>83</v>
      </c>
      <c r="J64" s="229" t="s">
        <v>79</v>
      </c>
      <c r="K64" s="229" t="s">
        <v>8</v>
      </c>
      <c r="L64" s="229" t="s">
        <v>78</v>
      </c>
      <c r="M64" s="229" t="s">
        <v>8</v>
      </c>
      <c r="N64" s="229" t="s">
        <v>78</v>
      </c>
      <c r="O64" s="229" t="s">
        <v>8</v>
      </c>
      <c r="P64" s="229" t="s">
        <v>78</v>
      </c>
      <c r="Q64" s="229" t="s">
        <v>8</v>
      </c>
      <c r="R64" s="229" t="s">
        <v>78</v>
      </c>
    </row>
    <row r="65" spans="1:20" s="11" customFormat="1" ht="47.25" customHeight="1" x14ac:dyDescent="0.25">
      <c r="A65" s="230"/>
      <c r="B65" s="230"/>
      <c r="C65" s="237"/>
      <c r="D65" s="230"/>
      <c r="E65" s="12"/>
      <c r="F65" s="229"/>
      <c r="G65" s="79"/>
      <c r="H65" s="229"/>
      <c r="I65" s="229"/>
      <c r="J65" s="229"/>
      <c r="K65" s="229"/>
      <c r="L65" s="229"/>
      <c r="M65" s="229"/>
      <c r="N65" s="229"/>
      <c r="O65" s="229"/>
      <c r="P65" s="229"/>
      <c r="Q65" s="229"/>
      <c r="R65" s="229"/>
    </row>
    <row r="66" spans="1:20" ht="150.75" customHeight="1" x14ac:dyDescent="0.25">
      <c r="A66" s="38" t="s">
        <v>44</v>
      </c>
      <c r="B66" s="24" t="s">
        <v>45</v>
      </c>
      <c r="C66" s="24" t="s">
        <v>73</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S117"/>
  <sheetViews>
    <sheetView tabSelected="1" topLeftCell="A2" zoomScale="78" zoomScaleNormal="78" workbookViewId="0">
      <pane xSplit="6" ySplit="15" topLeftCell="G17" activePane="bottomRight" state="frozen"/>
      <selection activeCell="A2" sqref="A2"/>
      <selection pane="topRight" activeCell="G2" sqref="G2"/>
      <selection pane="bottomLeft" activeCell="A17" sqref="A17"/>
      <selection pane="bottomRight" activeCell="P21" sqref="P21"/>
    </sheetView>
  </sheetViews>
  <sheetFormatPr baseColWidth="10" defaultColWidth="11.42578125" defaultRowHeight="15" x14ac:dyDescent="0.25"/>
  <cols>
    <col min="1" max="1" width="7.42578125" style="115"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66" customWidth="1"/>
    <col min="10" max="10" width="10.7109375" style="115" customWidth="1"/>
    <col min="11" max="11" width="10.7109375" style="50" customWidth="1"/>
    <col min="12" max="12" width="19.7109375" style="206" customWidth="1"/>
    <col min="13" max="13" width="18.7109375" style="50" customWidth="1"/>
    <col min="14" max="14" width="0.5703125" style="166"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18.7109375" style="50" customWidth="1"/>
    <col min="23" max="23" width="14.7109375" style="50" bestFit="1" customWidth="1"/>
    <col min="24" max="24" width="0.5703125" style="50" customWidth="1"/>
    <col min="25" max="26" width="10.7109375" style="50" customWidth="1"/>
    <col min="27" max="27" width="20.5703125" style="50" customWidth="1"/>
    <col min="28" max="28" width="13.140625" style="50" bestFit="1" customWidth="1"/>
    <col min="29" max="29" width="0.85546875" style="50" customWidth="1"/>
    <col min="30" max="31" width="10.7109375" style="50" customWidth="1"/>
    <col min="32" max="32" width="19" style="50" customWidth="1"/>
    <col min="33" max="33" width="18.140625" style="50" customWidth="1"/>
    <col min="34" max="34" width="1.42578125" style="50" customWidth="1"/>
    <col min="35" max="35" width="15.28515625" style="91" customWidth="1"/>
    <col min="36" max="36" width="15.5703125" style="91" customWidth="1"/>
    <col min="37" max="37" width="19.140625" style="91" customWidth="1"/>
    <col min="38" max="38" width="20.85546875" style="91" customWidth="1"/>
    <col min="39" max="39" width="12.7109375" style="91" hidden="1" customWidth="1"/>
    <col min="40" max="40" width="13.140625" style="50" hidden="1" customWidth="1"/>
    <col min="41" max="41" width="10" style="50" hidden="1" customWidth="1"/>
    <col min="42" max="42" width="10.7109375" style="50" hidden="1" customWidth="1"/>
    <col min="43" max="43" width="6" style="50" hidden="1" customWidth="1"/>
    <col min="44" max="44" width="7.7109375" style="50" hidden="1" customWidth="1"/>
    <col min="45" max="45" width="6.85546875" style="50" hidden="1" customWidth="1"/>
    <col min="46" max="16384" width="11.42578125" style="50"/>
  </cols>
  <sheetData>
    <row r="1" spans="1:40" hidden="1" x14ac:dyDescent="0.25">
      <c r="A1" s="50"/>
      <c r="L1" s="127">
        <v>1000000</v>
      </c>
    </row>
    <row r="2" spans="1:40" s="168" customFormat="1" x14ac:dyDescent="0.25">
      <c r="A2" s="287" t="s">
        <v>0</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9"/>
      <c r="AM2" s="167"/>
    </row>
    <row r="3" spans="1:40" s="168" customFormat="1" x14ac:dyDescent="0.25">
      <c r="A3" s="287" t="s">
        <v>91</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9"/>
      <c r="AM3" s="167"/>
    </row>
    <row r="4" spans="1:40" s="168" customFormat="1" x14ac:dyDescent="0.25">
      <c r="A4" s="287" t="s">
        <v>0</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9"/>
      <c r="AM4" s="167"/>
    </row>
    <row r="5" spans="1:40" s="168" customFormat="1" x14ac:dyDescent="0.25">
      <c r="A5" s="287" t="s">
        <v>92</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9"/>
      <c r="AM5" s="167"/>
    </row>
    <row r="6" spans="1:40" s="168" customFormat="1" x14ac:dyDescent="0.25">
      <c r="A6" s="287"/>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9"/>
      <c r="AM6" s="167"/>
    </row>
    <row r="7" spans="1:40" s="170" customFormat="1" ht="15.75" customHeight="1" x14ac:dyDescent="0.2">
      <c r="A7" s="281"/>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169"/>
    </row>
    <row r="8" spans="1:40" s="168" customFormat="1" ht="12.75" hidden="1" x14ac:dyDescent="0.2">
      <c r="A8" s="171"/>
      <c r="B8" s="172"/>
      <c r="C8" s="172"/>
      <c r="D8" s="172"/>
      <c r="E8" s="172"/>
      <c r="F8" s="172"/>
      <c r="G8" s="172"/>
      <c r="H8" s="172"/>
      <c r="I8" s="173"/>
      <c r="J8" s="171"/>
      <c r="K8" s="173"/>
      <c r="L8" s="174"/>
      <c r="M8" s="173"/>
      <c r="N8" s="173"/>
      <c r="O8" s="173"/>
      <c r="P8" s="173"/>
      <c r="Q8" s="173"/>
      <c r="R8" s="173"/>
      <c r="T8" s="175"/>
      <c r="U8" s="175"/>
      <c r="V8" s="175"/>
      <c r="W8" s="175"/>
      <c r="Y8" s="175"/>
      <c r="Z8" s="175"/>
      <c r="AA8" s="175"/>
      <c r="AB8" s="175"/>
      <c r="AD8" s="173"/>
      <c r="AE8" s="173"/>
      <c r="AF8" s="175"/>
      <c r="AG8" s="175"/>
      <c r="AI8" s="176"/>
      <c r="AJ8" s="176"/>
      <c r="AK8" s="176"/>
      <c r="AL8" s="177"/>
      <c r="AM8" s="167"/>
    </row>
    <row r="9" spans="1:40" hidden="1" x14ac:dyDescent="0.25">
      <c r="A9" s="114">
        <v>1</v>
      </c>
      <c r="B9" s="101" t="s">
        <v>93</v>
      </c>
      <c r="C9" s="277" t="s">
        <v>96</v>
      </c>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row>
    <row r="10" spans="1:40" hidden="1" x14ac:dyDescent="0.25">
      <c r="A10" s="113">
        <v>8</v>
      </c>
      <c r="B10" s="6" t="s">
        <v>155</v>
      </c>
      <c r="C10" s="277" t="s">
        <v>156</v>
      </c>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row>
    <row r="11" spans="1:40" hidden="1" x14ac:dyDescent="0.25">
      <c r="A11" s="113">
        <v>19</v>
      </c>
      <c r="B11" s="6" t="s">
        <v>94</v>
      </c>
      <c r="C11" s="277" t="s">
        <v>154</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row>
    <row r="12" spans="1:40" ht="30" hidden="1" x14ac:dyDescent="0.25">
      <c r="A12" s="113">
        <v>3</v>
      </c>
      <c r="B12" s="102" t="s">
        <v>97</v>
      </c>
      <c r="C12" s="277" t="s">
        <v>95</v>
      </c>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row>
    <row r="13" spans="1:40" ht="13.9" customHeight="1" x14ac:dyDescent="0.25">
      <c r="F13" s="166"/>
      <c r="G13" s="166"/>
      <c r="H13" s="166"/>
      <c r="I13" s="50"/>
      <c r="J13" s="178"/>
      <c r="K13" s="166"/>
      <c r="L13" s="179"/>
      <c r="M13" s="166"/>
      <c r="N13" s="50"/>
      <c r="O13" s="166"/>
      <c r="P13" s="166"/>
      <c r="Q13" s="166"/>
      <c r="R13" s="90">
        <v>1000000</v>
      </c>
      <c r="T13" s="90"/>
      <c r="U13" s="90"/>
      <c r="V13" s="90">
        <v>1000000</v>
      </c>
      <c r="W13" s="90">
        <v>1000000</v>
      </c>
      <c r="Y13" s="90"/>
      <c r="Z13" s="90"/>
      <c r="AA13" s="90"/>
      <c r="AB13" s="90">
        <v>1000000</v>
      </c>
      <c r="AD13" s="166"/>
      <c r="AE13" s="166"/>
      <c r="AF13" s="90"/>
      <c r="AG13" s="90">
        <v>1000000</v>
      </c>
      <c r="AI13" s="92"/>
      <c r="AJ13" s="92"/>
      <c r="AK13" s="92"/>
    </row>
    <row r="14" spans="1:40" s="11" customFormat="1" ht="27" customHeight="1" x14ac:dyDescent="0.25">
      <c r="A14" s="260" t="s">
        <v>2</v>
      </c>
      <c r="B14" s="235" t="s">
        <v>3</v>
      </c>
      <c r="C14" s="275" t="s">
        <v>86</v>
      </c>
      <c r="D14" s="235" t="s">
        <v>66</v>
      </c>
      <c r="E14" s="275" t="s">
        <v>167</v>
      </c>
      <c r="F14" s="257" t="s">
        <v>100</v>
      </c>
      <c r="G14" s="284" t="s">
        <v>89</v>
      </c>
      <c r="H14" s="230" t="s">
        <v>168</v>
      </c>
      <c r="I14" s="10"/>
      <c r="J14" s="230">
        <v>2020</v>
      </c>
      <c r="K14" s="230"/>
      <c r="L14" s="230"/>
      <c r="M14" s="230"/>
      <c r="N14" s="10"/>
      <c r="O14" s="230">
        <v>2021</v>
      </c>
      <c r="P14" s="230"/>
      <c r="Q14" s="230"/>
      <c r="R14" s="230"/>
      <c r="T14" s="230">
        <v>2022</v>
      </c>
      <c r="U14" s="230"/>
      <c r="V14" s="230"/>
      <c r="W14" s="230"/>
      <c r="Y14" s="230">
        <v>2023</v>
      </c>
      <c r="Z14" s="230"/>
      <c r="AA14" s="230"/>
      <c r="AB14" s="230"/>
      <c r="AD14" s="231">
        <v>2024</v>
      </c>
      <c r="AE14" s="232"/>
      <c r="AF14" s="232"/>
      <c r="AG14" s="232"/>
      <c r="AI14" s="278" t="s">
        <v>101</v>
      </c>
      <c r="AJ14" s="278"/>
      <c r="AK14" s="278"/>
      <c r="AL14" s="278"/>
      <c r="AM14" s="95"/>
    </row>
    <row r="15" spans="1:40" s="11" customFormat="1" ht="16.5" customHeight="1" x14ac:dyDescent="0.25">
      <c r="A15" s="261"/>
      <c r="B15" s="236"/>
      <c r="C15" s="258"/>
      <c r="D15" s="236"/>
      <c r="E15" s="258"/>
      <c r="F15" s="258"/>
      <c r="G15" s="284"/>
      <c r="H15" s="230"/>
      <c r="I15" s="10"/>
      <c r="J15" s="230" t="s">
        <v>4</v>
      </c>
      <c r="K15" s="230"/>
      <c r="L15" s="230" t="s">
        <v>61</v>
      </c>
      <c r="M15" s="230"/>
      <c r="N15" s="10"/>
      <c r="O15" s="230" t="s">
        <v>6</v>
      </c>
      <c r="P15" s="230"/>
      <c r="Q15" s="230" t="s">
        <v>8</v>
      </c>
      <c r="R15" s="230"/>
      <c r="S15" s="10"/>
      <c r="T15" s="230" t="s">
        <v>7</v>
      </c>
      <c r="U15" s="230"/>
      <c r="V15" s="230" t="s">
        <v>8</v>
      </c>
      <c r="W15" s="230"/>
      <c r="Y15" s="230" t="s">
        <v>7</v>
      </c>
      <c r="Z15" s="230"/>
      <c r="AA15" s="230" t="s">
        <v>8</v>
      </c>
      <c r="AB15" s="230"/>
      <c r="AD15" s="230" t="s">
        <v>7</v>
      </c>
      <c r="AE15" s="230"/>
      <c r="AF15" s="230" t="s">
        <v>8</v>
      </c>
      <c r="AG15" s="230"/>
      <c r="AI15" s="275" t="s">
        <v>4</v>
      </c>
      <c r="AJ15" s="275" t="s">
        <v>65</v>
      </c>
      <c r="AK15" s="275" t="s">
        <v>8</v>
      </c>
      <c r="AL15" s="275" t="s">
        <v>5</v>
      </c>
      <c r="AM15" s="95"/>
    </row>
    <row r="16" spans="1:40" s="11" customFormat="1" ht="30" x14ac:dyDescent="0.25">
      <c r="A16" s="262"/>
      <c r="B16" s="237"/>
      <c r="C16" s="276"/>
      <c r="D16" s="237"/>
      <c r="E16" s="276"/>
      <c r="F16" s="259"/>
      <c r="G16" s="284"/>
      <c r="H16" s="230"/>
      <c r="I16" s="12"/>
      <c r="J16" s="161" t="s">
        <v>59</v>
      </c>
      <c r="K16" s="161" t="s">
        <v>60</v>
      </c>
      <c r="L16" s="180" t="s">
        <v>63</v>
      </c>
      <c r="M16" s="161" t="s">
        <v>62</v>
      </c>
      <c r="N16" s="12"/>
      <c r="O16" s="181" t="s">
        <v>59</v>
      </c>
      <c r="P16" s="161" t="s">
        <v>60</v>
      </c>
      <c r="Q16" s="180" t="s">
        <v>63</v>
      </c>
      <c r="R16" s="161" t="s">
        <v>62</v>
      </c>
      <c r="S16" s="10"/>
      <c r="T16" s="181" t="s">
        <v>59</v>
      </c>
      <c r="U16" s="161" t="s">
        <v>60</v>
      </c>
      <c r="V16" s="180" t="s">
        <v>63</v>
      </c>
      <c r="W16" s="161" t="s">
        <v>62</v>
      </c>
      <c r="Y16" s="161" t="s">
        <v>59</v>
      </c>
      <c r="Z16" s="161" t="s">
        <v>60</v>
      </c>
      <c r="AA16" s="161" t="s">
        <v>63</v>
      </c>
      <c r="AB16" s="161" t="s">
        <v>62</v>
      </c>
      <c r="AD16" s="161" t="s">
        <v>59</v>
      </c>
      <c r="AE16" s="161" t="s">
        <v>60</v>
      </c>
      <c r="AF16" s="161" t="s">
        <v>63</v>
      </c>
      <c r="AG16" s="161" t="s">
        <v>62</v>
      </c>
      <c r="AI16" s="276"/>
      <c r="AJ16" s="276"/>
      <c r="AK16" s="276"/>
      <c r="AL16" s="276"/>
      <c r="AM16" s="95"/>
      <c r="AN16" s="95"/>
    </row>
    <row r="17" spans="1:42" s="182" customFormat="1" ht="75.75" customHeight="1" x14ac:dyDescent="0.25">
      <c r="A17" s="269" t="s">
        <v>98</v>
      </c>
      <c r="B17" s="238" t="s">
        <v>99</v>
      </c>
      <c r="C17" s="238" t="s">
        <v>88</v>
      </c>
      <c r="D17" s="238" t="s">
        <v>149</v>
      </c>
      <c r="E17" s="271" t="str">
        <f>C10</f>
        <v xml:space="preserve">Aumentar el acceso a vivienda digna, espacio público y equipamientos de la población vulnerable en suelo urbano y rural </v>
      </c>
      <c r="F17" s="112" t="s">
        <v>158</v>
      </c>
      <c r="G17" s="112" t="s">
        <v>103</v>
      </c>
      <c r="H17" s="279" t="str">
        <f>C12</f>
        <v>Sistema Distrital de Cuidado</v>
      </c>
      <c r="I17" s="14"/>
      <c r="J17" s="104">
        <v>0.05</v>
      </c>
      <c r="K17" s="104">
        <v>0.05</v>
      </c>
      <c r="L17" s="122"/>
      <c r="M17" s="106"/>
      <c r="N17" s="23"/>
      <c r="O17" s="108">
        <v>0.3</v>
      </c>
      <c r="P17" s="153" t="s">
        <v>174</v>
      </c>
      <c r="Q17" s="106"/>
      <c r="R17" s="106"/>
      <c r="T17" s="183">
        <v>0.65</v>
      </c>
      <c r="U17" s="184">
        <v>0.63460000000000005</v>
      </c>
      <c r="V17" s="185"/>
      <c r="W17" s="186"/>
      <c r="X17" s="97"/>
      <c r="Y17" s="191">
        <v>0.95</v>
      </c>
      <c r="Z17" s="191">
        <v>0.78359999999999996</v>
      </c>
      <c r="AA17" s="185"/>
      <c r="AB17" s="186"/>
      <c r="AC17" s="97"/>
      <c r="AD17" s="110">
        <v>1</v>
      </c>
      <c r="AE17" s="110">
        <v>0</v>
      </c>
      <c r="AF17" s="185"/>
      <c r="AG17" s="186"/>
      <c r="AI17" s="110">
        <f>AD17</f>
        <v>1</v>
      </c>
      <c r="AJ17" s="144">
        <f>+Z17</f>
        <v>0.78359999999999996</v>
      </c>
      <c r="AK17" s="111">
        <f t="shared" ref="AK17:AL21" si="0">L17+Q17+V17+AA17+AF17</f>
        <v>0</v>
      </c>
      <c r="AL17" s="111">
        <f t="shared" si="0"/>
        <v>0</v>
      </c>
      <c r="AM17" s="103"/>
    </row>
    <row r="18" spans="1:42" ht="90" x14ac:dyDescent="0.25">
      <c r="A18" s="270"/>
      <c r="B18" s="245"/>
      <c r="C18" s="245"/>
      <c r="D18" s="245"/>
      <c r="E18" s="272"/>
      <c r="F18" s="13" t="s">
        <v>104</v>
      </c>
      <c r="G18" s="13" t="s">
        <v>169</v>
      </c>
      <c r="H18" s="280"/>
      <c r="I18" s="14"/>
      <c r="J18" s="15">
        <v>20</v>
      </c>
      <c r="K18" s="15">
        <v>20</v>
      </c>
      <c r="L18" s="123">
        <v>1562.1521029999999</v>
      </c>
      <c r="M18" s="29">
        <v>1072.7394810000001</v>
      </c>
      <c r="N18" s="23"/>
      <c r="O18" s="89">
        <v>280</v>
      </c>
      <c r="P18" s="15">
        <v>280</v>
      </c>
      <c r="Q18" s="29">
        <f>4680171442/L1</f>
        <v>4680.1714419999998</v>
      </c>
      <c r="R18" s="62">
        <f>4544842307/L1</f>
        <v>4544.8423069999999</v>
      </c>
      <c r="S18" s="182"/>
      <c r="T18" s="187">
        <v>565</v>
      </c>
      <c r="U18" s="187">
        <v>536</v>
      </c>
      <c r="V18" s="29">
        <f>4974978666/L1</f>
        <v>4974.978666</v>
      </c>
      <c r="W18" s="62">
        <f>4964166750/L1</f>
        <v>4964.1667500000003</v>
      </c>
      <c r="X18" s="97"/>
      <c r="Y18" s="89">
        <v>414</v>
      </c>
      <c r="Z18" s="187">
        <v>422</v>
      </c>
      <c r="AA18" s="218">
        <f>6584113084/L1</f>
        <v>6584.1130839999996</v>
      </c>
      <c r="AB18" s="188">
        <f>4881512486/L1</f>
        <v>4881.5124859999996</v>
      </c>
      <c r="AC18" s="97"/>
      <c r="AD18" s="89">
        <v>0</v>
      </c>
      <c r="AE18" s="89">
        <v>0</v>
      </c>
      <c r="AF18" s="29">
        <v>0</v>
      </c>
      <c r="AG18" s="188"/>
      <c r="AH18" s="182"/>
      <c r="AI18" s="89">
        <f>J18+O18+T18+Y18+AD18-29</f>
        <v>1250</v>
      </c>
      <c r="AJ18" s="89">
        <f t="shared" ref="AI18:AJ21" si="1">K18+P18+U18+Z18+AE18</f>
        <v>1258</v>
      </c>
      <c r="AK18" s="61">
        <f t="shared" si="0"/>
        <v>17801.415294999999</v>
      </c>
      <c r="AL18" s="61">
        <f t="shared" si="0"/>
        <v>15463.261023999999</v>
      </c>
      <c r="AM18" s="96"/>
    </row>
    <row r="19" spans="1:42" ht="75" x14ac:dyDescent="0.25">
      <c r="A19" s="270"/>
      <c r="B19" s="245"/>
      <c r="C19" s="245"/>
      <c r="D19" s="245"/>
      <c r="E19" s="272"/>
      <c r="F19" s="13" t="s">
        <v>105</v>
      </c>
      <c r="G19" s="13" t="s">
        <v>106</v>
      </c>
      <c r="H19" s="280"/>
      <c r="I19" s="14"/>
      <c r="J19" s="15">
        <v>0</v>
      </c>
      <c r="K19" s="15">
        <v>0</v>
      </c>
      <c r="L19" s="123">
        <v>0</v>
      </c>
      <c r="M19" s="29"/>
      <c r="N19" s="23"/>
      <c r="O19" s="89">
        <v>0</v>
      </c>
      <c r="P19" s="15">
        <v>0</v>
      </c>
      <c r="Q19" s="29">
        <f>1456900000/L1</f>
        <v>1456.9</v>
      </c>
      <c r="R19" s="29">
        <f>1454454730/L1</f>
        <v>1454.4547299999999</v>
      </c>
      <c r="S19" s="182"/>
      <c r="T19" s="187">
        <v>546</v>
      </c>
      <c r="U19" s="187">
        <v>546</v>
      </c>
      <c r="V19" s="29">
        <f>6858418529/L1</f>
        <v>6858.4185289999996</v>
      </c>
      <c r="W19" s="29">
        <f>6833220789/L1</f>
        <v>6833.220789</v>
      </c>
      <c r="X19" s="97"/>
      <c r="Y19" s="89">
        <v>604</v>
      </c>
      <c r="Z19" s="187">
        <v>300</v>
      </c>
      <c r="AA19" s="29">
        <f>7302618058/L1</f>
        <v>7302.618058</v>
      </c>
      <c r="AB19" s="188">
        <f>5325542380/L1</f>
        <v>5325.5423799999999</v>
      </c>
      <c r="AC19" s="97"/>
      <c r="AD19" s="89">
        <v>100</v>
      </c>
      <c r="AE19" s="89">
        <v>0</v>
      </c>
      <c r="AF19" s="29">
        <f>5230488000/L1</f>
        <v>5230.4880000000003</v>
      </c>
      <c r="AG19" s="189"/>
      <c r="AH19" s="182"/>
      <c r="AI19" s="89">
        <f t="shared" si="1"/>
        <v>1250</v>
      </c>
      <c r="AJ19" s="89">
        <f t="shared" si="1"/>
        <v>846</v>
      </c>
      <c r="AK19" s="61">
        <f t="shared" si="0"/>
        <v>20848.424587000001</v>
      </c>
      <c r="AL19" s="61">
        <f t="shared" si="0"/>
        <v>13613.217898999999</v>
      </c>
      <c r="AM19" s="149"/>
    </row>
    <row r="20" spans="1:42" ht="49.5" customHeight="1" x14ac:dyDescent="0.25">
      <c r="A20" s="270"/>
      <c r="B20" s="245"/>
      <c r="C20" s="245"/>
      <c r="D20" s="245"/>
      <c r="E20" s="272"/>
      <c r="F20" s="13" t="s">
        <v>173</v>
      </c>
      <c r="G20" s="13" t="s">
        <v>106</v>
      </c>
      <c r="H20" s="280"/>
      <c r="I20" s="14"/>
      <c r="J20" s="15">
        <v>0</v>
      </c>
      <c r="K20" s="15">
        <v>0</v>
      </c>
      <c r="L20" s="123">
        <v>0</v>
      </c>
      <c r="M20" s="29"/>
      <c r="N20" s="23"/>
      <c r="O20" s="89">
        <v>406</v>
      </c>
      <c r="P20" s="89">
        <v>406</v>
      </c>
      <c r="Q20" s="29">
        <f>165096800/L1</f>
        <v>165.0968</v>
      </c>
      <c r="R20" s="29">
        <f>123822600/L1</f>
        <v>123.82259999999999</v>
      </c>
      <c r="S20" s="182"/>
      <c r="T20" s="187">
        <v>1647</v>
      </c>
      <c r="U20" s="187">
        <v>1647</v>
      </c>
      <c r="V20" s="29">
        <f>162794289/L1</f>
        <v>162.79428899999999</v>
      </c>
      <c r="W20" s="29">
        <f>158517729/L1</f>
        <v>158.517729</v>
      </c>
      <c r="X20" s="97"/>
      <c r="Y20" s="89">
        <v>1700</v>
      </c>
      <c r="Z20" s="187">
        <v>1222</v>
      </c>
      <c r="AA20" s="29">
        <f>1501887880/L1</f>
        <v>1501.88788</v>
      </c>
      <c r="AB20" s="188">
        <f>283940000/L1</f>
        <v>283.94</v>
      </c>
      <c r="AC20" s="97"/>
      <c r="AD20" s="89">
        <v>1247</v>
      </c>
      <c r="AE20" s="89">
        <v>0</v>
      </c>
      <c r="AF20" s="29">
        <f>2674490000/L1</f>
        <v>2674.49</v>
      </c>
      <c r="AG20" s="189"/>
      <c r="AH20" s="182"/>
      <c r="AI20" s="89">
        <f t="shared" si="1"/>
        <v>5000</v>
      </c>
      <c r="AJ20" s="89">
        <f t="shared" si="1"/>
        <v>3275</v>
      </c>
      <c r="AK20" s="61">
        <f t="shared" si="0"/>
        <v>4504.2689689999997</v>
      </c>
      <c r="AL20" s="61">
        <f t="shared" si="0"/>
        <v>566.28032899999994</v>
      </c>
      <c r="AM20" s="150"/>
    </row>
    <row r="21" spans="1:42" ht="49.5" customHeight="1" x14ac:dyDescent="0.25">
      <c r="A21" s="270"/>
      <c r="B21" s="245"/>
      <c r="C21" s="245"/>
      <c r="D21" s="245"/>
      <c r="E21" s="272"/>
      <c r="F21" s="13" t="s">
        <v>177</v>
      </c>
      <c r="G21" s="13"/>
      <c r="H21" s="280"/>
      <c r="I21" s="14"/>
      <c r="J21" s="15"/>
      <c r="K21" s="15"/>
      <c r="L21" s="123"/>
      <c r="M21" s="29"/>
      <c r="N21" s="23"/>
      <c r="O21" s="89"/>
      <c r="P21" s="89"/>
      <c r="Q21" s="29"/>
      <c r="R21" s="29"/>
      <c r="S21" s="182"/>
      <c r="T21" s="89">
        <v>58</v>
      </c>
      <c r="U21" s="187">
        <v>58</v>
      </c>
      <c r="V21" s="29">
        <f>27483586/L1</f>
        <v>27.483585999999999</v>
      </c>
      <c r="W21" s="62">
        <f>15651770/L1</f>
        <v>15.651770000000001</v>
      </c>
      <c r="X21" s="97"/>
      <c r="Y21" s="89">
        <v>600</v>
      </c>
      <c r="Z21" s="187">
        <v>0</v>
      </c>
      <c r="AA21" s="29">
        <f>85000000/L1</f>
        <v>85</v>
      </c>
      <c r="AB21" s="188">
        <f>51000000/L1</f>
        <v>51</v>
      </c>
      <c r="AC21" s="97"/>
      <c r="AD21" s="89">
        <v>692</v>
      </c>
      <c r="AE21" s="89">
        <v>0</v>
      </c>
      <c r="AF21" s="29">
        <f>580000000/L1</f>
        <v>580</v>
      </c>
      <c r="AG21" s="189"/>
      <c r="AH21" s="182"/>
      <c r="AI21" s="89">
        <f t="shared" si="1"/>
        <v>1350</v>
      </c>
      <c r="AJ21" s="89">
        <f t="shared" si="1"/>
        <v>58</v>
      </c>
      <c r="AK21" s="61">
        <f t="shared" si="0"/>
        <v>692.48358600000006</v>
      </c>
      <c r="AL21" s="61">
        <f t="shared" si="0"/>
        <v>66.651769999999999</v>
      </c>
      <c r="AM21" s="150"/>
    </row>
    <row r="22" spans="1:42" s="182" customFormat="1" ht="75.75" customHeight="1" x14ac:dyDescent="0.25">
      <c r="A22" s="270"/>
      <c r="B22" s="245"/>
      <c r="C22" s="245"/>
      <c r="D22" s="245"/>
      <c r="E22" s="272"/>
      <c r="F22" s="13" t="s">
        <v>157</v>
      </c>
      <c r="G22" s="13" t="s">
        <v>107</v>
      </c>
      <c r="H22" s="280"/>
      <c r="I22" s="14"/>
      <c r="J22" s="221">
        <v>0.3</v>
      </c>
      <c r="K22" s="221">
        <v>0.3</v>
      </c>
      <c r="L22" s="125"/>
      <c r="M22" s="29"/>
      <c r="N22" s="23"/>
      <c r="O22" s="26">
        <v>0.7</v>
      </c>
      <c r="P22" s="134">
        <v>0.67200000000000004</v>
      </c>
      <c r="Q22" s="29"/>
      <c r="R22" s="29"/>
      <c r="T22" s="192">
        <v>0.9</v>
      </c>
      <c r="U22" s="192">
        <v>1</v>
      </c>
      <c r="V22" s="202"/>
      <c r="W22" s="188"/>
      <c r="X22" s="97"/>
      <c r="Y22" s="192">
        <v>0.95</v>
      </c>
      <c r="Z22" s="192">
        <v>0.93899999999999995</v>
      </c>
      <c r="AA22" s="202"/>
      <c r="AB22" s="188"/>
      <c r="AC22" s="97"/>
      <c r="AD22" s="99">
        <v>1</v>
      </c>
      <c r="AE22" s="99">
        <v>0</v>
      </c>
      <c r="AF22" s="202"/>
      <c r="AG22" s="188"/>
      <c r="AI22" s="99">
        <f>AD22</f>
        <v>1</v>
      </c>
      <c r="AJ22" s="136">
        <f>Z22</f>
        <v>0.93899999999999995</v>
      </c>
      <c r="AK22" s="61">
        <f t="shared" ref="AJ22:AL23" si="2">L22+Q22+V22+AA22+AF22</f>
        <v>0</v>
      </c>
      <c r="AL22" s="61">
        <f t="shared" si="2"/>
        <v>0</v>
      </c>
      <c r="AM22" s="103"/>
    </row>
    <row r="23" spans="1:42" s="182" customFormat="1" ht="75.75" customHeight="1" x14ac:dyDescent="0.25">
      <c r="A23" s="270"/>
      <c r="B23" s="245"/>
      <c r="C23" s="245"/>
      <c r="D23" s="245"/>
      <c r="E23" s="272"/>
      <c r="F23" s="112" t="s">
        <v>157</v>
      </c>
      <c r="G23" s="112" t="s">
        <v>170</v>
      </c>
      <c r="H23" s="280"/>
      <c r="I23" s="14"/>
      <c r="J23" s="104">
        <v>1</v>
      </c>
      <c r="K23" s="104">
        <v>1</v>
      </c>
      <c r="L23" s="122"/>
      <c r="M23" s="106"/>
      <c r="N23" s="107"/>
      <c r="O23" s="110">
        <v>0</v>
      </c>
      <c r="P23" s="144">
        <v>0</v>
      </c>
      <c r="Q23" s="106"/>
      <c r="R23" s="106"/>
      <c r="S23" s="190"/>
      <c r="T23" s="183">
        <v>0</v>
      </c>
      <c r="U23" s="183">
        <v>0</v>
      </c>
      <c r="V23" s="185"/>
      <c r="W23" s="186"/>
      <c r="X23" s="109"/>
      <c r="Y23" s="183">
        <v>0</v>
      </c>
      <c r="Z23" s="183">
        <v>0</v>
      </c>
      <c r="AA23" s="185"/>
      <c r="AB23" s="186"/>
      <c r="AC23" s="109"/>
      <c r="AD23" s="110">
        <v>0</v>
      </c>
      <c r="AE23" s="110">
        <v>0</v>
      </c>
      <c r="AF23" s="185"/>
      <c r="AG23" s="186"/>
      <c r="AH23" s="190"/>
      <c r="AI23" s="110">
        <f>J23+O23+T23+Y23+AD23</f>
        <v>1</v>
      </c>
      <c r="AJ23" s="110">
        <f t="shared" si="2"/>
        <v>1</v>
      </c>
      <c r="AK23" s="111">
        <f t="shared" si="2"/>
        <v>0</v>
      </c>
      <c r="AL23" s="111">
        <f t="shared" si="2"/>
        <v>0</v>
      </c>
      <c r="AM23" s="103"/>
    </row>
    <row r="24" spans="1:42" ht="60" x14ac:dyDescent="0.25">
      <c r="A24" s="270"/>
      <c r="B24" s="245"/>
      <c r="C24" s="245"/>
      <c r="D24" s="245"/>
      <c r="E24" s="272"/>
      <c r="F24" s="13" t="s">
        <v>108</v>
      </c>
      <c r="G24" s="13" t="s">
        <v>109</v>
      </c>
      <c r="H24" s="280"/>
      <c r="I24" s="14"/>
      <c r="J24" s="15">
        <v>50</v>
      </c>
      <c r="K24" s="15">
        <v>50</v>
      </c>
      <c r="L24" s="123">
        <v>3103.2696059999998</v>
      </c>
      <c r="M24" s="29">
        <v>2913.9473720000001</v>
      </c>
      <c r="N24" s="23"/>
      <c r="O24" s="15">
        <v>250</v>
      </c>
      <c r="P24" s="15">
        <v>250</v>
      </c>
      <c r="Q24" s="62">
        <f>3932276784/L1</f>
        <v>3932.2767840000001</v>
      </c>
      <c r="R24" s="62">
        <f>3805545713/L1</f>
        <v>3805.545713</v>
      </c>
      <c r="S24" s="182"/>
      <c r="T24" s="89">
        <v>500</v>
      </c>
      <c r="U24" s="187">
        <v>500</v>
      </c>
      <c r="V24" s="29">
        <f>1940129558/L1</f>
        <v>1940.1295580000001</v>
      </c>
      <c r="W24" s="62">
        <f>1927155006/L1</f>
        <v>1927.155006</v>
      </c>
      <c r="X24" s="97"/>
      <c r="Y24" s="89">
        <v>500</v>
      </c>
      <c r="Z24" s="187">
        <v>289</v>
      </c>
      <c r="AA24" s="29">
        <f>1645257165/L1</f>
        <v>1645.257165</v>
      </c>
      <c r="AB24" s="189">
        <f>1222238893/L1</f>
        <v>1222.238893</v>
      </c>
      <c r="AC24" s="97"/>
      <c r="AD24" s="89">
        <v>200</v>
      </c>
      <c r="AE24" s="89">
        <v>0</v>
      </c>
      <c r="AF24" s="29">
        <f>1494530000/L1</f>
        <v>1494.53</v>
      </c>
      <c r="AG24" s="189"/>
      <c r="AH24" s="182"/>
      <c r="AI24" s="89">
        <f>J24+O24+T24+Y24+AD24</f>
        <v>1500</v>
      </c>
      <c r="AJ24" s="89">
        <f>K24+P24+U24+Z24+AE24</f>
        <v>1089</v>
      </c>
      <c r="AK24" s="61">
        <f>L24+Q24+V24+AA24+AF24</f>
        <v>12115.463113</v>
      </c>
      <c r="AL24" s="61">
        <f>M24+R24+W24+AB24+AG24</f>
        <v>9868.8869839999988</v>
      </c>
    </row>
    <row r="25" spans="1:42" s="182" customFormat="1" ht="75.75" customHeight="1" x14ac:dyDescent="0.25">
      <c r="A25" s="270"/>
      <c r="B25" s="245"/>
      <c r="C25" s="245"/>
      <c r="D25" s="245"/>
      <c r="E25" s="272"/>
      <c r="F25" s="112" t="s">
        <v>159</v>
      </c>
      <c r="G25" s="112" t="s">
        <v>110</v>
      </c>
      <c r="H25" s="280"/>
      <c r="I25" s="14"/>
      <c r="J25" s="104">
        <v>0.2</v>
      </c>
      <c r="K25" s="104">
        <v>0.2</v>
      </c>
      <c r="L25" s="122"/>
      <c r="M25" s="106"/>
      <c r="N25" s="107"/>
      <c r="O25" s="108">
        <v>0.45</v>
      </c>
      <c r="P25" s="154">
        <v>0.40749999999999997</v>
      </c>
      <c r="Q25" s="106"/>
      <c r="R25" s="106"/>
      <c r="S25" s="190"/>
      <c r="T25" s="183">
        <v>0.8</v>
      </c>
      <c r="U25" s="191">
        <v>0.7843</v>
      </c>
      <c r="V25" s="185"/>
      <c r="W25" s="186"/>
      <c r="X25" s="109"/>
      <c r="Y25" s="183">
        <v>0.9</v>
      </c>
      <c r="Z25" s="191">
        <v>0.88</v>
      </c>
      <c r="AA25" s="29"/>
      <c r="AB25" s="186"/>
      <c r="AC25" s="109"/>
      <c r="AD25" s="110">
        <v>1</v>
      </c>
      <c r="AE25" s="110">
        <v>0</v>
      </c>
      <c r="AF25" s="29"/>
      <c r="AG25" s="186"/>
      <c r="AH25" s="190"/>
      <c r="AI25" s="110">
        <f>+AD25</f>
        <v>1</v>
      </c>
      <c r="AJ25" s="144">
        <f>+Z25</f>
        <v>0.88</v>
      </c>
      <c r="AK25" s="111">
        <f>L25+Q25+V25+AA25+AF25</f>
        <v>0</v>
      </c>
      <c r="AL25" s="111">
        <f>M25+R25+W25+AB25+AG25</f>
        <v>0</v>
      </c>
      <c r="AM25" s="103"/>
    </row>
    <row r="26" spans="1:42" s="182" customFormat="1" ht="75" x14ac:dyDescent="0.25">
      <c r="A26" s="270"/>
      <c r="B26" s="239"/>
      <c r="C26" s="239"/>
      <c r="D26" s="239"/>
      <c r="E26" s="286"/>
      <c r="F26" s="13" t="s">
        <v>111</v>
      </c>
      <c r="G26" s="13" t="s">
        <v>110</v>
      </c>
      <c r="H26" s="280"/>
      <c r="I26" s="14"/>
      <c r="J26" s="26">
        <v>0.2</v>
      </c>
      <c r="K26" s="99">
        <v>0.2</v>
      </c>
      <c r="L26" s="123">
        <f>80000000/L1</f>
        <v>80</v>
      </c>
      <c r="M26" s="29">
        <v>37.799999999999997</v>
      </c>
      <c r="N26" s="23"/>
      <c r="O26" s="26">
        <v>0.45</v>
      </c>
      <c r="P26" s="146">
        <v>0.40749999999999997</v>
      </c>
      <c r="Q26" s="29">
        <f>2986400000/L1</f>
        <v>2986.4</v>
      </c>
      <c r="R26" s="29">
        <f>2978800000/L1</f>
        <v>2978.8</v>
      </c>
      <c r="T26" s="192">
        <v>0.8</v>
      </c>
      <c r="U26" s="193">
        <v>0.7843</v>
      </c>
      <c r="V26" s="29">
        <f>836195372/L1</f>
        <v>836.19537200000002</v>
      </c>
      <c r="W26" s="62">
        <f>832393880/L1</f>
        <v>832.39387999999997</v>
      </c>
      <c r="X26" s="97"/>
      <c r="Y26" s="192">
        <v>0.9</v>
      </c>
      <c r="Z26" s="193">
        <f>+Z25</f>
        <v>0.88</v>
      </c>
      <c r="AA26" s="29">
        <f>2821123813/L1</f>
        <v>2821.1238130000002</v>
      </c>
      <c r="AB26" s="188">
        <f>2739525000/L1</f>
        <v>2739.5250000000001</v>
      </c>
      <c r="AC26" s="97"/>
      <c r="AD26" s="99">
        <v>1</v>
      </c>
      <c r="AE26" s="99">
        <v>0</v>
      </c>
      <c r="AF26" s="29">
        <f>1412000000/L1</f>
        <v>1412</v>
      </c>
      <c r="AG26" s="188"/>
      <c r="AI26" s="99">
        <f>AD26</f>
        <v>1</v>
      </c>
      <c r="AJ26" s="120">
        <f>+Z26</f>
        <v>0.88</v>
      </c>
      <c r="AK26" s="61">
        <f>L26+Q26+V26+AA26+AF26</f>
        <v>8135.7191849999999</v>
      </c>
      <c r="AL26" s="61">
        <f>M26+R26+W26+AB26+AG26</f>
        <v>6588.5188800000005</v>
      </c>
      <c r="AM26" s="103"/>
    </row>
    <row r="27" spans="1:42" s="6" customFormat="1" ht="15.75" x14ac:dyDescent="0.25">
      <c r="A27" s="194"/>
      <c r="B27" s="163" t="s">
        <v>102</v>
      </c>
      <c r="C27" s="163"/>
      <c r="D27" s="163"/>
      <c r="E27" s="163"/>
      <c r="F27" s="39"/>
      <c r="G27" s="39"/>
      <c r="H27" s="39"/>
      <c r="I27" s="40"/>
      <c r="J27" s="41"/>
      <c r="K27" s="41"/>
      <c r="L27" s="124">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19940</v>
      </c>
      <c r="AB27" s="42">
        <f>SUM(AB17:AB26)</f>
        <v>14503.758758999998</v>
      </c>
      <c r="AC27" s="100"/>
      <c r="AD27" s="41"/>
      <c r="AE27" s="42"/>
      <c r="AF27" s="42">
        <f>SUM(AF17:AF26)</f>
        <v>11391.508</v>
      </c>
      <c r="AG27" s="42">
        <f>SUM(AG17:AG26)</f>
        <v>0</v>
      </c>
      <c r="AI27" s="93"/>
      <c r="AJ27" s="93"/>
      <c r="AK27" s="63">
        <f>SUM(AK17:AK26)</f>
        <v>64097.774734999999</v>
      </c>
      <c r="AL27" s="63">
        <f>SUM(AL17:AL26)</f>
        <v>46166.816886000001</v>
      </c>
      <c r="AM27" s="219">
        <f>+M27+R27+W27+AB27+AG27-AL27</f>
        <v>0</v>
      </c>
      <c r="AN27" s="25"/>
      <c r="AO27" s="159"/>
      <c r="AP27" s="159"/>
    </row>
    <row r="28" spans="1:42" s="168" customFormat="1" ht="12.75" x14ac:dyDescent="0.2">
      <c r="A28" s="171"/>
      <c r="B28" s="172"/>
      <c r="C28" s="172"/>
      <c r="D28" s="172"/>
      <c r="E28" s="172"/>
      <c r="F28" s="172"/>
      <c r="G28" s="172"/>
      <c r="H28" s="172"/>
      <c r="I28" s="173"/>
      <c r="J28" s="171"/>
      <c r="K28" s="173"/>
      <c r="L28" s="174"/>
      <c r="M28" s="173"/>
      <c r="N28" s="173"/>
      <c r="O28" s="173"/>
      <c r="P28" s="173"/>
      <c r="Q28" s="173"/>
      <c r="R28" s="173"/>
      <c r="T28" s="175"/>
      <c r="U28" s="175"/>
      <c r="V28" s="175"/>
      <c r="W28" s="175"/>
      <c r="Y28" s="175"/>
      <c r="Z28" s="175"/>
      <c r="AA28" s="175"/>
      <c r="AB28" s="175"/>
      <c r="AD28" s="173"/>
      <c r="AE28" s="173"/>
      <c r="AF28" s="175"/>
      <c r="AG28" s="175"/>
      <c r="AI28" s="176"/>
      <c r="AJ28" s="176"/>
      <c r="AK28" s="176"/>
      <c r="AL28" s="177"/>
      <c r="AM28" s="167"/>
    </row>
    <row r="29" spans="1:42" s="170" customFormat="1" ht="15.75" customHeight="1" x14ac:dyDescent="0.2">
      <c r="A29" s="281"/>
      <c r="B29" s="281"/>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169"/>
    </row>
    <row r="30" spans="1:42" s="168" customFormat="1" ht="12.75" x14ac:dyDescent="0.2">
      <c r="A30" s="171"/>
      <c r="B30" s="172"/>
      <c r="C30" s="172"/>
      <c r="D30" s="172"/>
      <c r="E30" s="172"/>
      <c r="F30" s="172"/>
      <c r="G30" s="172"/>
      <c r="H30" s="172"/>
      <c r="I30" s="173"/>
      <c r="J30" s="171"/>
      <c r="K30" s="173"/>
      <c r="L30" s="174"/>
      <c r="M30" s="173"/>
      <c r="N30" s="173"/>
      <c r="O30" s="173"/>
      <c r="P30" s="173"/>
      <c r="Q30" s="173"/>
      <c r="R30" s="173"/>
      <c r="T30" s="175"/>
      <c r="U30" s="175"/>
      <c r="V30" s="175"/>
      <c r="W30" s="175"/>
      <c r="Y30" s="175"/>
      <c r="Z30" s="175"/>
      <c r="AA30" s="175"/>
      <c r="AB30" s="175"/>
      <c r="AD30" s="173"/>
      <c r="AE30" s="173"/>
      <c r="AF30" s="175"/>
      <c r="AG30" s="175"/>
      <c r="AI30" s="176"/>
      <c r="AJ30" s="176"/>
      <c r="AK30" s="176"/>
      <c r="AL30" s="177"/>
      <c r="AM30" s="167"/>
    </row>
    <row r="31" spans="1:42" x14ac:dyDescent="0.25">
      <c r="A31" s="114">
        <v>1</v>
      </c>
      <c r="B31" s="101" t="s">
        <v>93</v>
      </c>
      <c r="C31" s="277" t="s">
        <v>112</v>
      </c>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row>
    <row r="32" spans="1:42" x14ac:dyDescent="0.25">
      <c r="A32" s="113">
        <v>8</v>
      </c>
      <c r="B32" s="6" t="s">
        <v>155</v>
      </c>
      <c r="C32" s="277" t="s">
        <v>156</v>
      </c>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row>
    <row r="33" spans="1:43" x14ac:dyDescent="0.25">
      <c r="A33" s="113">
        <v>19</v>
      </c>
      <c r="B33" s="6" t="s">
        <v>94</v>
      </c>
      <c r="C33" s="277" t="s">
        <v>154</v>
      </c>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row>
    <row r="34" spans="1:43" ht="30" x14ac:dyDescent="0.25">
      <c r="A34" s="113">
        <v>3</v>
      </c>
      <c r="B34" s="102" t="s">
        <v>97</v>
      </c>
      <c r="C34" s="277" t="s">
        <v>113</v>
      </c>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row>
    <row r="35" spans="1:43" x14ac:dyDescent="0.25">
      <c r="F35" s="166"/>
      <c r="G35" s="166"/>
      <c r="H35" s="166"/>
      <c r="I35" s="50"/>
      <c r="J35" s="178"/>
      <c r="K35" s="166"/>
      <c r="L35" s="179"/>
      <c r="M35" s="166"/>
      <c r="N35" s="50"/>
      <c r="O35" s="166"/>
      <c r="P35" s="166"/>
      <c r="Q35" s="166"/>
      <c r="R35" s="166"/>
      <c r="T35" s="166"/>
      <c r="U35" s="166"/>
      <c r="V35" s="195"/>
      <c r="W35" s="195"/>
      <c r="Y35" s="166"/>
      <c r="Z35" s="166"/>
      <c r="AA35" s="195"/>
      <c r="AB35" s="195"/>
      <c r="AC35" s="182"/>
      <c r="AD35" s="196"/>
      <c r="AE35" s="196"/>
      <c r="AF35" s="195"/>
      <c r="AG35" s="195"/>
      <c r="AI35" s="92"/>
      <c r="AJ35" s="92"/>
      <c r="AK35" s="94"/>
    </row>
    <row r="36" spans="1:43" s="11" customFormat="1" ht="27" customHeight="1" x14ac:dyDescent="0.25">
      <c r="A36" s="260" t="s">
        <v>2</v>
      </c>
      <c r="B36" s="235" t="s">
        <v>3</v>
      </c>
      <c r="C36" s="275" t="s">
        <v>86</v>
      </c>
      <c r="D36" s="235" t="s">
        <v>66</v>
      </c>
      <c r="E36" s="275" t="s">
        <v>167</v>
      </c>
      <c r="F36" s="257" t="s">
        <v>100</v>
      </c>
      <c r="G36" s="284" t="s">
        <v>89</v>
      </c>
      <c r="H36" s="230" t="s">
        <v>168</v>
      </c>
      <c r="I36" s="10"/>
      <c r="J36" s="230">
        <v>2020</v>
      </c>
      <c r="K36" s="230"/>
      <c r="L36" s="230"/>
      <c r="M36" s="230"/>
      <c r="N36" s="10"/>
      <c r="O36" s="230">
        <v>2021</v>
      </c>
      <c r="P36" s="230"/>
      <c r="Q36" s="230"/>
      <c r="R36" s="230"/>
      <c r="T36" s="230">
        <v>2022</v>
      </c>
      <c r="U36" s="230"/>
      <c r="V36" s="230"/>
      <c r="W36" s="230"/>
      <c r="Y36" s="230">
        <v>2023</v>
      </c>
      <c r="Z36" s="230"/>
      <c r="AA36" s="230"/>
      <c r="AB36" s="230"/>
      <c r="AD36" s="231">
        <v>2024</v>
      </c>
      <c r="AE36" s="232"/>
      <c r="AF36" s="232"/>
      <c r="AG36" s="232"/>
      <c r="AI36" s="278" t="s">
        <v>101</v>
      </c>
      <c r="AJ36" s="278"/>
      <c r="AK36" s="278"/>
      <c r="AL36" s="278"/>
      <c r="AM36" s="95"/>
    </row>
    <row r="37" spans="1:43" s="11" customFormat="1" ht="16.5" customHeight="1" x14ac:dyDescent="0.25">
      <c r="A37" s="261"/>
      <c r="B37" s="236"/>
      <c r="C37" s="258"/>
      <c r="D37" s="236"/>
      <c r="E37" s="258"/>
      <c r="F37" s="258"/>
      <c r="G37" s="284"/>
      <c r="H37" s="230"/>
      <c r="I37" s="10"/>
      <c r="J37" s="230" t="s">
        <v>4</v>
      </c>
      <c r="K37" s="230"/>
      <c r="L37" s="230" t="s">
        <v>61</v>
      </c>
      <c r="M37" s="230"/>
      <c r="N37" s="10"/>
      <c r="O37" s="230" t="s">
        <v>6</v>
      </c>
      <c r="P37" s="230"/>
      <c r="Q37" s="230" t="s">
        <v>8</v>
      </c>
      <c r="R37" s="230"/>
      <c r="S37" s="10"/>
      <c r="T37" s="230" t="s">
        <v>7</v>
      </c>
      <c r="U37" s="230"/>
      <c r="V37" s="230" t="s">
        <v>8</v>
      </c>
      <c r="W37" s="230"/>
      <c r="Y37" s="230" t="s">
        <v>7</v>
      </c>
      <c r="Z37" s="230"/>
      <c r="AA37" s="230" t="s">
        <v>8</v>
      </c>
      <c r="AB37" s="230"/>
      <c r="AD37" s="230" t="s">
        <v>7</v>
      </c>
      <c r="AE37" s="230"/>
      <c r="AF37" s="230" t="s">
        <v>8</v>
      </c>
      <c r="AG37" s="230"/>
      <c r="AI37" s="275" t="s">
        <v>4</v>
      </c>
      <c r="AJ37" s="275" t="s">
        <v>65</v>
      </c>
      <c r="AK37" s="275" t="s">
        <v>8</v>
      </c>
      <c r="AL37" s="275" t="s">
        <v>5</v>
      </c>
      <c r="AM37" s="95"/>
    </row>
    <row r="38" spans="1:43" s="11" customFormat="1" ht="30" x14ac:dyDescent="0.25">
      <c r="A38" s="262"/>
      <c r="B38" s="237"/>
      <c r="C38" s="276"/>
      <c r="D38" s="237"/>
      <c r="E38" s="276"/>
      <c r="F38" s="259"/>
      <c r="G38" s="284"/>
      <c r="H38" s="230"/>
      <c r="I38" s="12"/>
      <c r="J38" s="161" t="s">
        <v>59</v>
      </c>
      <c r="K38" s="161" t="s">
        <v>60</v>
      </c>
      <c r="L38" s="180" t="s">
        <v>63</v>
      </c>
      <c r="M38" s="161" t="s">
        <v>62</v>
      </c>
      <c r="N38" s="12"/>
      <c r="O38" s="181" t="s">
        <v>59</v>
      </c>
      <c r="P38" s="161" t="s">
        <v>60</v>
      </c>
      <c r="Q38" s="181" t="s">
        <v>63</v>
      </c>
      <c r="R38" s="161" t="s">
        <v>62</v>
      </c>
      <c r="S38" s="10"/>
      <c r="T38" s="181" t="s">
        <v>59</v>
      </c>
      <c r="U38" s="161" t="s">
        <v>60</v>
      </c>
      <c r="V38" s="161" t="s">
        <v>63</v>
      </c>
      <c r="W38" s="161" t="s">
        <v>62</v>
      </c>
      <c r="Y38" s="161" t="s">
        <v>59</v>
      </c>
      <c r="Z38" s="161" t="s">
        <v>60</v>
      </c>
      <c r="AA38" s="161" t="s">
        <v>63</v>
      </c>
      <c r="AB38" s="161" t="s">
        <v>62</v>
      </c>
      <c r="AD38" s="161" t="s">
        <v>59</v>
      </c>
      <c r="AE38" s="161" t="s">
        <v>60</v>
      </c>
      <c r="AF38" s="161" t="s">
        <v>63</v>
      </c>
      <c r="AG38" s="161" t="s">
        <v>62</v>
      </c>
      <c r="AI38" s="276"/>
      <c r="AJ38" s="276"/>
      <c r="AK38" s="276"/>
      <c r="AL38" s="276"/>
      <c r="AM38" s="95"/>
    </row>
    <row r="39" spans="1:43" ht="75.75" customHeight="1" x14ac:dyDescent="0.25">
      <c r="A39" s="269" t="s">
        <v>114</v>
      </c>
      <c r="B39" s="238" t="s">
        <v>115</v>
      </c>
      <c r="C39" s="238" t="s">
        <v>116</v>
      </c>
      <c r="D39" s="238" t="s">
        <v>150</v>
      </c>
      <c r="E39" s="238" t="str">
        <f>C32</f>
        <v xml:space="preserve">Aumentar el acceso a vivienda digna, espacio público y equipamientos de la población vulnerable en suelo urbano y rural </v>
      </c>
      <c r="F39" s="112" t="s">
        <v>186</v>
      </c>
      <c r="G39" s="112" t="s">
        <v>90</v>
      </c>
      <c r="H39" s="279" t="str">
        <f>C34</f>
        <v>Sistema Distrital de cuidado</v>
      </c>
      <c r="I39" s="14"/>
      <c r="J39" s="105">
        <v>300</v>
      </c>
      <c r="K39" s="105">
        <v>433</v>
      </c>
      <c r="L39" s="122"/>
      <c r="M39" s="106"/>
      <c r="N39" s="107"/>
      <c r="O39" s="116">
        <v>1005</v>
      </c>
      <c r="P39" s="116">
        <v>1005</v>
      </c>
      <c r="Q39" s="106"/>
      <c r="R39" s="106"/>
      <c r="S39" s="190"/>
      <c r="T39" s="198">
        <v>907</v>
      </c>
      <c r="U39" s="198">
        <v>907</v>
      </c>
      <c r="V39" s="185"/>
      <c r="W39" s="186"/>
      <c r="X39" s="109"/>
      <c r="Y39" s="198">
        <v>1140</v>
      </c>
      <c r="Z39" s="198">
        <v>631</v>
      </c>
      <c r="AA39" s="185"/>
      <c r="AB39" s="186"/>
      <c r="AC39" s="109"/>
      <c r="AD39" s="89">
        <v>548</v>
      </c>
      <c r="AE39" s="117">
        <v>0</v>
      </c>
      <c r="AF39" s="185"/>
      <c r="AG39" s="186"/>
      <c r="AH39" s="190"/>
      <c r="AI39" s="117">
        <f t="shared" ref="AI39:AL42" si="3">J39+O39+T39+Y39+AD39</f>
        <v>3900</v>
      </c>
      <c r="AJ39" s="117">
        <f t="shared" si="3"/>
        <v>2976</v>
      </c>
      <c r="AK39" s="111">
        <f t="shared" si="3"/>
        <v>0</v>
      </c>
      <c r="AL39" s="111">
        <f t="shared" si="3"/>
        <v>0</v>
      </c>
      <c r="AM39" s="96"/>
    </row>
    <row r="40" spans="1:43" ht="75.75" customHeight="1" x14ac:dyDescent="0.25">
      <c r="A40" s="270"/>
      <c r="B40" s="245"/>
      <c r="C40" s="245"/>
      <c r="D40" s="245"/>
      <c r="E40" s="245"/>
      <c r="F40" s="13" t="s">
        <v>185</v>
      </c>
      <c r="G40" s="13" t="s">
        <v>90</v>
      </c>
      <c r="H40" s="280"/>
      <c r="I40" s="14"/>
      <c r="J40" s="98">
        <v>300</v>
      </c>
      <c r="K40" s="98">
        <v>433</v>
      </c>
      <c r="L40" s="125">
        <v>2485.9104860000002</v>
      </c>
      <c r="M40" s="29">
        <v>2462.6375039999998</v>
      </c>
      <c r="N40" s="23"/>
      <c r="O40" s="15">
        <v>1005</v>
      </c>
      <c r="P40" s="15">
        <v>1005</v>
      </c>
      <c r="Q40" s="62">
        <f>3174460251/L1</f>
        <v>3174.460251</v>
      </c>
      <c r="R40" s="29">
        <f>3173790307/L1</f>
        <v>3173.7903070000002</v>
      </c>
      <c r="S40" s="182"/>
      <c r="T40" s="15">
        <v>907</v>
      </c>
      <c r="U40" s="187">
        <v>907</v>
      </c>
      <c r="V40" s="62">
        <f>2789780428/L1</f>
        <v>2789.780428</v>
      </c>
      <c r="W40" s="62">
        <f>2722403328/L1</f>
        <v>2722.4033279999999</v>
      </c>
      <c r="X40" s="97"/>
      <c r="Y40" s="197">
        <v>1140</v>
      </c>
      <c r="Z40" s="187">
        <v>538</v>
      </c>
      <c r="AA40" s="62">
        <f>1991362954/L1</f>
        <v>1991.3629539999999</v>
      </c>
      <c r="AB40" s="202">
        <f>1712091254/L1</f>
        <v>1712.0912539999999</v>
      </c>
      <c r="AC40" s="97"/>
      <c r="AD40" s="89">
        <v>548</v>
      </c>
      <c r="AE40" s="89">
        <v>0</v>
      </c>
      <c r="AF40" s="62">
        <f>1658800000/L1</f>
        <v>1658.8</v>
      </c>
      <c r="AG40" s="188"/>
      <c r="AH40" s="182"/>
      <c r="AI40" s="89">
        <f t="shared" si="3"/>
        <v>3900</v>
      </c>
      <c r="AJ40" s="89">
        <f t="shared" si="3"/>
        <v>2883</v>
      </c>
      <c r="AK40" s="62">
        <f t="shared" si="3"/>
        <v>12100.314118999999</v>
      </c>
      <c r="AL40" s="61">
        <f t="shared" si="3"/>
        <v>10070.922393000001</v>
      </c>
      <c r="AM40" s="96"/>
      <c r="AN40" s="199"/>
    </row>
    <row r="41" spans="1:43" ht="43.5" customHeight="1" x14ac:dyDescent="0.25">
      <c r="A41" s="270"/>
      <c r="B41" s="245"/>
      <c r="C41" s="245"/>
      <c r="D41" s="245"/>
      <c r="E41" s="245"/>
      <c r="F41" s="13" t="s">
        <v>119</v>
      </c>
      <c r="G41" s="13" t="s">
        <v>120</v>
      </c>
      <c r="H41" s="280"/>
      <c r="I41" s="14"/>
      <c r="J41" s="15">
        <v>1</v>
      </c>
      <c r="K41" s="15">
        <v>1</v>
      </c>
      <c r="L41" s="123">
        <v>3933.2635260000002</v>
      </c>
      <c r="M41" s="29">
        <v>3919.824286</v>
      </c>
      <c r="N41" s="23"/>
      <c r="O41" s="19">
        <v>0.35</v>
      </c>
      <c r="P41" s="148">
        <v>0.35</v>
      </c>
      <c r="Q41" s="62">
        <f>785812430/L1</f>
        <v>785.81242999999995</v>
      </c>
      <c r="R41" s="29">
        <f>783562430/L1</f>
        <v>783.56242999999995</v>
      </c>
      <c r="S41" s="182"/>
      <c r="T41" s="200">
        <v>0.25</v>
      </c>
      <c r="U41" s="201">
        <v>0.25</v>
      </c>
      <c r="V41" s="62">
        <f>780581888/L1</f>
        <v>780.58188800000005</v>
      </c>
      <c r="W41" s="62">
        <f>664949494/L1</f>
        <v>664.94949399999996</v>
      </c>
      <c r="X41" s="97"/>
      <c r="Y41" s="200">
        <v>0.27</v>
      </c>
      <c r="Z41" s="225">
        <v>0.13</v>
      </c>
      <c r="AA41" s="62">
        <f>782946213/L1</f>
        <v>782.94621299999994</v>
      </c>
      <c r="AB41" s="62">
        <f>646410145/L1</f>
        <v>646.41014500000006</v>
      </c>
      <c r="AC41" s="97"/>
      <c r="AD41" s="148">
        <v>0.13</v>
      </c>
      <c r="AE41" s="89">
        <v>0</v>
      </c>
      <c r="AF41" s="62">
        <f>817600000/L1</f>
        <v>817.6</v>
      </c>
      <c r="AG41" s="202"/>
      <c r="AH41" s="182"/>
      <c r="AI41" s="89">
        <f>J41+O41+T41+Y41+AD41</f>
        <v>2</v>
      </c>
      <c r="AJ41" s="148">
        <f t="shared" si="3"/>
        <v>1.73</v>
      </c>
      <c r="AK41" s="62">
        <f>L41+Q41+V41+AA41+AF41</f>
        <v>7100.2040570000008</v>
      </c>
      <c r="AL41" s="61">
        <f t="shared" si="3"/>
        <v>6014.7463549999993</v>
      </c>
      <c r="AM41" s="96"/>
      <c r="AN41" s="203"/>
      <c r="AO41" s="204"/>
    </row>
    <row r="42" spans="1:43" ht="39.75" customHeight="1" x14ac:dyDescent="0.25">
      <c r="A42" s="270"/>
      <c r="B42" s="245"/>
      <c r="C42" s="245"/>
      <c r="D42" s="245"/>
      <c r="E42" s="245"/>
      <c r="F42" s="13" t="s">
        <v>117</v>
      </c>
      <c r="G42" s="13" t="s">
        <v>118</v>
      </c>
      <c r="H42" s="280"/>
      <c r="I42" s="14"/>
      <c r="J42" s="15">
        <v>1</v>
      </c>
      <c r="K42" s="15">
        <v>1</v>
      </c>
      <c r="L42" s="130">
        <v>1.1481950000000001</v>
      </c>
      <c r="M42" s="131">
        <v>1.1481950000000001</v>
      </c>
      <c r="N42" s="23"/>
      <c r="O42" s="15">
        <v>1</v>
      </c>
      <c r="P42" s="15">
        <v>1</v>
      </c>
      <c r="Q42" s="62">
        <f>704512319/L1</f>
        <v>704.51231900000005</v>
      </c>
      <c r="R42" s="29">
        <f>700993442/L1</f>
        <v>700.99344199999996</v>
      </c>
      <c r="S42" s="182"/>
      <c r="T42" s="200" t="s">
        <v>181</v>
      </c>
      <c r="U42" s="201">
        <v>0.7</v>
      </c>
      <c r="V42" s="62">
        <f>544580000/L1</f>
        <v>544.58000000000004</v>
      </c>
      <c r="W42" s="62">
        <f>544580000/L1</f>
        <v>544.58000000000004</v>
      </c>
      <c r="X42" s="97"/>
      <c r="Y42" s="187" t="s">
        <v>180</v>
      </c>
      <c r="Z42" s="225">
        <v>1.05</v>
      </c>
      <c r="AA42" s="62">
        <f>1401787390/L1</f>
        <v>1401.78739</v>
      </c>
      <c r="AB42" s="189">
        <f>192298920/L1</f>
        <v>192.29892000000001</v>
      </c>
      <c r="AC42" s="97"/>
      <c r="AD42" s="89">
        <v>0</v>
      </c>
      <c r="AE42" s="89">
        <v>0</v>
      </c>
      <c r="AF42" s="62">
        <v>0</v>
      </c>
      <c r="AG42" s="189"/>
      <c r="AH42" s="182"/>
      <c r="AI42" s="160">
        <v>4</v>
      </c>
      <c r="AJ42" s="148">
        <f t="shared" si="3"/>
        <v>3.75</v>
      </c>
      <c r="AK42" s="62">
        <f t="shared" si="3"/>
        <v>2652.027904</v>
      </c>
      <c r="AL42" s="61">
        <f>M42+R42+W42+AB42+AG42</f>
        <v>1439.0205570000001</v>
      </c>
      <c r="AM42" s="149"/>
    </row>
    <row r="43" spans="1:43" ht="61.5" customHeight="1" x14ac:dyDescent="0.25">
      <c r="A43" s="205"/>
      <c r="B43" s="239"/>
      <c r="C43" s="239"/>
      <c r="D43" s="239"/>
      <c r="E43" s="239"/>
      <c r="F43" s="13" t="s">
        <v>184</v>
      </c>
      <c r="G43" s="156" t="s">
        <v>176</v>
      </c>
      <c r="H43" s="165"/>
      <c r="I43" s="14"/>
      <c r="J43" s="15">
        <v>0</v>
      </c>
      <c r="K43" s="15">
        <v>0</v>
      </c>
      <c r="L43" s="130"/>
      <c r="M43" s="131"/>
      <c r="N43" s="23"/>
      <c r="O43" s="15">
        <v>0</v>
      </c>
      <c r="P43" s="15">
        <v>0</v>
      </c>
      <c r="Q43" s="62"/>
      <c r="R43" s="29"/>
      <c r="S43" s="182"/>
      <c r="T43" s="192">
        <v>1</v>
      </c>
      <c r="U43" s="192">
        <v>0.95</v>
      </c>
      <c r="V43" s="62">
        <f>4835058684/L1</f>
        <v>4835.0586839999996</v>
      </c>
      <c r="W43" s="62">
        <f>4774833286/L1</f>
        <v>4774.833286</v>
      </c>
      <c r="X43" s="97"/>
      <c r="Y43" s="192">
        <v>1</v>
      </c>
      <c r="Z43" s="216">
        <v>0.9</v>
      </c>
      <c r="AA43" s="62">
        <f>845763443/L1</f>
        <v>845.76344300000005</v>
      </c>
      <c r="AB43" s="189">
        <f>519517669/L1</f>
        <v>519.51766899999996</v>
      </c>
      <c r="AC43" s="97"/>
      <c r="AD43" s="192">
        <v>1</v>
      </c>
      <c r="AE43" s="89">
        <v>0</v>
      </c>
      <c r="AF43" s="62">
        <f>1514200000/L1</f>
        <v>1514.2</v>
      </c>
      <c r="AG43" s="189"/>
      <c r="AH43" s="182"/>
      <c r="AI43" s="99">
        <f>AD43</f>
        <v>1</v>
      </c>
      <c r="AJ43" s="120">
        <f>(+Z43+U43)/2</f>
        <v>0.92500000000000004</v>
      </c>
      <c r="AK43" s="62">
        <f>L43+Q43+V43+AA43+AF43</f>
        <v>7195.0221269999993</v>
      </c>
      <c r="AL43" s="61">
        <f>M43+R43+W43+AB43+AG43</f>
        <v>5294.3509549999999</v>
      </c>
      <c r="AM43" s="149"/>
    </row>
    <row r="44" spans="1:43" s="6" customFormat="1" ht="15.75" x14ac:dyDescent="0.25">
      <c r="A44" s="194"/>
      <c r="B44" s="163" t="s">
        <v>102</v>
      </c>
      <c r="C44" s="163"/>
      <c r="D44" s="163"/>
      <c r="E44" s="163"/>
      <c r="F44" s="39"/>
      <c r="G44" s="39"/>
      <c r="H44" s="39"/>
      <c r="I44" s="40"/>
      <c r="J44" s="41"/>
      <c r="K44" s="41"/>
      <c r="L44" s="124">
        <f>SUM(L39:L43)</f>
        <v>6420.3222070000002</v>
      </c>
      <c r="M44" s="124">
        <f>SUM(M39:M43)</f>
        <v>6383.6099849999991</v>
      </c>
      <c r="N44" s="51"/>
      <c r="O44" s="41"/>
      <c r="P44" s="41"/>
      <c r="Q44" s="124">
        <f>SUM(Q39:Q43)</f>
        <v>4664.7849999999999</v>
      </c>
      <c r="R44" s="124">
        <f>SUM(R39:R43)</f>
        <v>4658.3461790000001</v>
      </c>
      <c r="T44" s="41"/>
      <c r="U44" s="41"/>
      <c r="V44" s="124">
        <f>SUM(V39:V43)</f>
        <v>8950.0010000000002</v>
      </c>
      <c r="W44" s="124">
        <f>SUM(W39:W43)</f>
        <v>8706.7661079999998</v>
      </c>
      <c r="Y44" s="41"/>
      <c r="Z44" s="41"/>
      <c r="AA44" s="124">
        <f>SUM(AA39:AA43)</f>
        <v>5021.8599999999997</v>
      </c>
      <c r="AB44" s="124">
        <f>SUM(AB39:AB43)</f>
        <v>3070.3179879999998</v>
      </c>
      <c r="AC44" s="100"/>
      <c r="AD44" s="41"/>
      <c r="AE44" s="42"/>
      <c r="AF44" s="124">
        <f>SUM(AF39:AF43)</f>
        <v>3990.6000000000004</v>
      </c>
      <c r="AG44" s="124">
        <f>SUM(AG39:AG43)</f>
        <v>0</v>
      </c>
      <c r="AI44" s="93"/>
      <c r="AJ44" s="93"/>
      <c r="AK44" s="124">
        <f>SUM(AK39:AK43)</f>
        <v>29047.568206999997</v>
      </c>
      <c r="AL44" s="124">
        <f>SUM(AL39:AL43)</f>
        <v>22819.040260000002</v>
      </c>
      <c r="AM44" s="219">
        <f>+M44+R44+W44+AB44+AG44-AL44</f>
        <v>0</v>
      </c>
      <c r="AN44" s="25"/>
      <c r="AO44" s="159"/>
      <c r="AP44" s="159"/>
      <c r="AQ44" s="95"/>
    </row>
    <row r="45" spans="1:43" x14ac:dyDescent="0.25">
      <c r="AN45" s="203"/>
    </row>
    <row r="46" spans="1:43" s="170" customFormat="1" ht="15.75" customHeight="1" x14ac:dyDescent="0.2">
      <c r="A46" s="281"/>
      <c r="B46" s="281"/>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169"/>
    </row>
    <row r="47" spans="1:43" s="168" customFormat="1" ht="12.75" x14ac:dyDescent="0.2">
      <c r="A47" s="171"/>
      <c r="B47" s="172"/>
      <c r="C47" s="172"/>
      <c r="D47" s="172"/>
      <c r="E47" s="172"/>
      <c r="F47" s="172"/>
      <c r="G47" s="172"/>
      <c r="H47" s="172"/>
      <c r="I47" s="173"/>
      <c r="J47" s="171"/>
      <c r="K47" s="173"/>
      <c r="L47" s="174"/>
      <c r="M47" s="173"/>
      <c r="N47" s="173"/>
      <c r="O47" s="173"/>
      <c r="P47" s="173"/>
      <c r="Q47" s="173"/>
      <c r="R47" s="173"/>
      <c r="T47" s="175"/>
      <c r="U47" s="175"/>
      <c r="V47" s="175"/>
      <c r="W47" s="175"/>
      <c r="Y47" s="175"/>
      <c r="Z47" s="175"/>
      <c r="AA47" s="175"/>
      <c r="AB47" s="175"/>
      <c r="AD47" s="173"/>
      <c r="AE47" s="173"/>
      <c r="AF47" s="175"/>
      <c r="AG47" s="175"/>
      <c r="AI47" s="176"/>
      <c r="AJ47" s="176"/>
      <c r="AK47" s="176"/>
      <c r="AL47" s="177"/>
      <c r="AM47" s="167"/>
    </row>
    <row r="48" spans="1:43" x14ac:dyDescent="0.25">
      <c r="A48" s="114">
        <v>2</v>
      </c>
      <c r="B48" s="101" t="s">
        <v>93</v>
      </c>
      <c r="C48" s="277" t="s">
        <v>160</v>
      </c>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row>
    <row r="49" spans="1:39" ht="15.75" x14ac:dyDescent="0.25">
      <c r="A49" s="113">
        <v>15</v>
      </c>
      <c r="B49" s="6" t="s">
        <v>155</v>
      </c>
      <c r="C49" s="285" t="s">
        <v>161</v>
      </c>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row>
    <row r="50" spans="1:39" x14ac:dyDescent="0.25">
      <c r="A50" s="113">
        <v>29</v>
      </c>
      <c r="B50" s="6" t="s">
        <v>94</v>
      </c>
      <c r="C50" s="277" t="s">
        <v>162</v>
      </c>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row>
    <row r="51" spans="1:39" ht="30" x14ac:dyDescent="0.25">
      <c r="A51" s="113">
        <v>3</v>
      </c>
      <c r="B51" s="102" t="s">
        <v>97</v>
      </c>
      <c r="C51" s="277" t="s">
        <v>113</v>
      </c>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row>
    <row r="53" spans="1:39" s="11" customFormat="1" ht="27" customHeight="1" x14ac:dyDescent="0.25">
      <c r="A53" s="260" t="s">
        <v>2</v>
      </c>
      <c r="B53" s="235" t="s">
        <v>3</v>
      </c>
      <c r="C53" s="275" t="s">
        <v>86</v>
      </c>
      <c r="D53" s="235" t="s">
        <v>66</v>
      </c>
      <c r="E53" s="275" t="s">
        <v>167</v>
      </c>
      <c r="F53" s="257" t="s">
        <v>100</v>
      </c>
      <c r="G53" s="284" t="s">
        <v>89</v>
      </c>
      <c r="H53" s="230" t="s">
        <v>168</v>
      </c>
      <c r="I53" s="10"/>
      <c r="J53" s="230">
        <v>2020</v>
      </c>
      <c r="K53" s="230"/>
      <c r="L53" s="230"/>
      <c r="M53" s="230"/>
      <c r="N53" s="10"/>
      <c r="O53" s="230">
        <v>2021</v>
      </c>
      <c r="P53" s="230"/>
      <c r="Q53" s="230"/>
      <c r="R53" s="230"/>
      <c r="T53" s="230">
        <v>2022</v>
      </c>
      <c r="U53" s="230"/>
      <c r="V53" s="230"/>
      <c r="W53" s="230"/>
      <c r="Y53" s="230">
        <v>2023</v>
      </c>
      <c r="Z53" s="230"/>
      <c r="AA53" s="230"/>
      <c r="AB53" s="230"/>
      <c r="AD53" s="231">
        <v>2024</v>
      </c>
      <c r="AE53" s="232"/>
      <c r="AF53" s="232"/>
      <c r="AG53" s="232"/>
      <c r="AI53" s="278" t="s">
        <v>101</v>
      </c>
      <c r="AJ53" s="278"/>
      <c r="AK53" s="278"/>
      <c r="AL53" s="278"/>
      <c r="AM53" s="95"/>
    </row>
    <row r="54" spans="1:39" s="11" customFormat="1" ht="16.5" customHeight="1" x14ac:dyDescent="0.25">
      <c r="A54" s="261"/>
      <c r="B54" s="236"/>
      <c r="C54" s="258"/>
      <c r="D54" s="236"/>
      <c r="E54" s="258"/>
      <c r="F54" s="258"/>
      <c r="G54" s="284"/>
      <c r="H54" s="230"/>
      <c r="I54" s="10"/>
      <c r="J54" s="230" t="s">
        <v>4</v>
      </c>
      <c r="K54" s="230"/>
      <c r="L54" s="230" t="s">
        <v>61</v>
      </c>
      <c r="M54" s="230"/>
      <c r="N54" s="10"/>
      <c r="O54" s="230" t="s">
        <v>6</v>
      </c>
      <c r="P54" s="230"/>
      <c r="Q54" s="230" t="s">
        <v>8</v>
      </c>
      <c r="R54" s="230"/>
      <c r="S54" s="10"/>
      <c r="T54" s="230" t="s">
        <v>7</v>
      </c>
      <c r="U54" s="230"/>
      <c r="V54" s="230" t="s">
        <v>8</v>
      </c>
      <c r="W54" s="230"/>
      <c r="Y54" s="230" t="s">
        <v>7</v>
      </c>
      <c r="Z54" s="230"/>
      <c r="AA54" s="230" t="s">
        <v>8</v>
      </c>
      <c r="AB54" s="230"/>
      <c r="AD54" s="230" t="s">
        <v>7</v>
      </c>
      <c r="AE54" s="230"/>
      <c r="AF54" s="230" t="s">
        <v>8</v>
      </c>
      <c r="AG54" s="230"/>
      <c r="AI54" s="275" t="s">
        <v>4</v>
      </c>
      <c r="AJ54" s="275" t="s">
        <v>65</v>
      </c>
      <c r="AK54" s="275" t="s">
        <v>8</v>
      </c>
      <c r="AL54" s="275" t="s">
        <v>5</v>
      </c>
      <c r="AM54" s="95"/>
    </row>
    <row r="55" spans="1:39" s="11" customFormat="1" ht="30" x14ac:dyDescent="0.25">
      <c r="A55" s="262"/>
      <c r="B55" s="237"/>
      <c r="C55" s="276"/>
      <c r="D55" s="237"/>
      <c r="E55" s="276"/>
      <c r="F55" s="259"/>
      <c r="G55" s="284"/>
      <c r="H55" s="230"/>
      <c r="I55" s="12"/>
      <c r="J55" s="161" t="s">
        <v>59</v>
      </c>
      <c r="K55" s="161" t="s">
        <v>60</v>
      </c>
      <c r="L55" s="180" t="s">
        <v>63</v>
      </c>
      <c r="M55" s="161" t="s">
        <v>62</v>
      </c>
      <c r="N55" s="12"/>
      <c r="O55" s="181" t="s">
        <v>59</v>
      </c>
      <c r="P55" s="161" t="s">
        <v>60</v>
      </c>
      <c r="Q55" s="181" t="s">
        <v>63</v>
      </c>
      <c r="R55" s="161" t="s">
        <v>62</v>
      </c>
      <c r="S55" s="10"/>
      <c r="T55" s="181" t="s">
        <v>59</v>
      </c>
      <c r="U55" s="161" t="s">
        <v>60</v>
      </c>
      <c r="V55" s="161" t="s">
        <v>63</v>
      </c>
      <c r="W55" s="161" t="s">
        <v>62</v>
      </c>
      <c r="Y55" s="161" t="s">
        <v>59</v>
      </c>
      <c r="Z55" s="161" t="s">
        <v>60</v>
      </c>
      <c r="AA55" s="161" t="s">
        <v>63</v>
      </c>
      <c r="AB55" s="161" t="s">
        <v>62</v>
      </c>
      <c r="AD55" s="161" t="s">
        <v>59</v>
      </c>
      <c r="AE55" s="161" t="s">
        <v>60</v>
      </c>
      <c r="AF55" s="161" t="s">
        <v>63</v>
      </c>
      <c r="AG55" s="161" t="s">
        <v>62</v>
      </c>
      <c r="AI55" s="276"/>
      <c r="AJ55" s="276"/>
      <c r="AK55" s="276"/>
      <c r="AL55" s="276"/>
      <c r="AM55" s="95"/>
    </row>
    <row r="56" spans="1:39" ht="75.75" customHeight="1" x14ac:dyDescent="0.25">
      <c r="A56" s="273" t="s">
        <v>121</v>
      </c>
      <c r="B56" s="238" t="s">
        <v>123</v>
      </c>
      <c r="C56" s="238" t="s">
        <v>122</v>
      </c>
      <c r="D56" s="238" t="s">
        <v>151</v>
      </c>
      <c r="E56" s="238" t="str">
        <f>C49</f>
        <v xml:space="preserve">Intervenir integralmente áreas estratégicas de Bogotá teniendo en cuenta las dinámicas patrimoniales, ambientales, sociales y culturales  
</v>
      </c>
      <c r="F56" s="112" t="s">
        <v>124</v>
      </c>
      <c r="G56" s="112" t="s">
        <v>125</v>
      </c>
      <c r="H56" s="279" t="str">
        <f>C51</f>
        <v>Sistema Distrital de cuidado</v>
      </c>
      <c r="I56" s="14"/>
      <c r="J56" s="105">
        <v>410</v>
      </c>
      <c r="K56" s="105">
        <v>410</v>
      </c>
      <c r="L56" s="122"/>
      <c r="M56" s="106"/>
      <c r="N56" s="107"/>
      <c r="O56" s="117">
        <v>526</v>
      </c>
      <c r="P56" s="116">
        <v>526</v>
      </c>
      <c r="Q56" s="106"/>
      <c r="R56" s="106"/>
      <c r="S56" s="190"/>
      <c r="T56" s="198">
        <v>703</v>
      </c>
      <c r="U56" s="198">
        <v>703</v>
      </c>
      <c r="V56" s="185"/>
      <c r="W56" s="186"/>
      <c r="X56" s="109"/>
      <c r="Y56" s="198">
        <v>503</v>
      </c>
      <c r="Z56" s="198">
        <v>104</v>
      </c>
      <c r="AA56" s="185"/>
      <c r="AB56" s="186"/>
      <c r="AC56" s="109"/>
      <c r="AD56" s="117">
        <v>8</v>
      </c>
      <c r="AE56" s="117">
        <v>0</v>
      </c>
      <c r="AF56" s="185"/>
      <c r="AG56" s="186"/>
      <c r="AH56" s="190"/>
      <c r="AI56" s="117">
        <f>J56+O56+T56+Y56+AD56</f>
        <v>2150</v>
      </c>
      <c r="AJ56" s="117">
        <f>K56+P56+U56+Z56+AE56</f>
        <v>1743</v>
      </c>
      <c r="AK56" s="111">
        <f>L56+Q56+V56+AA56+AF56</f>
        <v>0</v>
      </c>
      <c r="AL56" s="111">
        <f>M56+R56+W56+AB56+AG56</f>
        <v>0</v>
      </c>
      <c r="AM56" s="96"/>
    </row>
    <row r="57" spans="1:39" ht="71.25" customHeight="1" x14ac:dyDescent="0.25">
      <c r="A57" s="274"/>
      <c r="B57" s="245"/>
      <c r="C57" s="245"/>
      <c r="D57" s="245"/>
      <c r="E57" s="245"/>
      <c r="F57" s="13" t="s">
        <v>126</v>
      </c>
      <c r="G57" s="13" t="s">
        <v>127</v>
      </c>
      <c r="H57" s="280"/>
      <c r="I57" s="14"/>
      <c r="J57" s="15">
        <v>54</v>
      </c>
      <c r="K57" s="89">
        <v>55</v>
      </c>
      <c r="L57" s="123">
        <v>5071.6473960000003</v>
      </c>
      <c r="M57" s="29">
        <v>4319.8978859999997</v>
      </c>
      <c r="N57" s="23"/>
      <c r="O57" s="15">
        <v>207</v>
      </c>
      <c r="P57" s="15">
        <v>207</v>
      </c>
      <c r="Q57" s="62">
        <f>10671009470/L1</f>
        <v>10671.009470000001</v>
      </c>
      <c r="R57" s="29">
        <f>10624208143/L1</f>
        <v>10624.208143</v>
      </c>
      <c r="S57" s="182"/>
      <c r="T57" s="197">
        <v>422</v>
      </c>
      <c r="U57" s="207">
        <v>422</v>
      </c>
      <c r="V57" s="62">
        <f>21096250020/L1</f>
        <v>21096.250019999999</v>
      </c>
      <c r="W57" s="62">
        <f>20872326132/L1</f>
        <v>20872.326131999998</v>
      </c>
      <c r="X57" s="97"/>
      <c r="Y57" s="187">
        <v>342</v>
      </c>
      <c r="Z57" s="207">
        <v>92</v>
      </c>
      <c r="AA57" s="62">
        <f>6063300000/L1</f>
        <v>6063.3</v>
      </c>
      <c r="AB57" s="188">
        <f>3661230614/L1</f>
        <v>3661.2306140000001</v>
      </c>
      <c r="AC57" s="97"/>
      <c r="AD57" s="89">
        <f>198-1</f>
        <v>197</v>
      </c>
      <c r="AE57" s="89">
        <v>0</v>
      </c>
      <c r="AF57" s="62">
        <f>3533053000/L1</f>
        <v>3533.0529999999999</v>
      </c>
      <c r="AG57" s="188"/>
      <c r="AH57" s="182"/>
      <c r="AI57" s="89">
        <f>J57+O57+T57+Y57+AD57+1</f>
        <v>1223</v>
      </c>
      <c r="AJ57" s="89">
        <f t="shared" ref="AJ57:AJ62" si="4">K57+P57+U57+Z57+AE57</f>
        <v>776</v>
      </c>
      <c r="AK57" s="61">
        <f t="shared" ref="AK57:AL63" si="5">L57+Q57+V57+AA57+AF57</f>
        <v>46435.259886</v>
      </c>
      <c r="AL57" s="61">
        <f t="shared" si="5"/>
        <v>39477.662774999997</v>
      </c>
      <c r="AM57" s="96"/>
    </row>
    <row r="58" spans="1:39" ht="66.75" customHeight="1" x14ac:dyDescent="0.25">
      <c r="A58" s="274"/>
      <c r="B58" s="245"/>
      <c r="C58" s="245"/>
      <c r="D58" s="245"/>
      <c r="E58" s="245"/>
      <c r="F58" s="13" t="s">
        <v>128</v>
      </c>
      <c r="G58" s="13" t="s">
        <v>129</v>
      </c>
      <c r="H58" s="280"/>
      <c r="I58" s="14"/>
      <c r="J58" s="15">
        <v>28</v>
      </c>
      <c r="K58" s="15">
        <v>27</v>
      </c>
      <c r="L58" s="123">
        <v>2969.3287610000002</v>
      </c>
      <c r="M58" s="29">
        <v>2928.9973829999999</v>
      </c>
      <c r="N58" s="23"/>
      <c r="O58" s="89">
        <v>37</v>
      </c>
      <c r="P58" s="89">
        <v>37</v>
      </c>
      <c r="Q58" s="62">
        <f>2731695509/L1</f>
        <v>2731.6955090000001</v>
      </c>
      <c r="R58" s="29">
        <f>2708768098/L1</f>
        <v>2708.768098</v>
      </c>
      <c r="S58" s="182"/>
      <c r="T58" s="197">
        <v>41</v>
      </c>
      <c r="U58" s="187">
        <v>41</v>
      </c>
      <c r="V58" s="62">
        <f>2062738063/L1</f>
        <v>2062.7380629999998</v>
      </c>
      <c r="W58" s="62">
        <f>2059134205/L1</f>
        <v>2059.1342049999998</v>
      </c>
      <c r="X58" s="97"/>
      <c r="Y58" s="187">
        <v>10</v>
      </c>
      <c r="Z58" s="187">
        <v>9</v>
      </c>
      <c r="AA58" s="62">
        <f>800000000/L1</f>
        <v>800</v>
      </c>
      <c r="AB58" s="189">
        <f>796120747/L1</f>
        <v>796.12074700000005</v>
      </c>
      <c r="AC58" s="97"/>
      <c r="AD58" s="89">
        <v>1</v>
      </c>
      <c r="AE58" s="89">
        <v>0</v>
      </c>
      <c r="AF58" s="62">
        <f>547500000/L1</f>
        <v>547.5</v>
      </c>
      <c r="AG58" s="189"/>
      <c r="AH58" s="182"/>
      <c r="AI58" s="89">
        <f>J58+O58+T58+Y58+AD58-1</f>
        <v>116</v>
      </c>
      <c r="AJ58" s="89">
        <f t="shared" si="4"/>
        <v>114</v>
      </c>
      <c r="AK58" s="61">
        <f t="shared" si="5"/>
        <v>9111.2623329999988</v>
      </c>
      <c r="AL58" s="61">
        <f t="shared" si="5"/>
        <v>8493.0204330000015</v>
      </c>
    </row>
    <row r="59" spans="1:39" ht="58.5" customHeight="1" x14ac:dyDescent="0.25">
      <c r="A59" s="274"/>
      <c r="B59" s="245"/>
      <c r="C59" s="245"/>
      <c r="D59" s="245"/>
      <c r="E59" s="245"/>
      <c r="F59" s="13" t="s">
        <v>187</v>
      </c>
      <c r="G59" s="13" t="s">
        <v>130</v>
      </c>
      <c r="H59" s="280"/>
      <c r="I59" s="14"/>
      <c r="J59" s="15">
        <v>1497</v>
      </c>
      <c r="K59" s="15">
        <v>1484</v>
      </c>
      <c r="L59" s="123">
        <v>3667.6184499999999</v>
      </c>
      <c r="M59" s="29">
        <v>3203.0383700000002</v>
      </c>
      <c r="N59" s="23"/>
      <c r="O59" s="89">
        <v>1598</v>
      </c>
      <c r="P59" s="15">
        <v>1588</v>
      </c>
      <c r="Q59" s="29">
        <f>5904783901/L1</f>
        <v>5904.7839009999998</v>
      </c>
      <c r="R59" s="62">
        <f>5824458558/L1</f>
        <v>5824.4585580000003</v>
      </c>
      <c r="S59" s="182"/>
      <c r="T59" s="15">
        <v>1706</v>
      </c>
      <c r="U59" s="15">
        <v>1706</v>
      </c>
      <c r="V59" s="62">
        <f>3927095865/L1</f>
        <v>3927.0958649999998</v>
      </c>
      <c r="W59" s="62">
        <f>3927095865/L1</f>
        <v>3927.0958649999998</v>
      </c>
      <c r="X59" s="97"/>
      <c r="Y59" s="197">
        <v>0</v>
      </c>
      <c r="Z59" s="187">
        <v>0</v>
      </c>
      <c r="AA59" s="62">
        <v>0</v>
      </c>
      <c r="AB59" s="202">
        <v>0</v>
      </c>
      <c r="AC59" s="97"/>
      <c r="AD59" s="89">
        <v>0</v>
      </c>
      <c r="AE59" s="89">
        <v>0</v>
      </c>
      <c r="AF59" s="62">
        <v>0</v>
      </c>
      <c r="AG59" s="202"/>
      <c r="AH59" s="182"/>
      <c r="AI59" s="89">
        <f>U59</f>
        <v>1706</v>
      </c>
      <c r="AJ59" s="89">
        <f>+U59</f>
        <v>1706</v>
      </c>
      <c r="AK59" s="61">
        <f t="shared" si="5"/>
        <v>13499.498216</v>
      </c>
      <c r="AL59" s="61">
        <f t="shared" si="5"/>
        <v>12954.592793</v>
      </c>
      <c r="AM59" s="96"/>
    </row>
    <row r="60" spans="1:39" ht="43.5" customHeight="1" x14ac:dyDescent="0.25">
      <c r="A60" s="205"/>
      <c r="B60" s="245"/>
      <c r="C60" s="245"/>
      <c r="D60" s="245"/>
      <c r="E60" s="245"/>
      <c r="F60" s="220" t="s">
        <v>183</v>
      </c>
      <c r="G60" s="13" t="s">
        <v>130</v>
      </c>
      <c r="H60" s="165"/>
      <c r="I60" s="14"/>
      <c r="J60" s="15">
        <v>0</v>
      </c>
      <c r="K60" s="15">
        <v>0</v>
      </c>
      <c r="L60" s="123"/>
      <c r="M60" s="29"/>
      <c r="N60" s="23"/>
      <c r="O60" s="89">
        <v>797</v>
      </c>
      <c r="P60" s="89">
        <v>797</v>
      </c>
      <c r="Q60" s="62">
        <f>279171937/L1</f>
        <v>279.17193700000001</v>
      </c>
      <c r="R60" s="29">
        <f>279171937/L1</f>
        <v>279.17193700000001</v>
      </c>
      <c r="S60" s="182"/>
      <c r="T60" s="197">
        <v>437</v>
      </c>
      <c r="U60" s="187">
        <v>437</v>
      </c>
      <c r="V60" s="62">
        <f>477501590/L1</f>
        <v>477.50159000000002</v>
      </c>
      <c r="W60" s="62">
        <f>477501590/L1</f>
        <v>477.50159000000002</v>
      </c>
      <c r="X60" s="97"/>
      <c r="Y60" s="197">
        <v>510</v>
      </c>
      <c r="Z60" s="187">
        <v>58</v>
      </c>
      <c r="AA60" s="62">
        <f>471138201/L1</f>
        <v>471.13820099999998</v>
      </c>
      <c r="AB60" s="202">
        <f>401332220/L1</f>
        <v>401.33222000000001</v>
      </c>
      <c r="AC60" s="97"/>
      <c r="AD60" s="89">
        <v>5</v>
      </c>
      <c r="AE60" s="89">
        <v>0</v>
      </c>
      <c r="AF60" s="62">
        <f>650280000/L1</f>
        <v>650.28</v>
      </c>
      <c r="AG60" s="202"/>
      <c r="AH60" s="182"/>
      <c r="AI60" s="89">
        <f>J60+O60+T60+Y60+AD60</f>
        <v>1749</v>
      </c>
      <c r="AJ60" s="89">
        <f t="shared" si="4"/>
        <v>1292</v>
      </c>
      <c r="AK60" s="61">
        <f t="shared" si="5"/>
        <v>1878.0917280000001</v>
      </c>
      <c r="AL60" s="61">
        <f t="shared" si="5"/>
        <v>1158.0057470000002</v>
      </c>
      <c r="AM60" s="96"/>
    </row>
    <row r="61" spans="1:39" ht="109.5" customHeight="1" x14ac:dyDescent="0.25">
      <c r="A61" s="205"/>
      <c r="B61" s="245"/>
      <c r="C61" s="245"/>
      <c r="D61" s="245"/>
      <c r="E61" s="245"/>
      <c r="F61" s="13" t="s">
        <v>172</v>
      </c>
      <c r="G61" s="13" t="s">
        <v>130</v>
      </c>
      <c r="H61" s="165"/>
      <c r="I61" s="14"/>
      <c r="J61" s="15">
        <v>0</v>
      </c>
      <c r="K61" s="15">
        <v>0</v>
      </c>
      <c r="L61" s="123"/>
      <c r="M61" s="29"/>
      <c r="N61" s="23"/>
      <c r="O61" s="26">
        <v>1</v>
      </c>
      <c r="P61" s="145">
        <v>1</v>
      </c>
      <c r="Q61" s="62">
        <f>4077434183/L1</f>
        <v>4077.4341829999998</v>
      </c>
      <c r="R61" s="29">
        <f>4077434183/L1</f>
        <v>4077.4341829999998</v>
      </c>
      <c r="S61" s="182"/>
      <c r="T61" s="26">
        <v>1</v>
      </c>
      <c r="U61" s="145">
        <v>1</v>
      </c>
      <c r="V61" s="62">
        <f>5557762193/L1</f>
        <v>5557.7621929999996</v>
      </c>
      <c r="W61" s="62">
        <f>5557762193/L1</f>
        <v>5557.7621929999996</v>
      </c>
      <c r="X61" s="97"/>
      <c r="Y61" s="26">
        <v>1</v>
      </c>
      <c r="Z61" s="26">
        <v>1</v>
      </c>
      <c r="AA61" s="62">
        <f>5628124799/L1</f>
        <v>5628.1247990000002</v>
      </c>
      <c r="AB61" s="202">
        <f>4651283090/L1</f>
        <v>4651.2830899999999</v>
      </c>
      <c r="AC61" s="97"/>
      <c r="AD61" s="26">
        <v>1</v>
      </c>
      <c r="AE61" s="89"/>
      <c r="AF61" s="62">
        <f>4674879000/L1</f>
        <v>4674.8789999999999</v>
      </c>
      <c r="AG61" s="202"/>
      <c r="AH61" s="182"/>
      <c r="AI61" s="99">
        <f>AD61</f>
        <v>1</v>
      </c>
      <c r="AJ61" s="145">
        <f>(P61+U61+Z61+AE61)/3</f>
        <v>1</v>
      </c>
      <c r="AK61" s="61">
        <f t="shared" si="5"/>
        <v>19938.200175000002</v>
      </c>
      <c r="AL61" s="61">
        <f t="shared" si="5"/>
        <v>14286.479466000001</v>
      </c>
      <c r="AM61" s="96"/>
    </row>
    <row r="62" spans="1:39" ht="76.5" customHeight="1" x14ac:dyDescent="0.25">
      <c r="A62" s="205"/>
      <c r="B62" s="245"/>
      <c r="C62" s="245"/>
      <c r="D62" s="245"/>
      <c r="E62" s="245"/>
      <c r="F62" s="13" t="s">
        <v>182</v>
      </c>
      <c r="G62" s="13" t="s">
        <v>130</v>
      </c>
      <c r="H62" s="165"/>
      <c r="I62" s="14"/>
      <c r="J62" s="15">
        <v>0</v>
      </c>
      <c r="K62" s="15">
        <v>0</v>
      </c>
      <c r="L62" s="123"/>
      <c r="M62" s="29"/>
      <c r="N62" s="23"/>
      <c r="O62" s="15">
        <v>0</v>
      </c>
      <c r="P62" s="15">
        <v>0</v>
      </c>
      <c r="Q62" s="62">
        <v>0</v>
      </c>
      <c r="R62" s="29">
        <v>0</v>
      </c>
      <c r="S62" s="182"/>
      <c r="T62" s="157">
        <v>266</v>
      </c>
      <c r="U62" s="157">
        <v>266</v>
      </c>
      <c r="V62" s="62">
        <f>150000000/L1</f>
        <v>150</v>
      </c>
      <c r="W62" s="62">
        <f>149984130/L1</f>
        <v>149.98412999999999</v>
      </c>
      <c r="X62" s="97"/>
      <c r="Y62" s="157">
        <v>223</v>
      </c>
      <c r="Z62" s="157">
        <v>46</v>
      </c>
      <c r="AA62" s="62">
        <f>459275781/L1</f>
        <v>459.27578099999999</v>
      </c>
      <c r="AB62" s="202">
        <f>63042666/L1</f>
        <v>63.042665999999997</v>
      </c>
      <c r="AC62" s="97"/>
      <c r="AD62" s="157">
        <v>8</v>
      </c>
      <c r="AE62" s="157">
        <v>0</v>
      </c>
      <c r="AF62" s="62">
        <f>835704000/L1</f>
        <v>835.70399999999995</v>
      </c>
      <c r="AG62" s="202"/>
      <c r="AH62" s="182"/>
      <c r="AI62" s="89">
        <f>J62+O62+T62+Y62+AD62</f>
        <v>497</v>
      </c>
      <c r="AJ62" s="89">
        <f t="shared" si="4"/>
        <v>312</v>
      </c>
      <c r="AK62" s="61">
        <f t="shared" si="5"/>
        <v>1444.979781</v>
      </c>
      <c r="AL62" s="61">
        <f t="shared" si="5"/>
        <v>213.02679599999999</v>
      </c>
      <c r="AM62" s="96"/>
    </row>
    <row r="63" spans="1:39" ht="109.5" customHeight="1" x14ac:dyDescent="0.25">
      <c r="A63" s="205"/>
      <c r="B63" s="239"/>
      <c r="C63" s="239"/>
      <c r="D63" s="239"/>
      <c r="E63" s="239"/>
      <c r="F63" s="13" t="s">
        <v>179</v>
      </c>
      <c r="G63" s="13" t="s">
        <v>130</v>
      </c>
      <c r="H63" s="165"/>
      <c r="I63" s="14"/>
      <c r="J63" s="26">
        <v>0</v>
      </c>
      <c r="K63" s="26">
        <v>0</v>
      </c>
      <c r="L63" s="123"/>
      <c r="M63" s="29"/>
      <c r="N63" s="23"/>
      <c r="O63" s="26">
        <v>0</v>
      </c>
      <c r="P63" s="26">
        <v>0</v>
      </c>
      <c r="Q63" s="62">
        <v>0</v>
      </c>
      <c r="R63" s="29">
        <v>0</v>
      </c>
      <c r="S63" s="182"/>
      <c r="T63" s="26">
        <v>1</v>
      </c>
      <c r="U63" s="26">
        <v>1</v>
      </c>
      <c r="V63" s="62">
        <f>992287113/L1</f>
        <v>992.28711299999998</v>
      </c>
      <c r="W63" s="62">
        <f>991221015/L1</f>
        <v>991.22101499999997</v>
      </c>
      <c r="X63" s="97"/>
      <c r="Y63" s="26">
        <v>1</v>
      </c>
      <c r="Z63" s="26">
        <v>0.89</v>
      </c>
      <c r="AA63" s="62">
        <f>3704324219/L1</f>
        <v>3704.3242190000001</v>
      </c>
      <c r="AB63" s="202">
        <f>2241503771/L1</f>
        <v>2241.5037710000001</v>
      </c>
      <c r="AC63" s="97"/>
      <c r="AD63" s="26">
        <v>1</v>
      </c>
      <c r="AE63" s="26">
        <v>0</v>
      </c>
      <c r="AF63" s="62">
        <f>6133752000/L1</f>
        <v>6133.7520000000004</v>
      </c>
      <c r="AG63" s="202"/>
      <c r="AH63" s="182"/>
      <c r="AI63" s="99">
        <f>AD63</f>
        <v>1</v>
      </c>
      <c r="AJ63" s="145">
        <f>+Z63</f>
        <v>0.89</v>
      </c>
      <c r="AK63" s="61">
        <f t="shared" si="5"/>
        <v>10830.363332000001</v>
      </c>
      <c r="AL63" s="61">
        <f t="shared" si="5"/>
        <v>3232.7247860000002</v>
      </c>
      <c r="AM63" s="96"/>
    </row>
    <row r="64" spans="1:39" ht="109.5" customHeight="1" x14ac:dyDescent="0.25">
      <c r="A64" s="227"/>
      <c r="B64" s="228"/>
      <c r="C64" s="228"/>
      <c r="D64" s="228"/>
      <c r="E64" s="228"/>
      <c r="F64" s="13" t="s">
        <v>188</v>
      </c>
      <c r="G64" s="13" t="s">
        <v>130</v>
      </c>
      <c r="H64" s="226"/>
      <c r="I64" s="14"/>
      <c r="J64" s="62"/>
      <c r="K64" s="26"/>
      <c r="L64" s="123"/>
      <c r="M64" s="29"/>
      <c r="N64" s="23"/>
      <c r="O64" s="26"/>
      <c r="P64" s="26"/>
      <c r="Q64" s="62"/>
      <c r="R64" s="29"/>
      <c r="S64" s="182"/>
      <c r="T64" s="26"/>
      <c r="U64" s="26"/>
      <c r="V64" s="62"/>
      <c r="W64" s="62"/>
      <c r="X64" s="97"/>
      <c r="Y64" s="26">
        <v>1</v>
      </c>
      <c r="Z64" s="26">
        <v>0</v>
      </c>
      <c r="AA64" s="62">
        <f>718000000/L1</f>
        <v>718</v>
      </c>
      <c r="AB64" s="61">
        <f t="shared" ref="AB64" si="6">C64+H64+M64+R64+W64</f>
        <v>0</v>
      </c>
      <c r="AC64" s="97"/>
      <c r="AD64" s="26">
        <v>1</v>
      </c>
      <c r="AE64" s="26">
        <v>0</v>
      </c>
      <c r="AF64" s="62">
        <f>1000000000/L1</f>
        <v>1000</v>
      </c>
      <c r="AG64" s="202"/>
      <c r="AH64" s="182"/>
      <c r="AI64" s="99">
        <f>AD64</f>
        <v>1</v>
      </c>
      <c r="AJ64" s="145">
        <f>+Z64</f>
        <v>0</v>
      </c>
      <c r="AK64" s="61">
        <f t="shared" ref="AK64" si="7">L64+Q64+V64+AA64+AF64</f>
        <v>1718</v>
      </c>
      <c r="AL64" s="61">
        <f t="shared" ref="AL64" si="8">M64+R64+W64+AB64+AG64</f>
        <v>0</v>
      </c>
      <c r="AM64" s="96"/>
    </row>
    <row r="65" spans="1:41" x14ac:dyDescent="0.25">
      <c r="AO65" s="208"/>
    </row>
    <row r="66" spans="1:41" s="6" customFormat="1" ht="15.75" x14ac:dyDescent="0.25">
      <c r="A66" s="194"/>
      <c r="B66" s="163" t="s">
        <v>102</v>
      </c>
      <c r="C66" s="163"/>
      <c r="D66" s="163"/>
      <c r="E66" s="163"/>
      <c r="F66" s="39"/>
      <c r="G66" s="39"/>
      <c r="H66" s="39"/>
      <c r="I66" s="40"/>
      <c r="J66" s="41"/>
      <c r="K66" s="41"/>
      <c r="L66" s="124">
        <f>SUM(L56:L64)</f>
        <v>11708.594607000001</v>
      </c>
      <c r="M66" s="124">
        <f>SUM(M56:M64)</f>
        <v>10451.933638999999</v>
      </c>
      <c r="N66" s="51"/>
      <c r="O66" s="41"/>
      <c r="P66" s="41"/>
      <c r="Q66" s="124">
        <f>SUM(Q56:Q64)</f>
        <v>23664.095000000001</v>
      </c>
      <c r="R66" s="124">
        <f>SUM(R56:R64)</f>
        <v>23514.040919000003</v>
      </c>
      <c r="T66" s="41"/>
      <c r="U66" s="41"/>
      <c r="V66" s="124">
        <f>SUM(V56:V64)</f>
        <v>34263.634844</v>
      </c>
      <c r="W66" s="124">
        <f>SUM(W56:W64)</f>
        <v>34035.025129999995</v>
      </c>
      <c r="Y66" s="41"/>
      <c r="Z66" s="41"/>
      <c r="AA66" s="124">
        <f>SUM(AA56:AA64)</f>
        <v>17844.163</v>
      </c>
      <c r="AB66" s="124">
        <f>SUM(AB56:AB64)</f>
        <v>11814.513107999999</v>
      </c>
      <c r="AC66" s="100"/>
      <c r="AD66" s="41"/>
      <c r="AE66" s="42"/>
      <c r="AF66" s="124">
        <f>SUM(AF56:AF64)</f>
        <v>17375.167999999998</v>
      </c>
      <c r="AG66" s="124">
        <f>SUM(AG56:AG63)</f>
        <v>0</v>
      </c>
      <c r="AI66" s="93"/>
      <c r="AJ66" s="93"/>
      <c r="AK66" s="124">
        <f>SUM(AK56:AK64)</f>
        <v>104855.655451</v>
      </c>
      <c r="AL66" s="124">
        <f>SUM(AL56:AL64)</f>
        <v>79815.512796000025</v>
      </c>
      <c r="AM66" s="219">
        <f>+M66+R66+W66+AB66+AG66-AL66</f>
        <v>0</v>
      </c>
      <c r="AN66" s="91"/>
      <c r="AO66" s="147"/>
    </row>
    <row r="67" spans="1:41" x14ac:dyDescent="0.25">
      <c r="AO67" s="208"/>
    </row>
    <row r="68" spans="1:41" s="170" customFormat="1" ht="15.75" customHeight="1" x14ac:dyDescent="0.2">
      <c r="A68" s="281"/>
      <c r="B68" s="281"/>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81"/>
      <c r="AK68" s="281"/>
      <c r="AL68" s="281"/>
      <c r="AM68" s="169"/>
    </row>
    <row r="69" spans="1:41" s="168" customFormat="1" ht="12.75" x14ac:dyDescent="0.2">
      <c r="A69" s="171"/>
      <c r="B69" s="172"/>
      <c r="C69" s="172"/>
      <c r="D69" s="172"/>
      <c r="E69" s="172"/>
      <c r="F69" s="172"/>
      <c r="G69" s="172"/>
      <c r="H69" s="172"/>
      <c r="I69" s="173"/>
      <c r="J69" s="171"/>
      <c r="K69" s="173"/>
      <c r="L69" s="174"/>
      <c r="M69" s="173"/>
      <c r="N69" s="173"/>
      <c r="O69" s="173"/>
      <c r="P69" s="173"/>
      <c r="Q69" s="173"/>
      <c r="R69" s="173"/>
      <c r="T69" s="175"/>
      <c r="U69" s="175"/>
      <c r="V69" s="175"/>
      <c r="W69" s="175"/>
      <c r="Y69" s="175"/>
      <c r="Z69" s="175"/>
      <c r="AA69" s="175"/>
      <c r="AB69" s="175"/>
      <c r="AD69" s="173"/>
      <c r="AE69" s="173"/>
      <c r="AF69" s="175"/>
      <c r="AG69" s="175"/>
      <c r="AI69" s="176"/>
      <c r="AJ69" s="176"/>
      <c r="AK69" s="176"/>
      <c r="AL69" s="177"/>
      <c r="AM69" s="167"/>
    </row>
    <row r="70" spans="1:41" x14ac:dyDescent="0.25">
      <c r="A70" s="114">
        <v>1</v>
      </c>
      <c r="B70" s="101" t="s">
        <v>93</v>
      </c>
      <c r="C70" s="277" t="s">
        <v>112</v>
      </c>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row>
    <row r="71" spans="1:41" x14ac:dyDescent="0.25">
      <c r="A71" s="113">
        <v>8</v>
      </c>
      <c r="B71" s="6" t="s">
        <v>155</v>
      </c>
      <c r="C71" s="277" t="s">
        <v>156</v>
      </c>
      <c r="D71" s="277"/>
      <c r="E71" s="277"/>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row>
    <row r="72" spans="1:41" x14ac:dyDescent="0.25">
      <c r="A72" s="113">
        <v>19</v>
      </c>
      <c r="B72" s="6" t="s">
        <v>94</v>
      </c>
      <c r="C72" s="277" t="s">
        <v>154</v>
      </c>
      <c r="D72" s="277"/>
      <c r="E72" s="277"/>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row>
    <row r="73" spans="1:41" ht="30" x14ac:dyDescent="0.25">
      <c r="A73" s="113">
        <v>3</v>
      </c>
      <c r="B73" s="102" t="s">
        <v>97</v>
      </c>
      <c r="C73" s="277" t="s">
        <v>113</v>
      </c>
      <c r="D73" s="277"/>
      <c r="E73" s="277"/>
      <c r="F73" s="277"/>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row>
    <row r="75" spans="1:41" s="11" customFormat="1" ht="27" customHeight="1" x14ac:dyDescent="0.25">
      <c r="A75" s="260" t="s">
        <v>2</v>
      </c>
      <c r="B75" s="235" t="s">
        <v>3</v>
      </c>
      <c r="C75" s="275" t="s">
        <v>86</v>
      </c>
      <c r="D75" s="235" t="s">
        <v>66</v>
      </c>
      <c r="E75" s="275" t="s">
        <v>167</v>
      </c>
      <c r="F75" s="257" t="s">
        <v>100</v>
      </c>
      <c r="G75" s="284" t="s">
        <v>89</v>
      </c>
      <c r="H75" s="230" t="s">
        <v>168</v>
      </c>
      <c r="I75" s="10"/>
      <c r="J75" s="230">
        <v>2020</v>
      </c>
      <c r="K75" s="230"/>
      <c r="L75" s="230"/>
      <c r="M75" s="230"/>
      <c r="N75" s="10"/>
      <c r="O75" s="230">
        <v>2021</v>
      </c>
      <c r="P75" s="230"/>
      <c r="Q75" s="230"/>
      <c r="R75" s="230"/>
      <c r="T75" s="230">
        <v>2022</v>
      </c>
      <c r="U75" s="230"/>
      <c r="V75" s="230"/>
      <c r="W75" s="230"/>
      <c r="Y75" s="230">
        <v>2023</v>
      </c>
      <c r="Z75" s="230"/>
      <c r="AA75" s="230"/>
      <c r="AB75" s="230"/>
      <c r="AD75" s="231">
        <v>2024</v>
      </c>
      <c r="AE75" s="232"/>
      <c r="AF75" s="232"/>
      <c r="AG75" s="232"/>
      <c r="AI75" s="278" t="s">
        <v>101</v>
      </c>
      <c r="AJ75" s="278"/>
      <c r="AK75" s="278"/>
      <c r="AL75" s="278"/>
      <c r="AM75" s="95"/>
    </row>
    <row r="76" spans="1:41" s="11" customFormat="1" ht="16.5" customHeight="1" x14ac:dyDescent="0.25">
      <c r="A76" s="261"/>
      <c r="B76" s="236"/>
      <c r="C76" s="258"/>
      <c r="D76" s="236"/>
      <c r="E76" s="258"/>
      <c r="F76" s="258"/>
      <c r="G76" s="284"/>
      <c r="H76" s="230"/>
      <c r="I76" s="10"/>
      <c r="J76" s="230" t="s">
        <v>4</v>
      </c>
      <c r="K76" s="230"/>
      <c r="L76" s="230" t="s">
        <v>61</v>
      </c>
      <c r="M76" s="230"/>
      <c r="N76" s="10"/>
      <c r="O76" s="230" t="s">
        <v>6</v>
      </c>
      <c r="P76" s="230"/>
      <c r="Q76" s="230" t="s">
        <v>8</v>
      </c>
      <c r="R76" s="230"/>
      <c r="S76" s="10"/>
      <c r="T76" s="230" t="s">
        <v>7</v>
      </c>
      <c r="U76" s="230"/>
      <c r="V76" s="230" t="s">
        <v>8</v>
      </c>
      <c r="W76" s="230"/>
      <c r="Y76" s="230" t="s">
        <v>7</v>
      </c>
      <c r="Z76" s="230"/>
      <c r="AA76" s="230" t="s">
        <v>8</v>
      </c>
      <c r="AB76" s="230"/>
      <c r="AD76" s="230" t="s">
        <v>7</v>
      </c>
      <c r="AE76" s="230"/>
      <c r="AF76" s="230" t="s">
        <v>8</v>
      </c>
      <c r="AG76" s="230"/>
      <c r="AI76" s="275" t="s">
        <v>4</v>
      </c>
      <c r="AJ76" s="275" t="s">
        <v>65</v>
      </c>
      <c r="AK76" s="275" t="s">
        <v>8</v>
      </c>
      <c r="AL76" s="275" t="s">
        <v>5</v>
      </c>
      <c r="AM76" s="95"/>
    </row>
    <row r="77" spans="1:41" s="11" customFormat="1" ht="30" x14ac:dyDescent="0.25">
      <c r="A77" s="262"/>
      <c r="B77" s="237"/>
      <c r="C77" s="276"/>
      <c r="D77" s="237"/>
      <c r="E77" s="276"/>
      <c r="F77" s="259"/>
      <c r="G77" s="284"/>
      <c r="H77" s="230"/>
      <c r="I77" s="12"/>
      <c r="J77" s="161" t="s">
        <v>59</v>
      </c>
      <c r="K77" s="161" t="s">
        <v>60</v>
      </c>
      <c r="L77" s="180" t="s">
        <v>63</v>
      </c>
      <c r="M77" s="161" t="s">
        <v>62</v>
      </c>
      <c r="N77" s="12"/>
      <c r="O77" s="181" t="s">
        <v>59</v>
      </c>
      <c r="P77" s="161" t="s">
        <v>60</v>
      </c>
      <c r="Q77" s="181" t="s">
        <v>63</v>
      </c>
      <c r="R77" s="161" t="s">
        <v>62</v>
      </c>
      <c r="S77" s="10"/>
      <c r="T77" s="181" t="s">
        <v>59</v>
      </c>
      <c r="U77" s="161" t="s">
        <v>60</v>
      </c>
      <c r="V77" s="161" t="s">
        <v>63</v>
      </c>
      <c r="W77" s="161" t="s">
        <v>62</v>
      </c>
      <c r="Y77" s="161" t="s">
        <v>59</v>
      </c>
      <c r="Z77" s="161" t="s">
        <v>60</v>
      </c>
      <c r="AA77" s="161" t="s">
        <v>63</v>
      </c>
      <c r="AB77" s="161" t="s">
        <v>62</v>
      </c>
      <c r="AD77" s="161" t="s">
        <v>59</v>
      </c>
      <c r="AE77" s="161" t="s">
        <v>60</v>
      </c>
      <c r="AF77" s="161" t="s">
        <v>63</v>
      </c>
      <c r="AG77" s="161" t="s">
        <v>62</v>
      </c>
      <c r="AI77" s="276"/>
      <c r="AJ77" s="276"/>
      <c r="AK77" s="276"/>
      <c r="AL77" s="276"/>
      <c r="AM77" s="95"/>
    </row>
    <row r="78" spans="1:41" ht="75.75" customHeight="1" x14ac:dyDescent="0.25">
      <c r="A78" s="269" t="s">
        <v>131</v>
      </c>
      <c r="B78" s="238" t="s">
        <v>132</v>
      </c>
      <c r="C78" s="238" t="s">
        <v>87</v>
      </c>
      <c r="D78" s="238" t="s">
        <v>152</v>
      </c>
      <c r="E78" s="271" t="str">
        <f>C71</f>
        <v xml:space="preserve">Aumentar el acceso a vivienda digna, espacio público y equipamientos de la población vulnerable en suelo urbano y rural </v>
      </c>
      <c r="F78" s="112" t="s">
        <v>164</v>
      </c>
      <c r="G78" s="112" t="s">
        <v>171</v>
      </c>
      <c r="H78" s="279" t="str">
        <f>C73</f>
        <v>Sistema Distrital de cuidado</v>
      </c>
      <c r="I78" s="14"/>
      <c r="J78" s="119">
        <v>17305.599999999999</v>
      </c>
      <c r="K78" s="105">
        <v>17000</v>
      </c>
      <c r="L78" s="122"/>
      <c r="M78" s="106"/>
      <c r="N78" s="107"/>
      <c r="O78" s="105">
        <v>14571</v>
      </c>
      <c r="P78" s="105">
        <v>14571</v>
      </c>
      <c r="Q78" s="106"/>
      <c r="R78" s="106"/>
      <c r="S78" s="190"/>
      <c r="T78" s="116">
        <v>40000</v>
      </c>
      <c r="U78" s="116">
        <v>38899</v>
      </c>
      <c r="V78" s="185"/>
      <c r="W78" s="186"/>
      <c r="X78" s="109"/>
      <c r="Y78" s="223">
        <v>18000</v>
      </c>
      <c r="Z78" s="223">
        <v>1028</v>
      </c>
      <c r="AA78" s="185"/>
      <c r="AB78" s="186"/>
      <c r="AC78" s="109"/>
      <c r="AD78" s="116">
        <v>11530</v>
      </c>
      <c r="AE78" s="117">
        <v>0</v>
      </c>
      <c r="AF78" s="185"/>
      <c r="AG78" s="186"/>
      <c r="AH78" s="190"/>
      <c r="AI78" s="117">
        <f>J78+O78+T78+Y78+AD78-1407</f>
        <v>99999.6</v>
      </c>
      <c r="AJ78" s="117">
        <f t="shared" ref="AJ78:AL79" si="9">K78+P78+U78+Z78+AE78</f>
        <v>71498</v>
      </c>
      <c r="AK78" s="111">
        <f t="shared" si="9"/>
        <v>0</v>
      </c>
      <c r="AL78" s="111">
        <f t="shared" si="9"/>
        <v>0</v>
      </c>
      <c r="AM78" s="96"/>
      <c r="AO78" s="199"/>
    </row>
    <row r="79" spans="1:41" ht="43.5" customHeight="1" x14ac:dyDescent="0.25">
      <c r="A79" s="270"/>
      <c r="B79" s="245"/>
      <c r="C79" s="245"/>
      <c r="D79" s="245"/>
      <c r="E79" s="272"/>
      <c r="F79" s="13" t="s">
        <v>178</v>
      </c>
      <c r="G79" s="13" t="s">
        <v>133</v>
      </c>
      <c r="H79" s="280"/>
      <c r="I79" s="14"/>
      <c r="J79" s="118">
        <v>17305.599999999999</v>
      </c>
      <c r="K79" s="98">
        <v>17000</v>
      </c>
      <c r="L79" s="125">
        <f>3602795429/L1</f>
        <v>3602.7954289999998</v>
      </c>
      <c r="M79" s="29">
        <v>3501.5279959999998</v>
      </c>
      <c r="N79" s="23"/>
      <c r="O79" s="98">
        <v>14571</v>
      </c>
      <c r="P79" s="98">
        <v>14571</v>
      </c>
      <c r="Q79" s="62">
        <v>61555</v>
      </c>
      <c r="R79" s="62">
        <v>56013</v>
      </c>
      <c r="S79" s="182"/>
      <c r="T79" s="89">
        <v>40000</v>
      </c>
      <c r="U79" s="89">
        <v>38899</v>
      </c>
      <c r="V79" s="62">
        <f>18750560550/L1</f>
        <v>18750.560549999998</v>
      </c>
      <c r="W79" s="62">
        <f>18722560550/L1</f>
        <v>18722.560549999998</v>
      </c>
      <c r="X79" s="97"/>
      <c r="Y79" s="89">
        <f>+Y78</f>
        <v>18000</v>
      </c>
      <c r="Z79" s="224">
        <f>+Z78</f>
        <v>1028</v>
      </c>
      <c r="AA79" s="62">
        <f>15320661956/L1</f>
        <v>15320.661956</v>
      </c>
      <c r="AB79" s="188">
        <f>9566051401/L1</f>
        <v>9566.0514010000006</v>
      </c>
      <c r="AC79" s="97"/>
      <c r="AD79" s="89">
        <v>11530</v>
      </c>
      <c r="AE79" s="89">
        <v>0</v>
      </c>
      <c r="AF79" s="62">
        <f>4100000000/L1</f>
        <v>4100</v>
      </c>
      <c r="AG79" s="188"/>
      <c r="AH79" s="182"/>
      <c r="AI79" s="89">
        <f>J79+O79+T79+Y79+AD79-1407</f>
        <v>99999.6</v>
      </c>
      <c r="AJ79" s="89">
        <f t="shared" si="9"/>
        <v>71498</v>
      </c>
      <c r="AK79" s="61">
        <f t="shared" si="9"/>
        <v>103329.017935</v>
      </c>
      <c r="AL79" s="61">
        <f t="shared" si="9"/>
        <v>87803.139947000003</v>
      </c>
      <c r="AM79" s="96"/>
    </row>
    <row r="80" spans="1:41" ht="30" x14ac:dyDescent="0.25">
      <c r="A80" s="270"/>
      <c r="B80" s="245"/>
      <c r="C80" s="245"/>
      <c r="D80" s="245"/>
      <c r="E80" s="272"/>
      <c r="F80" s="13" t="s">
        <v>134</v>
      </c>
      <c r="G80" s="13" t="s">
        <v>133</v>
      </c>
      <c r="H80" s="280"/>
      <c r="I80" s="14"/>
      <c r="J80" s="26">
        <v>1</v>
      </c>
      <c r="K80" s="120">
        <v>0.96689999999999998</v>
      </c>
      <c r="L80" s="123">
        <f>1600000000/L1</f>
        <v>1600</v>
      </c>
      <c r="M80" s="29">
        <v>1435.632384</v>
      </c>
      <c r="N80" s="23"/>
      <c r="O80" s="26">
        <v>1</v>
      </c>
      <c r="P80" s="120">
        <v>0.97250000000000003</v>
      </c>
      <c r="Q80" s="62">
        <v>5840</v>
      </c>
      <c r="R80" s="62">
        <v>5444</v>
      </c>
      <c r="S80" s="182"/>
      <c r="T80" s="209">
        <v>1</v>
      </c>
      <c r="U80" s="136">
        <v>0.94579999999999997</v>
      </c>
      <c r="V80" s="62">
        <f>4799456606/L1</f>
        <v>4799.4566059999997</v>
      </c>
      <c r="W80" s="62">
        <f>4638243827/L1</f>
        <v>4638.2438270000002</v>
      </c>
      <c r="X80" s="97"/>
      <c r="Y80" s="209">
        <v>1</v>
      </c>
      <c r="Z80" s="216">
        <v>0.87290000000000001</v>
      </c>
      <c r="AA80" s="62">
        <f>10023901044/L1</f>
        <v>10023.901044</v>
      </c>
      <c r="AB80" s="188">
        <f>6304236578/L1</f>
        <v>6304.236578</v>
      </c>
      <c r="AC80" s="97"/>
      <c r="AD80" s="99">
        <v>1</v>
      </c>
      <c r="AE80" s="99">
        <v>0</v>
      </c>
      <c r="AF80" s="62">
        <f>2842254000/L1</f>
        <v>2842.2539999999999</v>
      </c>
      <c r="AG80" s="188"/>
      <c r="AH80" s="182"/>
      <c r="AI80" s="99">
        <f>AD80</f>
        <v>1</v>
      </c>
      <c r="AJ80" s="136">
        <f>+Z80</f>
        <v>0.87290000000000001</v>
      </c>
      <c r="AK80" s="61">
        <f>L80+Q80+V80+AA80+AF80</f>
        <v>25105.611649999999</v>
      </c>
      <c r="AL80" s="61">
        <f>M80+R80+W80+AB80+AG80</f>
        <v>17822.112788999999</v>
      </c>
      <c r="AM80" s="96"/>
    </row>
    <row r="81" spans="1:42" s="6" customFormat="1" ht="15.75" x14ac:dyDescent="0.25">
      <c r="A81" s="194"/>
      <c r="B81" s="163" t="s">
        <v>102</v>
      </c>
      <c r="C81" s="163"/>
      <c r="D81" s="163"/>
      <c r="E81" s="163"/>
      <c r="F81" s="39"/>
      <c r="G81" s="39"/>
      <c r="H81" s="39"/>
      <c r="I81" s="40"/>
      <c r="J81" s="41"/>
      <c r="K81" s="41"/>
      <c r="L81" s="124">
        <f>SUM(L78:L80)</f>
        <v>5202.7954289999998</v>
      </c>
      <c r="M81" s="42">
        <f>SUM(M78:M80)</f>
        <v>4937.1603799999993</v>
      </c>
      <c r="N81" s="51"/>
      <c r="O81" s="41"/>
      <c r="P81" s="41"/>
      <c r="Q81" s="42">
        <f>SUM(Q78:Q80)</f>
        <v>67395</v>
      </c>
      <c r="R81" s="42">
        <f>SUM(R78:R80)</f>
        <v>61457</v>
      </c>
      <c r="T81" s="41"/>
      <c r="U81" s="41"/>
      <c r="V81" s="42">
        <f>SUM(V78:V80)</f>
        <v>23550.017155999998</v>
      </c>
      <c r="W81" s="42">
        <f>SUM(W78:W80)</f>
        <v>23360.804377</v>
      </c>
      <c r="Y81" s="41"/>
      <c r="Z81" s="41"/>
      <c r="AA81" s="42">
        <f>SUM(AA78:AA80)</f>
        <v>25344.563000000002</v>
      </c>
      <c r="AB81" s="42">
        <f>SUM(AB78:AB80)</f>
        <v>15870.287979000001</v>
      </c>
      <c r="AC81" s="100"/>
      <c r="AD81" s="41"/>
      <c r="AE81" s="42"/>
      <c r="AF81" s="42">
        <f>SUM(AF78:AF80)</f>
        <v>6942.2539999999999</v>
      </c>
      <c r="AG81" s="42">
        <f>SUM(AG78:AG80)</f>
        <v>0</v>
      </c>
      <c r="AI81" s="93"/>
      <c r="AJ81" s="93"/>
      <c r="AK81" s="63">
        <f>SUM(AK78:AK80)</f>
        <v>128434.62958499999</v>
      </c>
      <c r="AL81" s="63">
        <f>SUM(AL78:AL80)</f>
        <v>105625.25273599999</v>
      </c>
      <c r="AM81" s="219">
        <f>+M81+R81+W81+AB81+AG81-AL81</f>
        <v>0</v>
      </c>
      <c r="AO81" s="159"/>
      <c r="AP81" s="159"/>
    </row>
    <row r="83" spans="1:42" s="170" customFormat="1" ht="15.75" customHeight="1" x14ac:dyDescent="0.2">
      <c r="A83" s="281"/>
      <c r="B83" s="281"/>
      <c r="C83" s="281"/>
      <c r="D83" s="281"/>
      <c r="E83" s="281"/>
      <c r="F83" s="281"/>
      <c r="G83" s="281"/>
      <c r="H83" s="281"/>
      <c r="I83" s="281"/>
      <c r="J83" s="281"/>
      <c r="K83" s="281"/>
      <c r="L83" s="281"/>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281"/>
      <c r="AJ83" s="281"/>
      <c r="AK83" s="281"/>
      <c r="AL83" s="281"/>
      <c r="AM83" s="169"/>
    </row>
    <row r="84" spans="1:42" s="168" customFormat="1" ht="12.75" x14ac:dyDescent="0.2">
      <c r="A84" s="171"/>
      <c r="B84" s="172"/>
      <c r="C84" s="172"/>
      <c r="D84" s="172"/>
      <c r="E84" s="172"/>
      <c r="F84" s="172"/>
      <c r="G84" s="172"/>
      <c r="H84" s="172"/>
      <c r="I84" s="173"/>
      <c r="J84" s="171"/>
      <c r="K84" s="173"/>
      <c r="L84" s="174"/>
      <c r="M84" s="173"/>
      <c r="N84" s="173"/>
      <c r="O84" s="173"/>
      <c r="P84" s="173"/>
      <c r="Q84" s="173"/>
      <c r="R84" s="173"/>
      <c r="T84" s="175"/>
      <c r="U84" s="175"/>
      <c r="V84" s="175"/>
      <c r="W84" s="175"/>
      <c r="Y84" s="175"/>
      <c r="Z84" s="175"/>
      <c r="AA84" s="175"/>
      <c r="AB84" s="175"/>
      <c r="AD84" s="173"/>
      <c r="AE84" s="173"/>
      <c r="AF84" s="175"/>
      <c r="AG84" s="175"/>
      <c r="AI84" s="176"/>
      <c r="AJ84" s="176"/>
      <c r="AK84" s="176"/>
      <c r="AL84" s="177"/>
      <c r="AM84" s="167"/>
    </row>
    <row r="85" spans="1:42" x14ac:dyDescent="0.25">
      <c r="A85" s="114">
        <v>5</v>
      </c>
      <c r="B85" s="101" t="s">
        <v>93</v>
      </c>
      <c r="C85" s="277" t="s">
        <v>163</v>
      </c>
      <c r="D85" s="277"/>
      <c r="E85" s="277"/>
      <c r="F85" s="277"/>
      <c r="G85" s="277"/>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row>
    <row r="86" spans="1:42" x14ac:dyDescent="0.25">
      <c r="A86" s="113">
        <v>30</v>
      </c>
      <c r="B86" s="6" t="s">
        <v>155</v>
      </c>
      <c r="C86" s="277" t="s">
        <v>175</v>
      </c>
      <c r="D86" s="277"/>
      <c r="E86" s="277"/>
      <c r="F86" s="277"/>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row>
    <row r="87" spans="1:42" x14ac:dyDescent="0.25">
      <c r="A87" s="113">
        <v>56</v>
      </c>
      <c r="B87" s="6" t="s">
        <v>94</v>
      </c>
      <c r="C87" s="277" t="s">
        <v>135</v>
      </c>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row>
    <row r="88" spans="1:42" ht="30" x14ac:dyDescent="0.25">
      <c r="A88" s="113"/>
      <c r="B88" s="102" t="s">
        <v>97</v>
      </c>
      <c r="C88" s="277" t="s">
        <v>136</v>
      </c>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row>
    <row r="90" spans="1:42" s="11" customFormat="1" ht="27" customHeight="1" x14ac:dyDescent="0.25">
      <c r="A90" s="260" t="s">
        <v>2</v>
      </c>
      <c r="B90" s="235" t="s">
        <v>3</v>
      </c>
      <c r="C90" s="275" t="s">
        <v>86</v>
      </c>
      <c r="D90" s="235" t="s">
        <v>66</v>
      </c>
      <c r="E90" s="275" t="s">
        <v>167</v>
      </c>
      <c r="F90" s="257" t="s">
        <v>100</v>
      </c>
      <c r="G90" s="284" t="s">
        <v>89</v>
      </c>
      <c r="H90" s="230" t="s">
        <v>168</v>
      </c>
      <c r="I90" s="10"/>
      <c r="J90" s="230">
        <v>2020</v>
      </c>
      <c r="K90" s="230"/>
      <c r="L90" s="230"/>
      <c r="M90" s="230"/>
      <c r="N90" s="10"/>
      <c r="O90" s="230">
        <v>2021</v>
      </c>
      <c r="P90" s="230"/>
      <c r="Q90" s="230"/>
      <c r="R90" s="230"/>
      <c r="T90" s="230">
        <v>2022</v>
      </c>
      <c r="U90" s="230"/>
      <c r="V90" s="230"/>
      <c r="W90" s="230"/>
      <c r="Y90" s="230">
        <v>2023</v>
      </c>
      <c r="Z90" s="230"/>
      <c r="AA90" s="230"/>
      <c r="AB90" s="230"/>
      <c r="AD90" s="231">
        <v>2024</v>
      </c>
      <c r="AE90" s="232"/>
      <c r="AF90" s="232"/>
      <c r="AG90" s="232"/>
      <c r="AI90" s="278" t="s">
        <v>101</v>
      </c>
      <c r="AJ90" s="278"/>
      <c r="AK90" s="278"/>
      <c r="AL90" s="278"/>
      <c r="AM90" s="95"/>
    </row>
    <row r="91" spans="1:42" s="11" customFormat="1" ht="16.5" customHeight="1" x14ac:dyDescent="0.25">
      <c r="A91" s="261"/>
      <c r="B91" s="236"/>
      <c r="C91" s="258"/>
      <c r="D91" s="236"/>
      <c r="E91" s="258"/>
      <c r="F91" s="258"/>
      <c r="G91" s="284"/>
      <c r="H91" s="230"/>
      <c r="I91" s="10"/>
      <c r="J91" s="230" t="s">
        <v>4</v>
      </c>
      <c r="K91" s="230"/>
      <c r="L91" s="230" t="s">
        <v>61</v>
      </c>
      <c r="M91" s="230"/>
      <c r="N91" s="10"/>
      <c r="O91" s="230" t="s">
        <v>6</v>
      </c>
      <c r="P91" s="230"/>
      <c r="Q91" s="230" t="s">
        <v>8</v>
      </c>
      <c r="R91" s="230"/>
      <c r="S91" s="10"/>
      <c r="T91" s="230" t="s">
        <v>7</v>
      </c>
      <c r="U91" s="230"/>
      <c r="V91" s="230" t="s">
        <v>8</v>
      </c>
      <c r="W91" s="230"/>
      <c r="Y91" s="230" t="s">
        <v>7</v>
      </c>
      <c r="Z91" s="230"/>
      <c r="AA91" s="230" t="s">
        <v>8</v>
      </c>
      <c r="AB91" s="230"/>
      <c r="AD91" s="230" t="s">
        <v>7</v>
      </c>
      <c r="AE91" s="230"/>
      <c r="AF91" s="230" t="s">
        <v>8</v>
      </c>
      <c r="AG91" s="230"/>
      <c r="AI91" s="275" t="s">
        <v>4</v>
      </c>
      <c r="AJ91" s="275" t="s">
        <v>65</v>
      </c>
      <c r="AK91" s="282" t="s">
        <v>8</v>
      </c>
      <c r="AL91" s="275" t="s">
        <v>5</v>
      </c>
      <c r="AM91" s="95"/>
    </row>
    <row r="92" spans="1:42" s="11" customFormat="1" ht="30" x14ac:dyDescent="0.25">
      <c r="A92" s="262"/>
      <c r="B92" s="237"/>
      <c r="C92" s="276"/>
      <c r="D92" s="237"/>
      <c r="E92" s="276"/>
      <c r="F92" s="259"/>
      <c r="G92" s="284"/>
      <c r="H92" s="230"/>
      <c r="I92" s="12"/>
      <c r="J92" s="161" t="s">
        <v>59</v>
      </c>
      <c r="K92" s="161" t="s">
        <v>60</v>
      </c>
      <c r="L92" s="180" t="s">
        <v>63</v>
      </c>
      <c r="M92" s="161" t="s">
        <v>62</v>
      </c>
      <c r="N92" s="12"/>
      <c r="O92" s="181" t="s">
        <v>59</v>
      </c>
      <c r="P92" s="161" t="s">
        <v>60</v>
      </c>
      <c r="Q92" s="181" t="s">
        <v>63</v>
      </c>
      <c r="R92" s="161" t="s">
        <v>62</v>
      </c>
      <c r="S92" s="10"/>
      <c r="T92" s="181" t="s">
        <v>59</v>
      </c>
      <c r="U92" s="161" t="s">
        <v>60</v>
      </c>
      <c r="V92" s="161" t="s">
        <v>63</v>
      </c>
      <c r="W92" s="161" t="s">
        <v>62</v>
      </c>
      <c r="Y92" s="161" t="s">
        <v>59</v>
      </c>
      <c r="Z92" s="161" t="s">
        <v>60</v>
      </c>
      <c r="AA92" s="161" t="s">
        <v>63</v>
      </c>
      <c r="AB92" s="161" t="s">
        <v>62</v>
      </c>
      <c r="AD92" s="161" t="s">
        <v>59</v>
      </c>
      <c r="AE92" s="161" t="s">
        <v>60</v>
      </c>
      <c r="AF92" s="161" t="s">
        <v>63</v>
      </c>
      <c r="AG92" s="161" t="s">
        <v>62</v>
      </c>
      <c r="AI92" s="276"/>
      <c r="AJ92" s="276"/>
      <c r="AK92" s="283"/>
      <c r="AL92" s="276"/>
      <c r="AM92" s="95"/>
    </row>
    <row r="93" spans="1:42" ht="45" x14ac:dyDescent="0.25">
      <c r="A93" s="269" t="s">
        <v>137</v>
      </c>
      <c r="B93" s="238" t="s">
        <v>138</v>
      </c>
      <c r="C93" s="238" t="s">
        <v>139</v>
      </c>
      <c r="D93" s="238" t="s">
        <v>153</v>
      </c>
      <c r="E93" s="271" t="str">
        <f>C86</f>
        <v xml:space="preserve"> Incrementar la efectividad de la gestión pública distrital y local. </v>
      </c>
      <c r="F93" s="112" t="s">
        <v>165</v>
      </c>
      <c r="G93" s="112" t="s">
        <v>140</v>
      </c>
      <c r="H93" s="279" t="str">
        <f>C88</f>
        <v>Gestión pública efectiva, abierta y transparente</v>
      </c>
      <c r="I93" s="14"/>
      <c r="J93" s="137">
        <v>0.1</v>
      </c>
      <c r="K93" s="138">
        <v>0.1</v>
      </c>
      <c r="L93" s="126"/>
      <c r="M93" s="106"/>
      <c r="N93" s="107"/>
      <c r="O93" s="137">
        <v>0.25</v>
      </c>
      <c r="P93" s="151">
        <v>0.25</v>
      </c>
      <c r="Q93" s="106"/>
      <c r="R93" s="106"/>
      <c r="S93" s="190"/>
      <c r="T93" s="210">
        <v>0.3</v>
      </c>
      <c r="U93" s="211">
        <v>0.3</v>
      </c>
      <c r="V93" s="185"/>
      <c r="W93" s="186"/>
      <c r="X93" s="109"/>
      <c r="Y93" s="210">
        <v>0.25</v>
      </c>
      <c r="Z93" s="183">
        <v>0.185</v>
      </c>
      <c r="AA93" s="185"/>
      <c r="AB93" s="186"/>
      <c r="AC93" s="109"/>
      <c r="AD93" s="140">
        <v>0.1</v>
      </c>
      <c r="AE93" s="210">
        <v>0</v>
      </c>
      <c r="AF93" s="185"/>
      <c r="AG93" s="186"/>
      <c r="AH93" s="190"/>
      <c r="AI93" s="140">
        <f t="shared" ref="AI93:AL98" si="10">J93+O93+T93+Y93+AD93</f>
        <v>0.99999999999999989</v>
      </c>
      <c r="AJ93" s="222">
        <f t="shared" si="10"/>
        <v>0.83499999999999996</v>
      </c>
      <c r="AK93" s="111">
        <f t="shared" si="10"/>
        <v>0</v>
      </c>
      <c r="AL93" s="111">
        <f t="shared" si="10"/>
        <v>0</v>
      </c>
      <c r="AM93" s="96"/>
    </row>
    <row r="94" spans="1:42" ht="45" x14ac:dyDescent="0.25">
      <c r="A94" s="270"/>
      <c r="B94" s="245"/>
      <c r="C94" s="245"/>
      <c r="D94" s="245"/>
      <c r="E94" s="272"/>
      <c r="F94" s="212" t="s">
        <v>141</v>
      </c>
      <c r="G94" s="212" t="s">
        <v>142</v>
      </c>
      <c r="H94" s="280"/>
      <c r="I94" s="14"/>
      <c r="J94" s="139">
        <v>0.1</v>
      </c>
      <c r="K94" s="143">
        <v>0.1</v>
      </c>
      <c r="L94" s="123">
        <v>3048.153773</v>
      </c>
      <c r="M94" s="29">
        <v>2948.422376</v>
      </c>
      <c r="N94" s="23"/>
      <c r="O94" s="139">
        <v>0.25</v>
      </c>
      <c r="P94" s="152">
        <v>0.25</v>
      </c>
      <c r="Q94" s="62">
        <f>3679264491/L1</f>
        <v>3679.2644909999999</v>
      </c>
      <c r="R94" s="29">
        <f>3664659327/L1</f>
        <v>3664.6593269999998</v>
      </c>
      <c r="S94" s="182"/>
      <c r="T94" s="213">
        <v>0.3</v>
      </c>
      <c r="U94" s="214">
        <v>0.3</v>
      </c>
      <c r="V94" s="62">
        <f>4404578840/L1</f>
        <v>4404.5788400000001</v>
      </c>
      <c r="W94" s="62">
        <f>4404578838/L1</f>
        <v>4404.5788380000004</v>
      </c>
      <c r="X94" s="97"/>
      <c r="Y94" s="213">
        <v>0.25</v>
      </c>
      <c r="Z94" s="192">
        <v>0.18559999999999999</v>
      </c>
      <c r="AA94" s="62">
        <f>4770389094/L1</f>
        <v>4770.3890940000001</v>
      </c>
      <c r="AB94" s="188">
        <f>4369271747/L1</f>
        <v>4369.2717469999998</v>
      </c>
      <c r="AC94" s="97"/>
      <c r="AD94" s="141">
        <v>0.1</v>
      </c>
      <c r="AE94" s="215">
        <v>0</v>
      </c>
      <c r="AF94" s="62">
        <f xml:space="preserve"> 4314041000/L1</f>
        <v>4314.0410000000002</v>
      </c>
      <c r="AG94" s="188"/>
      <c r="AH94" s="182"/>
      <c r="AI94" s="141">
        <f t="shared" si="10"/>
        <v>0.99999999999999989</v>
      </c>
      <c r="AJ94" s="145">
        <f t="shared" si="10"/>
        <v>0.8355999999999999</v>
      </c>
      <c r="AK94" s="61">
        <f t="shared" si="10"/>
        <v>20216.427198000001</v>
      </c>
      <c r="AL94" s="61">
        <f t="shared" si="10"/>
        <v>15386.932288</v>
      </c>
      <c r="AM94" s="96"/>
    </row>
    <row r="95" spans="1:42" ht="45" x14ac:dyDescent="0.25">
      <c r="A95" s="270"/>
      <c r="B95" s="245"/>
      <c r="C95" s="245"/>
      <c r="D95" s="245"/>
      <c r="E95" s="272"/>
      <c r="F95" s="212" t="s">
        <v>143</v>
      </c>
      <c r="G95" s="212" t="s">
        <v>144</v>
      </c>
      <c r="H95" s="280"/>
      <c r="I95" s="14"/>
      <c r="J95" s="139">
        <v>0.1</v>
      </c>
      <c r="K95" s="136">
        <v>0.1</v>
      </c>
      <c r="L95" s="123">
        <v>1331.746357</v>
      </c>
      <c r="M95" s="29">
        <v>1314.039006</v>
      </c>
      <c r="N95" s="23"/>
      <c r="O95" s="139">
        <v>0.25</v>
      </c>
      <c r="P95" s="152">
        <v>0.25</v>
      </c>
      <c r="Q95" s="62">
        <f>2926616487/L1</f>
        <v>2926.6164869999998</v>
      </c>
      <c r="R95" s="29">
        <f>2923453407/L1</f>
        <v>2923.453407</v>
      </c>
      <c r="S95" s="182"/>
      <c r="T95" s="213">
        <v>0.3</v>
      </c>
      <c r="U95" s="193">
        <v>0.3</v>
      </c>
      <c r="V95" s="62">
        <f>3179641038/L1</f>
        <v>3179.6410380000002</v>
      </c>
      <c r="W95" s="62">
        <f>3179601851/L1</f>
        <v>3179.6018509999999</v>
      </c>
      <c r="X95" s="97"/>
      <c r="Y95" s="213">
        <v>0.25</v>
      </c>
      <c r="Z95" s="216">
        <v>0.18740000000000001</v>
      </c>
      <c r="AA95" s="62">
        <f>3518827748/L1</f>
        <v>3518.8277480000002</v>
      </c>
      <c r="AB95" s="188">
        <f>2659335065/L1</f>
        <v>2659.3350650000002</v>
      </c>
      <c r="AC95" s="97"/>
      <c r="AD95" s="141">
        <v>0.1</v>
      </c>
      <c r="AE95" s="99">
        <v>0</v>
      </c>
      <c r="AF95" s="62">
        <f>3090431000/L1</f>
        <v>3090.431</v>
      </c>
      <c r="AG95" s="188"/>
      <c r="AH95" s="182"/>
      <c r="AI95" s="141">
        <f t="shared" si="10"/>
        <v>0.99999999999999989</v>
      </c>
      <c r="AJ95" s="145">
        <f t="shared" si="10"/>
        <v>0.83739999999999992</v>
      </c>
      <c r="AK95" s="61">
        <f t="shared" si="10"/>
        <v>14047.262629999999</v>
      </c>
      <c r="AL95" s="61">
        <f t="shared" si="10"/>
        <v>10076.429328999999</v>
      </c>
      <c r="AM95" s="96"/>
    </row>
    <row r="96" spans="1:42" ht="75" x14ac:dyDescent="0.25">
      <c r="A96" s="270"/>
      <c r="B96" s="245"/>
      <c r="C96" s="245"/>
      <c r="D96" s="245"/>
      <c r="E96" s="272"/>
      <c r="F96" s="212" t="s">
        <v>145</v>
      </c>
      <c r="G96" s="212" t="s">
        <v>146</v>
      </c>
      <c r="H96" s="280"/>
      <c r="I96" s="14"/>
      <c r="J96" s="128">
        <v>1.5</v>
      </c>
      <c r="K96" s="129">
        <v>1.5</v>
      </c>
      <c r="L96" s="123">
        <v>147.96897799999999</v>
      </c>
      <c r="M96" s="29">
        <v>147.96897799999999</v>
      </c>
      <c r="N96" s="23"/>
      <c r="O96" s="132">
        <v>3.75</v>
      </c>
      <c r="P96" s="132">
        <v>3.75</v>
      </c>
      <c r="Q96" s="62">
        <f>226913453/L1</f>
        <v>226.913453</v>
      </c>
      <c r="R96" s="29">
        <f>226511474/L1</f>
        <v>226.51147399999999</v>
      </c>
      <c r="S96" s="182"/>
      <c r="T96" s="132">
        <v>4.5</v>
      </c>
      <c r="U96" s="132">
        <v>4.5</v>
      </c>
      <c r="V96" s="62">
        <f>329259368/L1</f>
        <v>329.25936799999999</v>
      </c>
      <c r="W96" s="62">
        <f>329259368/L1</f>
        <v>329.25936799999999</v>
      </c>
      <c r="X96" s="97"/>
      <c r="Y96" s="132">
        <v>3.75</v>
      </c>
      <c r="Z96" s="132">
        <v>2.81</v>
      </c>
      <c r="AA96" s="62">
        <f>272660400/L1</f>
        <v>272.66039999999998</v>
      </c>
      <c r="AB96" s="188">
        <f>190910400/L1</f>
        <v>190.91040000000001</v>
      </c>
      <c r="AC96" s="97"/>
      <c r="AD96" s="132">
        <v>1.5</v>
      </c>
      <c r="AE96" s="132">
        <v>0</v>
      </c>
      <c r="AF96" s="62">
        <f>262529000/L1</f>
        <v>262.529</v>
      </c>
      <c r="AG96" s="188"/>
      <c r="AH96" s="182"/>
      <c r="AI96" s="133">
        <f t="shared" si="10"/>
        <v>15</v>
      </c>
      <c r="AJ96" s="158">
        <f t="shared" si="10"/>
        <v>12.56</v>
      </c>
      <c r="AK96" s="61">
        <f t="shared" si="10"/>
        <v>1239.331199</v>
      </c>
      <c r="AL96" s="61">
        <f t="shared" si="10"/>
        <v>894.65021999999999</v>
      </c>
      <c r="AM96" s="155"/>
    </row>
    <row r="97" spans="1:43" ht="60" x14ac:dyDescent="0.25">
      <c r="A97" s="270"/>
      <c r="B97" s="245"/>
      <c r="C97" s="245"/>
      <c r="D97" s="245"/>
      <c r="E97" s="272"/>
      <c r="F97" s="212" t="s">
        <v>166</v>
      </c>
      <c r="G97" s="212" t="s">
        <v>148</v>
      </c>
      <c r="H97" s="280"/>
      <c r="I97" s="14"/>
      <c r="J97" s="26">
        <v>0</v>
      </c>
      <c r="K97" s="136">
        <v>0</v>
      </c>
      <c r="L97" s="123">
        <v>0</v>
      </c>
      <c r="M97" s="29">
        <v>0</v>
      </c>
      <c r="N97" s="23"/>
      <c r="O97" s="26">
        <v>0.35</v>
      </c>
      <c r="P97" s="142">
        <v>0.35</v>
      </c>
      <c r="Q97" s="135">
        <f>322206012/L1</f>
        <v>322.20601199999999</v>
      </c>
      <c r="R97" s="29">
        <f>322206012/L1</f>
        <v>322.20601199999999</v>
      </c>
      <c r="S97" s="182"/>
      <c r="T97" s="209">
        <v>0.3</v>
      </c>
      <c r="U97" s="216">
        <v>0.3</v>
      </c>
      <c r="V97" s="62">
        <f>1182721850/L1</f>
        <v>1182.7218499999999</v>
      </c>
      <c r="W97" s="62">
        <f>1182721830/L1</f>
        <v>1182.72183</v>
      </c>
      <c r="X97" s="97"/>
      <c r="Y97" s="209">
        <v>0.25</v>
      </c>
      <c r="Z97" s="192">
        <v>0.17499999999999999</v>
      </c>
      <c r="AA97" s="62">
        <f>802712540/L1</f>
        <v>802.71253999999999</v>
      </c>
      <c r="AB97" s="188">
        <f>784926540/L1</f>
        <v>784.92654000000005</v>
      </c>
      <c r="AC97" s="97"/>
      <c r="AD97" s="99">
        <v>0.1</v>
      </c>
      <c r="AE97" s="99">
        <v>0</v>
      </c>
      <c r="AF97" s="62">
        <f>758521000/L1</f>
        <v>758.52099999999996</v>
      </c>
      <c r="AG97" s="188"/>
      <c r="AH97" s="182"/>
      <c r="AI97" s="99">
        <f t="shared" si="10"/>
        <v>0.99999999999999989</v>
      </c>
      <c r="AJ97" s="120">
        <f t="shared" si="10"/>
        <v>0.82499999999999996</v>
      </c>
      <c r="AK97" s="61">
        <f t="shared" si="10"/>
        <v>3066.1614019999997</v>
      </c>
      <c r="AL97" s="61">
        <f t="shared" si="10"/>
        <v>2289.854382</v>
      </c>
      <c r="AM97" s="96"/>
    </row>
    <row r="98" spans="1:43" ht="24.75" customHeight="1" x14ac:dyDescent="0.25">
      <c r="A98" s="205"/>
      <c r="B98" s="162"/>
      <c r="C98" s="162"/>
      <c r="D98" s="162"/>
      <c r="E98" s="164"/>
      <c r="F98" s="212" t="s">
        <v>147</v>
      </c>
      <c r="G98" s="212" t="s">
        <v>148</v>
      </c>
      <c r="H98" s="165"/>
      <c r="I98" s="14"/>
      <c r="J98" s="26">
        <v>0.05</v>
      </c>
      <c r="K98" s="136">
        <v>0.05</v>
      </c>
      <c r="L98" s="123">
        <v>2200.3575080000001</v>
      </c>
      <c r="M98" s="29">
        <v>1998.231702</v>
      </c>
      <c r="N98" s="23"/>
      <c r="O98" s="134">
        <v>0.125</v>
      </c>
      <c r="P98" s="146">
        <v>0.125</v>
      </c>
      <c r="Q98" s="135">
        <f>2090691557/L1</f>
        <v>2090.6915570000001</v>
      </c>
      <c r="R98" s="29">
        <f>2083805588/L1</f>
        <v>2083.8055880000002</v>
      </c>
      <c r="S98" s="182"/>
      <c r="T98" s="209">
        <v>0.15</v>
      </c>
      <c r="U98" s="193">
        <v>0.15</v>
      </c>
      <c r="V98" s="62">
        <f xml:space="preserve"> 2903798904/L1</f>
        <v>2903.7989040000002</v>
      </c>
      <c r="W98" s="62">
        <f>2883365115/L1</f>
        <v>2883.3651150000001</v>
      </c>
      <c r="X98" s="97"/>
      <c r="Y98" s="217">
        <v>0.125</v>
      </c>
      <c r="Z98" s="192">
        <v>9.1300000000000006E-2</v>
      </c>
      <c r="AA98" s="62">
        <f>3261566218/L1</f>
        <v>3261.5662179999999</v>
      </c>
      <c r="AB98" s="188">
        <f>2269707890/L1</f>
        <v>2269.7078900000001</v>
      </c>
      <c r="AC98" s="97"/>
      <c r="AD98" s="99">
        <v>0.05</v>
      </c>
      <c r="AE98" s="99">
        <v>0</v>
      </c>
      <c r="AF98" s="62">
        <f>6200027000/L1</f>
        <v>6200.027</v>
      </c>
      <c r="AG98" s="188"/>
      <c r="AH98" s="182"/>
      <c r="AI98" s="99">
        <f t="shared" si="10"/>
        <v>0.49999999999999994</v>
      </c>
      <c r="AJ98" s="136">
        <f t="shared" si="10"/>
        <v>0.41629999999999995</v>
      </c>
      <c r="AK98" s="61">
        <f t="shared" si="10"/>
        <v>16656.441187</v>
      </c>
      <c r="AL98" s="61">
        <f t="shared" si="10"/>
        <v>9235.1102950000004</v>
      </c>
      <c r="AM98" s="96"/>
    </row>
    <row r="99" spans="1:43" s="6" customFormat="1" ht="15.75" x14ac:dyDescent="0.25">
      <c r="A99" s="194"/>
      <c r="B99" s="163" t="s">
        <v>102</v>
      </c>
      <c r="C99" s="163"/>
      <c r="D99" s="163"/>
      <c r="E99" s="163"/>
      <c r="F99" s="39"/>
      <c r="G99" s="39"/>
      <c r="H99" s="39"/>
      <c r="I99" s="40"/>
      <c r="J99" s="41"/>
      <c r="K99" s="41"/>
      <c r="L99" s="124">
        <f>SUM(L93:L98)</f>
        <v>6728.2266159999999</v>
      </c>
      <c r="M99" s="121">
        <f>SUM(M93:M98)</f>
        <v>6408.6620619999994</v>
      </c>
      <c r="N99" s="51"/>
      <c r="O99" s="41"/>
      <c r="P99" s="41"/>
      <c r="Q99" s="121">
        <f>SUM(Q93:Q98)</f>
        <v>9245.6919999999991</v>
      </c>
      <c r="R99" s="121">
        <f>SUM(R93:R98)</f>
        <v>9220.6358079999991</v>
      </c>
      <c r="T99" s="41"/>
      <c r="U99" s="41"/>
      <c r="V99" s="121">
        <f>SUM(V93:V98)</f>
        <v>12000</v>
      </c>
      <c r="W99" s="121">
        <f>SUM(W93:W98)</f>
        <v>11979.527002000001</v>
      </c>
      <c r="Y99" s="41"/>
      <c r="Z99" s="41"/>
      <c r="AA99" s="121">
        <f>SUM(AA93:AA98)</f>
        <v>12626.156000000001</v>
      </c>
      <c r="AB99" s="121">
        <f>SUM(AB93:AB98)</f>
        <v>10274.151642000001</v>
      </c>
      <c r="AC99" s="100"/>
      <c r="AD99" s="41"/>
      <c r="AE99" s="42"/>
      <c r="AF99" s="121">
        <f>SUM(AF93:AF98)</f>
        <v>14625.549000000001</v>
      </c>
      <c r="AG99" s="121">
        <f>SUM(AG93:AG98)</f>
        <v>0</v>
      </c>
      <c r="AI99" s="93"/>
      <c r="AJ99" s="93"/>
      <c r="AK99" s="121">
        <f>SUM(AK93:AK98)</f>
        <v>55225.623615999997</v>
      </c>
      <c r="AL99" s="121">
        <f>SUM(AL93:AL98)</f>
        <v>37882.976514000002</v>
      </c>
      <c r="AM99" s="219">
        <f>+M99+R99+W99+AB99+AG99-AL99</f>
        <v>0</v>
      </c>
      <c r="AN99" s="50"/>
      <c r="AO99" s="159"/>
      <c r="AP99" s="159"/>
      <c r="AQ99" s="95"/>
    </row>
    <row r="100" spans="1:43" hidden="1" x14ac:dyDescent="0.25"/>
    <row r="101" spans="1:43" hidden="1" x14ac:dyDescent="0.25"/>
    <row r="102" spans="1:43" hidden="1" x14ac:dyDescent="0.25"/>
    <row r="103" spans="1:43" hidden="1" x14ac:dyDescent="0.25"/>
    <row r="104" spans="1:43" hidden="1" x14ac:dyDescent="0.25"/>
    <row r="105" spans="1:43" hidden="1" x14ac:dyDescent="0.25">
      <c r="L105" s="206">
        <f>+L27+L44+L66+L81+L99</f>
        <v>34805.360567999996</v>
      </c>
      <c r="M105" s="206">
        <f>+M27+M44+M66+M81+M99</f>
        <v>32205.852919000001</v>
      </c>
      <c r="Q105" s="206">
        <f>+Q27+Q44+Q66+Q81+Q99</f>
        <v>118190.417026</v>
      </c>
      <c r="R105" s="206">
        <f>+R27+R44+R66+R81+R99</f>
        <v>111757.48825600001</v>
      </c>
      <c r="V105" s="206">
        <f>+V27+V44+V66+V81+V99</f>
        <v>93563.653000000006</v>
      </c>
      <c r="W105" s="206">
        <f>+W27+W44+W66+W81+W99</f>
        <v>92813.228541000004</v>
      </c>
      <c r="AA105" s="206">
        <f>+AA27+AA44+AA66+AA81+AA99</f>
        <v>80776.742000000013</v>
      </c>
      <c r="AB105" s="206">
        <f>+AB27+AB44+AB66+AB81+AB99</f>
        <v>55533.029475999996</v>
      </c>
      <c r="AF105" s="206">
        <f>+AF27+AF44+AF66+AF81+AF99</f>
        <v>54325.078999999998</v>
      </c>
      <c r="AG105" s="206">
        <f>+AG27+AG44+AG66+AG81+AG99</f>
        <v>0</v>
      </c>
      <c r="AK105" s="206">
        <f>+AK27+AK44+AK66+AK81+AK99</f>
        <v>381661.25159399997</v>
      </c>
      <c r="AL105" s="206">
        <f>+AL27+AL44+AL66+AL81+AL99</f>
        <v>292309.59919199999</v>
      </c>
    </row>
    <row r="106" spans="1:43" hidden="1" x14ac:dyDescent="0.25"/>
    <row r="107" spans="1:43" hidden="1" x14ac:dyDescent="0.25"/>
    <row r="108" spans="1:43" hidden="1" x14ac:dyDescent="0.25">
      <c r="AF108" s="182"/>
    </row>
    <row r="109" spans="1:43" hidden="1" x14ac:dyDescent="0.25"/>
    <row r="110" spans="1:43" hidden="1" x14ac:dyDescent="0.25"/>
    <row r="111" spans="1:43" hidden="1" x14ac:dyDescent="0.25"/>
    <row r="112" spans="1:43" hidden="1" x14ac:dyDescent="0.25"/>
    <row r="113" hidden="1" x14ac:dyDescent="0.25"/>
    <row r="114" hidden="1" x14ac:dyDescent="0.25"/>
    <row r="115" hidden="1" x14ac:dyDescent="0.25"/>
    <row r="116" hidden="1" x14ac:dyDescent="0.25"/>
    <row r="117" hidden="1" x14ac:dyDescent="0.25"/>
  </sheetData>
  <mergeCells count="200">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V37:W37"/>
    <mergeCell ref="Y37:Z37"/>
    <mergeCell ref="AA37:AB37"/>
    <mergeCell ref="AD37:AE37"/>
    <mergeCell ref="AF37:AG37"/>
    <mergeCell ref="G90:G92"/>
    <mergeCell ref="H90:H92"/>
    <mergeCell ref="J90:M90"/>
    <mergeCell ref="O90:R90"/>
    <mergeCell ref="T90:W90"/>
    <mergeCell ref="Y90:AB90"/>
    <mergeCell ref="J75:M75"/>
    <mergeCell ref="O75:R75"/>
    <mergeCell ref="T75:W75"/>
    <mergeCell ref="Y75:AB75"/>
    <mergeCell ref="J76:K76"/>
    <mergeCell ref="L76:M76"/>
    <mergeCell ref="O76:P76"/>
    <mergeCell ref="Q76:R76"/>
    <mergeCell ref="T76:U76"/>
    <mergeCell ref="V76:W76"/>
    <mergeCell ref="Y76:Z76"/>
    <mergeCell ref="AA76:AB76"/>
    <mergeCell ref="H56:H59"/>
    <mergeCell ref="D36:D38"/>
    <mergeCell ref="E36:E38"/>
    <mergeCell ref="F36:F38"/>
    <mergeCell ref="G36:G38"/>
    <mergeCell ref="H36:H38"/>
    <mergeCell ref="J36:M36"/>
    <mergeCell ref="T37:U37"/>
    <mergeCell ref="G75:G77"/>
    <mergeCell ref="H75:H77"/>
    <mergeCell ref="E39:E43"/>
    <mergeCell ref="D39:D43"/>
    <mergeCell ref="E56:E63"/>
    <mergeCell ref="D56:D63"/>
    <mergeCell ref="Q54:R54"/>
    <mergeCell ref="T54:U54"/>
    <mergeCell ref="V54:W54"/>
    <mergeCell ref="Y54:Z54"/>
    <mergeCell ref="AA54:AB54"/>
    <mergeCell ref="AD54:AE54"/>
    <mergeCell ref="AF54:AG54"/>
    <mergeCell ref="AI54:AI55"/>
    <mergeCell ref="AJ54:AJ55"/>
    <mergeCell ref="C90:C92"/>
    <mergeCell ref="D90:D92"/>
    <mergeCell ref="E90:E92"/>
    <mergeCell ref="F90:F92"/>
    <mergeCell ref="C73:AL73"/>
    <mergeCell ref="A83:AL83"/>
    <mergeCell ref="C85:AL85"/>
    <mergeCell ref="C87:AL87"/>
    <mergeCell ref="C88:AL88"/>
    <mergeCell ref="AD90:AG90"/>
    <mergeCell ref="AI90:AL90"/>
    <mergeCell ref="J91:K91"/>
    <mergeCell ref="L91:M91"/>
    <mergeCell ref="O91:P91"/>
    <mergeCell ref="Q91:R91"/>
    <mergeCell ref="T91:U91"/>
    <mergeCell ref="AD91:AE91"/>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AJ91:AJ92"/>
    <mergeCell ref="AK91:AK92"/>
    <mergeCell ref="AL91:AL92"/>
    <mergeCell ref="A78:A80"/>
    <mergeCell ref="F75:F77"/>
    <mergeCell ref="AK76:AK77"/>
    <mergeCell ref="AL76:AL77"/>
    <mergeCell ref="B78:B80"/>
    <mergeCell ref="C78:C80"/>
    <mergeCell ref="D78:D80"/>
    <mergeCell ref="E78:E80"/>
    <mergeCell ref="H78:H80"/>
    <mergeCell ref="V91:W91"/>
    <mergeCell ref="Y91:Z91"/>
    <mergeCell ref="AA91:AB91"/>
    <mergeCell ref="C86:AL86"/>
    <mergeCell ref="AF91:AG91"/>
    <mergeCell ref="AI91:AI92"/>
    <mergeCell ref="A93:A97"/>
    <mergeCell ref="B93:B97"/>
    <mergeCell ref="C93:C97"/>
    <mergeCell ref="D93:D97"/>
    <mergeCell ref="E93:E97"/>
    <mergeCell ref="A56:A59"/>
    <mergeCell ref="A75:A77"/>
    <mergeCell ref="B75:B77"/>
    <mergeCell ref="C75:C77"/>
    <mergeCell ref="D75:D77"/>
    <mergeCell ref="E75:E77"/>
    <mergeCell ref="C72:AL72"/>
    <mergeCell ref="AD75:AG75"/>
    <mergeCell ref="AI75:AL75"/>
    <mergeCell ref="AD76:AE76"/>
    <mergeCell ref="AF76:AG76"/>
    <mergeCell ref="AI76:AI77"/>
    <mergeCell ref="AJ76:AJ77"/>
    <mergeCell ref="H93:H97"/>
    <mergeCell ref="A68:AL68"/>
    <mergeCell ref="C70:AL70"/>
    <mergeCell ref="C71:AL71"/>
    <mergeCell ref="A90:A92"/>
    <mergeCell ref="B90:B92"/>
  </mergeCells>
  <printOptions headings="1"/>
  <pageMargins left="0.70866141732283472" right="0.70866141732283472" top="0.74803149606299213" bottom="0.74803149606299213" header="0.31496062992125984" footer="0.31496062992125984"/>
  <pageSetup paperSize="5" scale="31" fitToHeight="2" orientation="landscape" r:id="rId1"/>
  <customProperties>
    <customPr name="_pios_id" r:id="rId2"/>
    <customPr name="EpmWorksheetKeyString_GUID" r:id="rId3"/>
  </customProperties>
  <ignoredErrors>
    <ignoredError sqref="AI22:AJ22 AI61:AI62" formula="1"/>
    <ignoredError sqref="AJ42" evalError="1"/>
    <ignoredError sqref="T42 Y42" numberStoredAsText="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SEP-2023</vt:lpstr>
      <vt:lpstr>'SEP-2023'!Área_de_impresión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2023-10-27T18:25:50Z</cp:lastPrinted>
  <dcterms:created xsi:type="dcterms:W3CDTF">2009-07-24T20:19:08Z</dcterms:created>
  <dcterms:modified xsi:type="dcterms:W3CDTF">2023-10-27T18:43:48Z</dcterms:modified>
</cp:coreProperties>
</file>