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28800" windowHeight="13620" tabRatio="553" firstSheet="2" activeTab="2"/>
  </bookViews>
  <sheets>
    <sheet name="DIFERENCIAS" sheetId="52" state="hidden" r:id="rId1"/>
    <sheet name="SOPORTE REPROGRAMACIÓN $ 2017" sheetId="53" state="hidden" r:id="rId2"/>
    <sheet name="Abril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'Abril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3" i="93" l="1"/>
  <c r="AJ89" i="93"/>
  <c r="AJ88" i="93"/>
  <c r="W92" i="93" l="1"/>
  <c r="W89" i="93"/>
  <c r="V89" i="93"/>
  <c r="W88" i="93"/>
  <c r="V88" i="93"/>
  <c r="W74" i="93"/>
  <c r="W57" i="93"/>
  <c r="W56" i="93" l="1"/>
  <c r="W55" i="93"/>
  <c r="W40" i="93"/>
  <c r="W39" i="93"/>
  <c r="V18" i="93"/>
  <c r="V19" i="93"/>
  <c r="W18" i="93"/>
  <c r="AP39" i="93" l="1"/>
  <c r="W73" i="93" l="1"/>
  <c r="L42" i="93"/>
  <c r="Q40" i="93"/>
  <c r="V40" i="93"/>
  <c r="R40" i="93"/>
  <c r="AJ40" i="93"/>
  <c r="AI40" i="93"/>
  <c r="V25" i="93"/>
  <c r="W23" i="93"/>
  <c r="V23" i="93"/>
  <c r="V20" i="93"/>
  <c r="AL40" i="93" l="1"/>
  <c r="AK40" i="93"/>
  <c r="AJ74" i="93"/>
  <c r="W41" i="93" l="1"/>
  <c r="V74" i="93" l="1"/>
  <c r="V73" i="93"/>
  <c r="V39" i="93"/>
  <c r="AJ90" i="93" l="1"/>
  <c r="AJ59" i="93"/>
  <c r="AJ21" i="93"/>
  <c r="AI24" i="93" l="1"/>
  <c r="AJ24" i="93" l="1"/>
  <c r="AJ17" i="93" l="1"/>
  <c r="AJ57" i="93"/>
  <c r="AJ73" i="93"/>
  <c r="AJ25" i="93" l="1"/>
  <c r="V41" i="93"/>
  <c r="V42" i="93"/>
  <c r="AJ19" i="93"/>
  <c r="AJ87" i="93"/>
  <c r="W91" i="93"/>
  <c r="W90" i="93"/>
  <c r="V92" i="93" l="1"/>
  <c r="W58" i="93" l="1"/>
  <c r="W59" i="93"/>
  <c r="W60" i="93" s="1"/>
  <c r="V59" i="93"/>
  <c r="V56" i="93"/>
  <c r="V55" i="93"/>
  <c r="W20" i="93" l="1"/>
  <c r="W19" i="93"/>
  <c r="AA18" i="93" l="1"/>
  <c r="AF18" i="93"/>
  <c r="V58" i="93" l="1"/>
  <c r="V57" i="93"/>
  <c r="R18" i="93" l="1"/>
  <c r="R92" i="93" l="1"/>
  <c r="Q92" i="93"/>
  <c r="R91" i="93"/>
  <c r="Q91" i="93"/>
  <c r="R90" i="93"/>
  <c r="R89" i="93"/>
  <c r="Q89" i="93"/>
  <c r="R88" i="93"/>
  <c r="Q88" i="93"/>
  <c r="R59" i="93" l="1"/>
  <c r="Q59" i="93"/>
  <c r="R58" i="93"/>
  <c r="Q58" i="93"/>
  <c r="R57" i="93"/>
  <c r="R56" i="93"/>
  <c r="Q56" i="93"/>
  <c r="R55" i="93"/>
  <c r="Q55" i="93"/>
  <c r="R41" i="93" l="1"/>
  <c r="Q41" i="93"/>
  <c r="AK41" i="93" s="1"/>
  <c r="R39" i="93"/>
  <c r="Q39" i="93"/>
  <c r="R20" i="93" l="1"/>
  <c r="Q20" i="93"/>
  <c r="R25" i="93"/>
  <c r="Q25" i="93"/>
  <c r="R23" i="93"/>
  <c r="Q23" i="93"/>
  <c r="R19" i="93"/>
  <c r="Q18" i="93"/>
  <c r="AK20" i="93" l="1"/>
  <c r="AJ20" i="93"/>
  <c r="AI20" i="93"/>
  <c r="AL20" i="93"/>
  <c r="AF92" i="93" l="1"/>
  <c r="AF89" i="93"/>
  <c r="AF88" i="93"/>
  <c r="V91" i="93"/>
  <c r="V90" i="93"/>
  <c r="AF60" i="93" l="1"/>
  <c r="Q90" i="93" l="1"/>
  <c r="Q57" i="93"/>
  <c r="Q19" i="93"/>
  <c r="Q26" i="93" s="1"/>
  <c r="Q60" i="93" l="1"/>
  <c r="R60" i="93"/>
  <c r="AK59" i="93" l="1"/>
  <c r="AA25" i="93" l="1"/>
  <c r="AI59" i="93" l="1"/>
  <c r="AI58" i="93"/>
  <c r="AL59" i="93"/>
  <c r="AL58" i="93"/>
  <c r="AK58" i="93"/>
  <c r="AJ58" i="93"/>
  <c r="AA60" i="93"/>
  <c r="V60" i="93"/>
  <c r="M60" i="93"/>
  <c r="L60" i="93"/>
  <c r="AI89" i="93" l="1"/>
  <c r="AI88" i="93"/>
  <c r="AI87" i="93"/>
  <c r="AI22" i="93" l="1"/>
  <c r="AL22" i="93"/>
  <c r="AK22" i="93"/>
  <c r="AJ22" i="93"/>
  <c r="AF91" i="93" l="1"/>
  <c r="AF90" i="93"/>
  <c r="AA92" i="93"/>
  <c r="AA91" i="93"/>
  <c r="AA90" i="93"/>
  <c r="AA89" i="93"/>
  <c r="AA88" i="93"/>
  <c r="AI91" i="93" l="1"/>
  <c r="AI18" i="93"/>
  <c r="L73" i="93" l="1"/>
  <c r="AJ18" i="93" l="1"/>
  <c r="AF74" i="93" l="1"/>
  <c r="AF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I90" i="93"/>
  <c r="AL89" i="93"/>
  <c r="AK89" i="93"/>
  <c r="AL88" i="93"/>
  <c r="AK88" i="93"/>
  <c r="AL87" i="93"/>
  <c r="AK87" i="93"/>
  <c r="AL74" i="93"/>
  <c r="AK74" i="93"/>
  <c r="AI74" i="93"/>
  <c r="AI73" i="93"/>
  <c r="AI72" i="93"/>
  <c r="AI57" i="93"/>
  <c r="AK57" i="93"/>
  <c r="AL57" i="93"/>
  <c r="AI56" i="93"/>
  <c r="AI55" i="93"/>
  <c r="AI54" i="93"/>
  <c r="AI41" i="93"/>
  <c r="AL39" i="93"/>
  <c r="AK39" i="93"/>
  <c r="AJ39" i="93"/>
  <c r="AI39" i="93"/>
  <c r="AI38" i="93"/>
  <c r="AL25" i="93"/>
  <c r="AK25" i="93"/>
  <c r="AI25" i="93"/>
  <c r="AL24" i="93"/>
  <c r="AK24" i="93"/>
  <c r="AL23" i="93"/>
  <c r="AK23" i="93"/>
  <c r="AI23" i="93"/>
  <c r="AL21" i="93"/>
  <c r="AK21" i="93"/>
  <c r="AI21" i="93"/>
  <c r="AI19" i="93"/>
  <c r="AI17" i="93"/>
  <c r="AG75" i="93"/>
  <c r="AF75" i="93"/>
  <c r="AB75" i="93"/>
  <c r="AA75" i="93"/>
  <c r="W75" i="93"/>
  <c r="V75" i="93"/>
  <c r="R75" i="93"/>
  <c r="Q75" i="93"/>
  <c r="M75" i="93"/>
  <c r="L75" i="93"/>
  <c r="AL73" i="93"/>
  <c r="AK73" i="93"/>
  <c r="AL72" i="93"/>
  <c r="AK72" i="93"/>
  <c r="AJ72" i="93"/>
  <c r="AG60" i="93"/>
  <c r="AB60" i="93"/>
  <c r="AL56" i="93"/>
  <c r="AK56" i="93"/>
  <c r="AJ56" i="93"/>
  <c r="AL55" i="93"/>
  <c r="AK55" i="93"/>
  <c r="AJ55" i="93"/>
  <c r="AL54" i="93"/>
  <c r="AK54" i="93"/>
  <c r="AJ54" i="93"/>
  <c r="AG42" i="93"/>
  <c r="AF42" i="93"/>
  <c r="AB42" i="93"/>
  <c r="AB113" i="93" s="1"/>
  <c r="AA42" i="93"/>
  <c r="W42" i="93"/>
  <c r="R42" i="93"/>
  <c r="Q42" i="93"/>
  <c r="M42" i="93"/>
  <c r="AL41" i="93"/>
  <c r="AJ41" i="93"/>
  <c r="AL38" i="93"/>
  <c r="AK38" i="93"/>
  <c r="AJ38" i="93"/>
  <c r="M26" i="93"/>
  <c r="L26" i="93"/>
  <c r="R26" i="93"/>
  <c r="W26" i="93"/>
  <c r="V26" i="93"/>
  <c r="AB26" i="93"/>
  <c r="AA26" i="93"/>
  <c r="AF26" i="93"/>
  <c r="M113" i="93" l="1"/>
  <c r="AK60" i="93"/>
  <c r="AA113" i="93"/>
  <c r="L113" i="93"/>
  <c r="AF113" i="93"/>
  <c r="W113" i="93"/>
  <c r="AK75" i="93"/>
  <c r="AL60" i="93"/>
  <c r="Q113" i="93"/>
  <c r="R113" i="93"/>
  <c r="AL93" i="93"/>
  <c r="AK93" i="93"/>
  <c r="AL75" i="93"/>
  <c r="AK42" i="93"/>
  <c r="AQ42" i="93" s="1"/>
  <c r="AL42" i="93"/>
  <c r="AG26" i="93" l="1"/>
  <c r="AG113"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3" i="93" l="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 ref="AI74"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<sst xmlns="http://schemas.openxmlformats.org/spreadsheetml/2006/main" count="530" uniqueCount="186">
  <si>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</si>
  <si>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</si>
  <si>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</si>
  <si>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</si>
  <si>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</si>
  <si>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</si>
  <si>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</si>
  <si>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</si>
  <si>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</si>
  <si>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</si>
  <si>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</si>
  <si>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</si>
  <si>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</si>
  <si>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</si>
  <si>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</si>
  <si>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</si>
  <si>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</si>
  <si>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</si>
  <si>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</si>
  <si>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</si>
  <si>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</si>
  <si>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</si>
  <si>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</si>
  <si>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</si>
  <si>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</si>
  <si>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</si>
  <si>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</si>
  <si>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</si>
  <si>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</si>
  <si>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</si>
  <si>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</si>
  <si>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</si>
  <si>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</si>
  <si>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</si>
  <si>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</si>
  <si>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</si>
  <si>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</si>
  <si>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</si>
  <si>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</si>
  <si>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</si>
  <si>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</si>
  <si>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</si>
  <si>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</si>
  <si>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</si>
  <si>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</si>
  <si>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</si>
  <si>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</si>
  <si>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</si>
  <si>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</si>
  <si>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</si>
  <si>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</si>
  <si>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</si>
  <si>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</si>
  <si>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</si>
  <si>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</si>
  <si>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</si>
  <si>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</si>
  <si>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</si>
  <si>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</si>
  <si>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</si>
  <si>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</si>
  <si>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</si>
  <si>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</si>
  <si>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</si>
  <si>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</si>
  <si>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</si>
  <si>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</si>
  <si>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</si>
  <si>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</si>
  <si>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</si>
  <si>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</si>
  <si>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</si>
  <si>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</si>
  <si>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</si>
  <si>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</si>
  <si>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</si>
  <si>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</si>
  <si>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</si>
  <si>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</si>
  <si>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</si>
  <si>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</si>
  <si>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</si>
  <si>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</si>
  <si>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</si>
  <si>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</si>
  <si>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</si>
  <si>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</si>
  <si>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</si>
  <si>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</si>
  <si>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</si>
  <si>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</si>
  <si>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</si>
  <si>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</si>
  <si>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</si>
  <si>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</si>
  <si>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</si>
  <si>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</si>
  <si>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</si>
  <si>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</si>
  <si>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</si>
  <si>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</si>
  <si>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</si>
  <si>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</si>
  <si>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</si>
  <si>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</si>
  <si>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</si>
  <si>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</si>
  <si>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</si>
  <si>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</si>
  <si>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</si>
  <si>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</si>
  <si>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</si>
  <si>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</si>
  <si>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</si>
  <si>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</si>
  <si>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</si>
  <si>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</si>
  <si>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</si>
  <si>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</si>
  <si>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</si>
  <si>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</si>
  <si>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</si>
  <si>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</si>
  <si>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</si>
  <si>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</si>
  <si>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</si>
  <si>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</si>
  <si>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</si>
  <si>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</si>
  <si>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</si>
  <si>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</si>
  <si>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</si>
  <si>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</si>
  <si>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</si>
  <si>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</si>
  <si>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</si>
  <si>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</si>
  <si>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</si>
  <si>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</si>
  <si>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</si>
  <si>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</si>
  <si>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</si>
  <si>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</si>
  <si>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</si>
  <si>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</si>
  <si>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</si>
  <si>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</si>
  <si>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</si>
  <si>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</si>
  <si>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</si>
  <si>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</si>
  <si>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</si>
  <si>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</si>
  <si>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</si>
  <si>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</si>
  <si>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</si>
  <si>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</si>
  <si>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</si>
  <si>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</si>
  <si>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</si>
  <si>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</si>
  <si>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</si>
  <si>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</si>
  <si>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</si>
  <si>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</si>
  <si>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</si>
  <si>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</si>
  <si>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</si>
  <si>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</si>
  <si>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</si>
  <si>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</si>
  <si>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</si>
  <si>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</si>
  <si>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</si>
  <si>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</si>
  <si>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</si>
  <si>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</si>
  <si>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</si>
  <si>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</si>
  <si>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</si>
  <si>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</si>
  <si>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 xml:space="preserve"> </t>
  </si>
  <si>
    <t>ok</t>
  </si>
  <si>
    <t>metas</t>
  </si>
  <si>
    <t>valores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</si>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</sst>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0">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3" fontId="18" fillId="0" borderId="0" xfId="128" applyNumberForma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9" fontId="35" fillId="16" borderId="3" xfId="3459" applyNumberFormat="1" applyFont="1" applyFill="1" applyBorder="1" applyAlignment="1">
      <alignment horizontal="center" vertical="center"/>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190" fontId="35" fillId="0" borderId="3" xfId="3516"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41" fillId="0" borderId="3" xfId="128" applyFont="1" applyFill="1" applyBorder="1" applyAlignment="1" applyProtection="1">
      <alignment horizontal="justify"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39" t="s">
        <v>0</v>
      </c>
      <c r="B3" s="240"/>
      <c r="C3" s="240"/>
      <c r="D3" s="241"/>
      <c r="E3" s="1"/>
      <c r="F3" s="2"/>
      <c r="G3" s="2"/>
      <c r="H3" s="2"/>
      <c r="I3" s="2"/>
      <c r="J3" s="2"/>
      <c r="K3" s="2"/>
      <c r="M3" s="2"/>
      <c r="O3" s="2"/>
      <c r="Q3" s="2"/>
    </row>
    <row r="4" spans="1:18" s="3" customFormat="1" ht="12.75" x14ac:dyDescent="0.2">
      <c r="A4" s="239" t="s">
        <v>14</v>
      </c>
      <c r="B4" s="240"/>
      <c r="C4" s="240"/>
      <c r="D4" s="241"/>
      <c r="E4" s="1"/>
      <c r="F4" s="2"/>
      <c r="G4" s="2"/>
      <c r="H4" s="2"/>
      <c r="I4" s="2"/>
      <c r="J4" s="2"/>
      <c r="K4" s="2"/>
      <c r="M4" s="2"/>
      <c r="O4" s="2"/>
      <c r="Q4" s="2"/>
    </row>
    <row r="5" spans="1:18" s="3" customFormat="1" ht="12.75" x14ac:dyDescent="0.2">
      <c r="A5" s="239" t="s">
        <v>0</v>
      </c>
      <c r="B5" s="240"/>
      <c r="C5" s="240"/>
      <c r="D5" s="241"/>
      <c r="E5" s="1"/>
      <c r="F5" s="2"/>
      <c r="G5" s="2"/>
      <c r="H5" s="2"/>
      <c r="I5" s="2"/>
      <c r="J5" s="2"/>
      <c r="K5" s="2"/>
      <c r="M5" s="2"/>
      <c r="O5" s="2"/>
      <c r="Q5" s="2"/>
    </row>
    <row r="6" spans="1:18" s="3" customFormat="1" ht="12.75" x14ac:dyDescent="0.2">
      <c r="A6" s="239" t="s">
        <v>15</v>
      </c>
      <c r="B6" s="240"/>
      <c r="C6" s="240"/>
      <c r="D6" s="241"/>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8" t="s">
        <v>85</v>
      </c>
      <c r="B8" s="249"/>
      <c r="C8" s="249"/>
      <c r="D8" s="249"/>
    </row>
    <row r="9" spans="1:18" s="3" customFormat="1" ht="12.75" x14ac:dyDescent="0.2">
      <c r="A9" s="4"/>
      <c r="B9" s="4"/>
      <c r="C9" s="4"/>
      <c r="D9" s="4"/>
      <c r="E9" s="2"/>
      <c r="F9" s="2"/>
      <c r="G9" s="2"/>
      <c r="H9" s="2"/>
      <c r="I9" s="2"/>
      <c r="J9" s="2"/>
      <c r="K9" s="2"/>
      <c r="M9" s="2"/>
      <c r="O9" s="2"/>
      <c r="Q9" s="2"/>
    </row>
    <row r="10" spans="1:18" ht="34.5" customHeight="1" x14ac:dyDescent="0.25">
      <c r="A10" s="33" t="s">
        <v>1</v>
      </c>
      <c r="B10" s="250" t="s">
        <v>16</v>
      </c>
      <c r="C10" s="250"/>
      <c r="D10" s="250"/>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5" t="s">
        <v>2</v>
      </c>
      <c r="B13" s="220" t="s">
        <v>3</v>
      </c>
      <c r="C13" s="220" t="s">
        <v>67</v>
      </c>
      <c r="D13" s="242" t="s">
        <v>19</v>
      </c>
      <c r="E13" s="10"/>
      <c r="F13" s="67">
        <v>2016</v>
      </c>
      <c r="G13" s="10"/>
      <c r="H13" s="216">
        <v>2017</v>
      </c>
      <c r="I13" s="217"/>
      <c r="J13" s="253"/>
      <c r="K13" s="216">
        <v>2018</v>
      </c>
      <c r="L13" s="253"/>
      <c r="M13" s="216">
        <v>2019</v>
      </c>
      <c r="N13" s="253"/>
      <c r="O13" s="216">
        <v>2020</v>
      </c>
      <c r="P13" s="217"/>
      <c r="Q13" s="217" t="s">
        <v>78</v>
      </c>
      <c r="R13" s="217"/>
    </row>
    <row r="14" spans="1:18" s="11" customFormat="1" ht="15" customHeight="1" x14ac:dyDescent="0.25">
      <c r="A14" s="246"/>
      <c r="B14" s="221"/>
      <c r="C14" s="221"/>
      <c r="D14" s="243"/>
      <c r="E14" s="10"/>
      <c r="F14" s="214" t="s">
        <v>8</v>
      </c>
      <c r="G14" s="10"/>
      <c r="H14" s="214" t="s">
        <v>8</v>
      </c>
      <c r="I14" s="214" t="s">
        <v>84</v>
      </c>
      <c r="J14" s="214" t="s">
        <v>80</v>
      </c>
      <c r="K14" s="214" t="s">
        <v>8</v>
      </c>
      <c r="L14" s="214" t="s">
        <v>79</v>
      </c>
      <c r="M14" s="214" t="s">
        <v>8</v>
      </c>
      <c r="N14" s="214" t="s">
        <v>79</v>
      </c>
      <c r="O14" s="218" t="s">
        <v>8</v>
      </c>
      <c r="P14" s="214" t="s">
        <v>79</v>
      </c>
      <c r="Q14" s="218" t="s">
        <v>8</v>
      </c>
      <c r="R14" s="214" t="s">
        <v>79</v>
      </c>
    </row>
    <row r="15" spans="1:18" s="11" customFormat="1" ht="47.25" customHeight="1" x14ac:dyDescent="0.25">
      <c r="A15" s="247"/>
      <c r="B15" s="222"/>
      <c r="C15" s="222"/>
      <c r="D15" s="244"/>
      <c r="E15" s="12"/>
      <c r="F15" s="214"/>
      <c r="G15" s="12"/>
      <c r="H15" s="214"/>
      <c r="I15" s="214"/>
      <c r="J15" s="214"/>
      <c r="K15" s="214"/>
      <c r="L15" s="214"/>
      <c r="M15" s="214"/>
      <c r="N15" s="214"/>
      <c r="O15" s="219"/>
      <c r="P15" s="214"/>
      <c r="Q15" s="219"/>
      <c r="R15" s="214"/>
    </row>
    <row r="16" spans="1:18" ht="60" customHeight="1" x14ac:dyDescent="0.25">
      <c r="A16" s="251" t="s">
        <v>11</v>
      </c>
      <c r="B16" s="223" t="s">
        <v>12</v>
      </c>
      <c r="C16" s="223"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2"/>
      <c r="B17" s="230"/>
      <c r="C17" s="230"/>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2"/>
      <c r="B18" s="230"/>
      <c r="C18" s="230"/>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2"/>
      <c r="B19" s="230"/>
      <c r="C19" s="230"/>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2"/>
      <c r="B20" s="224"/>
      <c r="C20" s="224"/>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5" t="s">
        <v>2</v>
      </c>
      <c r="B26" s="215" t="s">
        <v>3</v>
      </c>
      <c r="C26" s="220" t="s">
        <v>67</v>
      </c>
      <c r="D26" s="215" t="s">
        <v>19</v>
      </c>
      <c r="E26" s="10"/>
      <c r="F26" s="71">
        <v>2016</v>
      </c>
      <c r="G26" s="79"/>
      <c r="H26" s="215">
        <v>2017</v>
      </c>
      <c r="I26" s="215"/>
      <c r="J26" s="215"/>
      <c r="K26" s="215">
        <v>2018</v>
      </c>
      <c r="L26" s="215"/>
      <c r="M26" s="215">
        <v>2019</v>
      </c>
      <c r="N26" s="215"/>
      <c r="O26" s="215">
        <v>2020</v>
      </c>
      <c r="P26" s="215"/>
      <c r="Q26" s="215" t="s">
        <v>78</v>
      </c>
      <c r="R26" s="215"/>
    </row>
    <row r="27" spans="1:20" s="11" customFormat="1" ht="15" customHeight="1" x14ac:dyDescent="0.25">
      <c r="A27" s="215"/>
      <c r="B27" s="215"/>
      <c r="C27" s="221"/>
      <c r="D27" s="215"/>
      <c r="E27" s="10"/>
      <c r="F27" s="214" t="s">
        <v>8</v>
      </c>
      <c r="G27" s="79"/>
      <c r="H27" s="214" t="s">
        <v>8</v>
      </c>
      <c r="I27" s="214" t="s">
        <v>84</v>
      </c>
      <c r="J27" s="214" t="s">
        <v>80</v>
      </c>
      <c r="K27" s="214" t="s">
        <v>8</v>
      </c>
      <c r="L27" s="214" t="s">
        <v>79</v>
      </c>
      <c r="M27" s="214" t="s">
        <v>8</v>
      </c>
      <c r="N27" s="214" t="s">
        <v>79</v>
      </c>
      <c r="O27" s="214" t="s">
        <v>8</v>
      </c>
      <c r="P27" s="214" t="s">
        <v>79</v>
      </c>
      <c r="Q27" s="214" t="s">
        <v>8</v>
      </c>
      <c r="R27" s="214" t="s">
        <v>79</v>
      </c>
    </row>
    <row r="28" spans="1:20" s="11" customFormat="1" ht="47.25" customHeight="1" x14ac:dyDescent="0.25">
      <c r="A28" s="215"/>
      <c r="B28" s="215"/>
      <c r="C28" s="222"/>
      <c r="D28" s="215"/>
      <c r="E28" s="12"/>
      <c r="F28" s="214"/>
      <c r="G28" s="80"/>
      <c r="H28" s="214"/>
      <c r="I28" s="214"/>
      <c r="J28" s="214"/>
      <c r="K28" s="214"/>
      <c r="L28" s="214"/>
      <c r="M28" s="214"/>
      <c r="N28" s="214"/>
      <c r="O28" s="214"/>
      <c r="P28" s="214"/>
      <c r="Q28" s="214"/>
      <c r="R28" s="214"/>
    </row>
    <row r="29" spans="1:20" ht="51" hidden="1" customHeight="1" x14ac:dyDescent="0.25">
      <c r="A29" s="237" t="s">
        <v>24</v>
      </c>
      <c r="B29" s="238" t="s">
        <v>25</v>
      </c>
      <c r="C29" s="68"/>
      <c r="D29" s="18" t="s">
        <v>9</v>
      </c>
      <c r="E29" s="14"/>
      <c r="F29" s="28"/>
      <c r="G29" s="81"/>
      <c r="H29" s="28"/>
      <c r="I29" s="81"/>
      <c r="J29" s="81"/>
      <c r="K29" s="29"/>
      <c r="L29" s="82"/>
      <c r="M29" s="20"/>
      <c r="N29" s="82"/>
      <c r="O29" s="20"/>
      <c r="P29" s="82"/>
      <c r="Q29" s="15"/>
      <c r="R29" s="82"/>
    </row>
    <row r="30" spans="1:20" ht="95.25" customHeight="1" x14ac:dyDescent="0.25">
      <c r="A30" s="237"/>
      <c r="B30" s="238"/>
      <c r="C30" s="238"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7"/>
      <c r="B31" s="238"/>
      <c r="C31" s="238"/>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31" t="s">
        <v>10</v>
      </c>
      <c r="B33" s="234" t="s">
        <v>26</v>
      </c>
      <c r="C33" s="234"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2"/>
      <c r="B34" s="235"/>
      <c r="C34" s="235"/>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3"/>
      <c r="B35" s="236"/>
      <c r="C35" s="236"/>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7" t="s">
        <v>27</v>
      </c>
      <c r="B37" s="223" t="s">
        <v>28</v>
      </c>
      <c r="C37" s="223"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8"/>
      <c r="B38" s="230"/>
      <c r="C38" s="230"/>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9"/>
      <c r="B39" s="224"/>
      <c r="C39" s="224"/>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5" t="s">
        <v>2</v>
      </c>
      <c r="B45" s="215" t="s">
        <v>3</v>
      </c>
      <c r="C45" s="220" t="s">
        <v>67</v>
      </c>
      <c r="D45" s="215" t="s">
        <v>19</v>
      </c>
      <c r="E45" s="10"/>
      <c r="F45" s="71">
        <v>2016</v>
      </c>
      <c r="G45" s="79"/>
      <c r="H45" s="215">
        <v>2017</v>
      </c>
      <c r="I45" s="215"/>
      <c r="J45" s="215"/>
      <c r="K45" s="215">
        <v>2018</v>
      </c>
      <c r="L45" s="215"/>
      <c r="M45" s="215">
        <v>2019</v>
      </c>
      <c r="N45" s="215"/>
      <c r="O45" s="215">
        <v>2020</v>
      </c>
      <c r="P45" s="215"/>
      <c r="Q45" s="215" t="s">
        <v>78</v>
      </c>
      <c r="R45" s="215"/>
    </row>
    <row r="46" spans="1:20" s="11" customFormat="1" ht="15" customHeight="1" x14ac:dyDescent="0.25">
      <c r="A46" s="215"/>
      <c r="B46" s="215"/>
      <c r="C46" s="221"/>
      <c r="D46" s="215"/>
      <c r="E46" s="10"/>
      <c r="F46" s="218" t="s">
        <v>8</v>
      </c>
      <c r="G46" s="79"/>
      <c r="H46" s="218" t="s">
        <v>8</v>
      </c>
      <c r="I46" s="214" t="s">
        <v>84</v>
      </c>
      <c r="J46" s="214" t="s">
        <v>80</v>
      </c>
      <c r="K46" s="218" t="s">
        <v>8</v>
      </c>
      <c r="L46" s="214" t="s">
        <v>79</v>
      </c>
      <c r="M46" s="218" t="s">
        <v>8</v>
      </c>
      <c r="N46" s="214" t="s">
        <v>79</v>
      </c>
      <c r="O46" s="214" t="s">
        <v>8</v>
      </c>
      <c r="P46" s="214" t="s">
        <v>79</v>
      </c>
      <c r="Q46" s="218" t="s">
        <v>8</v>
      </c>
      <c r="R46" s="214" t="s">
        <v>79</v>
      </c>
    </row>
    <row r="47" spans="1:20" s="11" customFormat="1" ht="47.25" customHeight="1" x14ac:dyDescent="0.25">
      <c r="A47" s="215"/>
      <c r="B47" s="215"/>
      <c r="C47" s="222"/>
      <c r="D47" s="215"/>
      <c r="E47" s="12"/>
      <c r="F47" s="219"/>
      <c r="G47" s="80"/>
      <c r="H47" s="219"/>
      <c r="I47" s="214"/>
      <c r="J47" s="214"/>
      <c r="K47" s="219"/>
      <c r="L47" s="214"/>
      <c r="M47" s="219"/>
      <c r="N47" s="214"/>
      <c r="O47" s="214"/>
      <c r="P47" s="214"/>
      <c r="Q47" s="219"/>
      <c r="R47" s="214"/>
    </row>
    <row r="48" spans="1:20" ht="60" customHeight="1" x14ac:dyDescent="0.25">
      <c r="A48" s="225" t="s">
        <v>35</v>
      </c>
      <c r="B48" s="223" t="s">
        <v>36</v>
      </c>
      <c r="C48" s="223"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6"/>
      <c r="B49" s="224"/>
      <c r="C49" s="224"/>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5" t="s">
        <v>2</v>
      </c>
      <c r="B54" s="215" t="s">
        <v>3</v>
      </c>
      <c r="C54" s="220" t="s">
        <v>67</v>
      </c>
      <c r="D54" s="215" t="s">
        <v>19</v>
      </c>
      <c r="E54" s="10"/>
      <c r="F54" s="71">
        <v>2016</v>
      </c>
      <c r="G54" s="79"/>
      <c r="H54" s="215">
        <v>2017</v>
      </c>
      <c r="I54" s="215"/>
      <c r="J54" s="215"/>
      <c r="K54" s="215">
        <v>2018</v>
      </c>
      <c r="L54" s="215"/>
      <c r="M54" s="215">
        <v>2019</v>
      </c>
      <c r="N54" s="215"/>
      <c r="O54" s="215">
        <v>2020</v>
      </c>
      <c r="P54" s="215"/>
      <c r="Q54" s="215" t="s">
        <v>78</v>
      </c>
      <c r="R54" s="215"/>
    </row>
    <row r="55" spans="1:20" s="11" customFormat="1" ht="15" customHeight="1" x14ac:dyDescent="0.25">
      <c r="A55" s="215"/>
      <c r="B55" s="215"/>
      <c r="C55" s="221"/>
      <c r="D55" s="215"/>
      <c r="E55" s="10"/>
      <c r="F55" s="214" t="s">
        <v>8</v>
      </c>
      <c r="G55" s="79"/>
      <c r="H55" s="214" t="s">
        <v>8</v>
      </c>
      <c r="I55" s="214" t="s">
        <v>84</v>
      </c>
      <c r="J55" s="214" t="s">
        <v>80</v>
      </c>
      <c r="K55" s="214" t="s">
        <v>8</v>
      </c>
      <c r="L55" s="214" t="s">
        <v>79</v>
      </c>
      <c r="M55" s="214" t="s">
        <v>8</v>
      </c>
      <c r="N55" s="214" t="s">
        <v>79</v>
      </c>
      <c r="O55" s="214" t="s">
        <v>8</v>
      </c>
      <c r="P55" s="214" t="s">
        <v>79</v>
      </c>
      <c r="Q55" s="214" t="s">
        <v>8</v>
      </c>
      <c r="R55" s="214" t="s">
        <v>79</v>
      </c>
    </row>
    <row r="56" spans="1:20" s="11" customFormat="1" ht="47.25" customHeight="1" x14ac:dyDescent="0.25">
      <c r="A56" s="215"/>
      <c r="B56" s="215"/>
      <c r="C56" s="222"/>
      <c r="D56" s="215"/>
      <c r="E56" s="12"/>
      <c r="F56" s="214"/>
      <c r="G56" s="80"/>
      <c r="H56" s="214"/>
      <c r="I56" s="214"/>
      <c r="J56" s="214"/>
      <c r="K56" s="214"/>
      <c r="L56" s="214"/>
      <c r="M56" s="214"/>
      <c r="N56" s="214"/>
      <c r="O56" s="214"/>
      <c r="P56" s="214"/>
      <c r="Q56" s="214"/>
      <c r="R56" s="214"/>
    </row>
    <row r="57" spans="1:20" ht="88.5" customHeight="1" x14ac:dyDescent="0.25">
      <c r="A57" s="225" t="s">
        <v>39</v>
      </c>
      <c r="B57" s="223" t="s">
        <v>13</v>
      </c>
      <c r="C57" s="223"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6"/>
      <c r="B58" s="224"/>
      <c r="C58" s="224"/>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5" t="s">
        <v>2</v>
      </c>
      <c r="B63" s="215" t="s">
        <v>3</v>
      </c>
      <c r="C63" s="220" t="s">
        <v>67</v>
      </c>
      <c r="D63" s="215" t="s">
        <v>19</v>
      </c>
      <c r="E63" s="10"/>
      <c r="F63" s="71">
        <v>2016</v>
      </c>
      <c r="G63" s="79"/>
      <c r="H63" s="215">
        <v>2017</v>
      </c>
      <c r="I63" s="215"/>
      <c r="J63" s="215"/>
      <c r="K63" s="215">
        <v>2018</v>
      </c>
      <c r="L63" s="215"/>
      <c r="M63" s="215">
        <v>2019</v>
      </c>
      <c r="N63" s="215"/>
      <c r="O63" s="215">
        <v>2020</v>
      </c>
      <c r="P63" s="215"/>
      <c r="Q63" s="215" t="s">
        <v>78</v>
      </c>
      <c r="R63" s="215"/>
    </row>
    <row r="64" spans="1:20" s="11" customFormat="1" ht="15" customHeight="1" x14ac:dyDescent="0.25">
      <c r="A64" s="215"/>
      <c r="B64" s="215"/>
      <c r="C64" s="221"/>
      <c r="D64" s="215"/>
      <c r="E64" s="10"/>
      <c r="F64" s="214" t="s">
        <v>8</v>
      </c>
      <c r="G64" s="79"/>
      <c r="H64" s="214" t="s">
        <v>8</v>
      </c>
      <c r="I64" s="214" t="s">
        <v>84</v>
      </c>
      <c r="J64" s="214" t="s">
        <v>80</v>
      </c>
      <c r="K64" s="214" t="s">
        <v>8</v>
      </c>
      <c r="L64" s="214" t="s">
        <v>79</v>
      </c>
      <c r="M64" s="214" t="s">
        <v>8</v>
      </c>
      <c r="N64" s="214" t="s">
        <v>79</v>
      </c>
      <c r="O64" s="214" t="s">
        <v>8</v>
      </c>
      <c r="P64" s="214" t="s">
        <v>79</v>
      </c>
      <c r="Q64" s="214" t="s">
        <v>8</v>
      </c>
      <c r="R64" s="214" t="s">
        <v>79</v>
      </c>
    </row>
    <row r="65" spans="1:20" s="11" customFormat="1" ht="47.25" customHeight="1" x14ac:dyDescent="0.25">
      <c r="A65" s="215"/>
      <c r="B65" s="215"/>
      <c r="C65" s="222"/>
      <c r="D65" s="215"/>
      <c r="E65" s="12"/>
      <c r="F65" s="214"/>
      <c r="G65" s="80"/>
      <c r="H65" s="214"/>
      <c r="I65" s="214"/>
      <c r="J65" s="214"/>
      <c r="K65" s="214"/>
      <c r="L65" s="214"/>
      <c r="M65" s="214"/>
      <c r="N65" s="214"/>
      <c r="O65" s="214"/>
      <c r="P65" s="214"/>
      <c r="Q65" s="214"/>
      <c r="R65" s="214"/>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3"/>
  <sheetViews>
    <sheetView tabSelected="1" topLeftCell="F4" zoomScale="84" zoomScaleNormal="84" workbookViewId="0">
      <pane xSplit="4" ySplit="13" topLeftCell="X17" activePane="bottomRight" state="frozen"/>
      <selection activeCell="F4" sqref="F4"/>
      <selection pane="topRight" activeCell="J4" sqref="J4"/>
      <selection pane="bottomLeft" activeCell="F17" sqref="F17"/>
      <selection pane="bottomRight" activeCell="AI42" sqref="AI42"/>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hidden="1" customWidth="1"/>
    <col min="40" max="40" width="14.7109375" style="8" hidden="1" customWidth="1"/>
    <col min="41" max="16384" width="11.42578125" style="8"/>
  </cols>
  <sheetData>
    <row r="1" spans="1:40" hidden="1" x14ac:dyDescent="0.25">
      <c r="A1" s="8"/>
      <c r="L1" s="163">
        <v>1000000</v>
      </c>
    </row>
    <row r="2" spans="1:40" s="3" customFormat="1" x14ac:dyDescent="0.25">
      <c r="A2" s="266" t="s">
        <v>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8"/>
      <c r="AM2" s="93"/>
    </row>
    <row r="3" spans="1:40" s="3" customFormat="1" x14ac:dyDescent="0.25">
      <c r="A3" s="266" t="s">
        <v>92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8"/>
      <c r="AM3" s="93"/>
    </row>
    <row r="4" spans="1:40" s="3" customFormat="1" x14ac:dyDescent="0.25">
      <c r="A4" s="266" t="s">
        <v>0</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8"/>
      <c r="AM4" s="93"/>
    </row>
    <row r="5" spans="1:40" s="3" customFormat="1" x14ac:dyDescent="0.25">
      <c r="A5" s="266" t="s">
        <v>93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8"/>
      <c r="AM5" s="93"/>
    </row>
    <row r="6" spans="1:40" s="3" customFormat="1" x14ac:dyDescent="0.25">
      <c r="A6" s="266"/>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8"/>
      <c r="AM6" s="93"/>
    </row>
    <row r="7" spans="1:40" s="5" customFormat="1" ht="15.75" customHeight="1" x14ac:dyDescent="0.2">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58" t="s">
        <v>97</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row>
    <row r="10" spans="1:40" hidden="1" x14ac:dyDescent="0.25">
      <c r="A10" s="141">
        <v>8</v>
      </c>
      <c r="B10" s="6" t="s">
        <v>157</v>
      </c>
      <c r="C10" s="258" t="s">
        <v>158</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row>
    <row r="11" spans="1:40" hidden="1" x14ac:dyDescent="0.25">
      <c r="A11" s="141">
        <v>19</v>
      </c>
      <c r="B11" s="6" t="s">
        <v>95</v>
      </c>
      <c r="C11" s="258" t="s">
        <v>156</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row>
    <row r="12" spans="1:40" ht="30" hidden="1" x14ac:dyDescent="0.25">
      <c r="A12" s="141">
        <v>3</v>
      </c>
      <c r="B12" s="123" t="s">
        <v>98</v>
      </c>
      <c r="C12" s="258" t="s">
        <v>96</v>
      </c>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45" t="s">
        <v>2</v>
      </c>
      <c r="B14" s="220" t="s">
        <v>3</v>
      </c>
      <c r="C14" s="256" t="s">
        <v>87</v>
      </c>
      <c r="D14" s="220" t="s">
        <v>67</v>
      </c>
      <c r="E14" s="256" t="s">
        <v>170</v>
      </c>
      <c r="F14" s="242" t="s">
        <v>101</v>
      </c>
      <c r="G14" s="263" t="s">
        <v>90</v>
      </c>
      <c r="H14" s="215" t="s">
        <v>171</v>
      </c>
      <c r="I14" s="10"/>
      <c r="J14" s="215">
        <v>2020</v>
      </c>
      <c r="K14" s="215"/>
      <c r="L14" s="215"/>
      <c r="M14" s="215"/>
      <c r="N14" s="10"/>
      <c r="O14" s="215">
        <v>2021</v>
      </c>
      <c r="P14" s="215"/>
      <c r="Q14" s="215"/>
      <c r="R14" s="215"/>
      <c r="T14" s="215">
        <v>2022</v>
      </c>
      <c r="U14" s="215"/>
      <c r="V14" s="215"/>
      <c r="W14" s="215"/>
      <c r="Y14" s="215">
        <v>2023</v>
      </c>
      <c r="Z14" s="215"/>
      <c r="AA14" s="215"/>
      <c r="AB14" s="215"/>
      <c r="AD14" s="216">
        <v>2024</v>
      </c>
      <c r="AE14" s="217"/>
      <c r="AF14" s="217"/>
      <c r="AG14" s="217"/>
      <c r="AI14" s="259" t="s">
        <v>102</v>
      </c>
      <c r="AJ14" s="259"/>
      <c r="AK14" s="259"/>
      <c r="AL14" s="259"/>
      <c r="AM14" s="98"/>
    </row>
    <row r="15" spans="1:40" s="11" customFormat="1" ht="16.5" customHeight="1" x14ac:dyDescent="0.25">
      <c r="A15" s="246"/>
      <c r="B15" s="221"/>
      <c r="C15" s="243"/>
      <c r="D15" s="221"/>
      <c r="E15" s="243"/>
      <c r="F15" s="243"/>
      <c r="G15" s="263"/>
      <c r="H15" s="215"/>
      <c r="I15" s="10"/>
      <c r="J15" s="214" t="s">
        <v>4</v>
      </c>
      <c r="K15" s="214"/>
      <c r="L15" s="214" t="s">
        <v>61</v>
      </c>
      <c r="M15" s="214"/>
      <c r="N15" s="10"/>
      <c r="O15" s="214" t="s">
        <v>6</v>
      </c>
      <c r="P15" s="214"/>
      <c r="Q15" s="214" t="s">
        <v>8</v>
      </c>
      <c r="R15" s="214"/>
      <c r="S15" s="10"/>
      <c r="T15" s="214" t="s">
        <v>7</v>
      </c>
      <c r="U15" s="214"/>
      <c r="V15" s="214" t="s">
        <v>8</v>
      </c>
      <c r="W15" s="214"/>
      <c r="Y15" s="214" t="s">
        <v>7</v>
      </c>
      <c r="Z15" s="214"/>
      <c r="AA15" s="214" t="s">
        <v>8</v>
      </c>
      <c r="AB15" s="214"/>
      <c r="AD15" s="214" t="s">
        <v>7</v>
      </c>
      <c r="AE15" s="214"/>
      <c r="AF15" s="214" t="s">
        <v>8</v>
      </c>
      <c r="AG15" s="214"/>
      <c r="AI15" s="218" t="s">
        <v>4</v>
      </c>
      <c r="AJ15" s="218" t="s">
        <v>66</v>
      </c>
      <c r="AK15" s="218" t="s">
        <v>8</v>
      </c>
      <c r="AL15" s="218" t="s">
        <v>5</v>
      </c>
      <c r="AM15" s="98"/>
    </row>
    <row r="16" spans="1:40" s="11" customFormat="1" ht="33" x14ac:dyDescent="0.25">
      <c r="A16" s="247"/>
      <c r="B16" s="222"/>
      <c r="C16" s="257"/>
      <c r="D16" s="222"/>
      <c r="E16" s="257"/>
      <c r="F16" s="244"/>
      <c r="G16" s="263"/>
      <c r="H16" s="215"/>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19"/>
      <c r="AJ16" s="219"/>
      <c r="AK16" s="219"/>
      <c r="AL16" s="219"/>
      <c r="AM16" s="98" t="s">
        <v>183</v>
      </c>
      <c r="AN16" s="98" t="s">
        <v>184</v>
      </c>
    </row>
    <row r="17" spans="1:41" s="100" customFormat="1" ht="75.75" customHeight="1" x14ac:dyDescent="0.25">
      <c r="A17" s="251" t="s">
        <v>99</v>
      </c>
      <c r="B17" s="223" t="s">
        <v>100</v>
      </c>
      <c r="C17" s="223" t="s">
        <v>89</v>
      </c>
      <c r="D17" s="223" t="s">
        <v>151</v>
      </c>
      <c r="E17" s="254" t="str">
        <f>C10</f>
        <v xml:space="preserve">Aumentar el acceso a vivienda digna, espacio público y equipamientos de la población vulnerable en suelo urbano y rural </v>
      </c>
      <c r="F17" s="138" t="s">
        <v>160</v>
      </c>
      <c r="G17" s="138" t="s">
        <v>104</v>
      </c>
      <c r="H17" s="260" t="str">
        <f>C12</f>
        <v>Sistema Distrital de Cuidado</v>
      </c>
      <c r="I17" s="14"/>
      <c r="J17" s="126">
        <v>0.05</v>
      </c>
      <c r="K17" s="126">
        <v>0.05</v>
      </c>
      <c r="L17" s="158"/>
      <c r="M17" s="128"/>
      <c r="N17" s="23"/>
      <c r="O17" s="130">
        <v>0.3</v>
      </c>
      <c r="P17" s="205" t="s">
        <v>179</v>
      </c>
      <c r="Q17" s="128"/>
      <c r="R17" s="128"/>
      <c r="T17" s="132">
        <v>0.65</v>
      </c>
      <c r="U17" s="207">
        <v>0.40360000000000001</v>
      </c>
      <c r="V17" s="133"/>
      <c r="W17" s="134"/>
      <c r="X17" s="101"/>
      <c r="Y17" s="132">
        <v>0.95</v>
      </c>
      <c r="Z17" s="132">
        <v>0</v>
      </c>
      <c r="AA17" s="133"/>
      <c r="AB17" s="134"/>
      <c r="AC17" s="101"/>
      <c r="AD17" s="136">
        <v>1</v>
      </c>
      <c r="AE17" s="136">
        <v>0</v>
      </c>
      <c r="AF17" s="133"/>
      <c r="AG17" s="134"/>
      <c r="AI17" s="136">
        <f>AD17</f>
        <v>1</v>
      </c>
      <c r="AJ17" s="187">
        <f>+U17</f>
        <v>0.40360000000000001</v>
      </c>
      <c r="AK17" s="137">
        <f>L17+Q17+V17+AA17+AF17</f>
        <v>0</v>
      </c>
      <c r="AL17" s="137">
        <f>M17+R17+W17+AB17+AG17</f>
        <v>0</v>
      </c>
      <c r="AM17" s="125" t="s">
        <v>182</v>
      </c>
      <c r="AO17" s="209"/>
    </row>
    <row r="18" spans="1:41" ht="90" x14ac:dyDescent="0.25">
      <c r="A18" s="252"/>
      <c r="B18" s="230"/>
      <c r="C18" s="230"/>
      <c r="D18" s="230"/>
      <c r="E18" s="255"/>
      <c r="F18" s="13" t="s">
        <v>105</v>
      </c>
      <c r="G18" s="13" t="s">
        <v>172</v>
      </c>
      <c r="H18" s="261"/>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235</v>
      </c>
      <c r="V18" s="104">
        <f>3228740012/L1</f>
        <v>3228.7400120000002</v>
      </c>
      <c r="W18" s="105">
        <f>1358557017/L1</f>
        <v>1358.5570170000001</v>
      </c>
      <c r="X18" s="101"/>
      <c r="Y18" s="90">
        <v>290</v>
      </c>
      <c r="Z18" s="103">
        <v>0</v>
      </c>
      <c r="AA18" s="104">
        <f>4117000000/L1</f>
        <v>4117</v>
      </c>
      <c r="AB18" s="105"/>
      <c r="AC18" s="101"/>
      <c r="AD18" s="90">
        <v>10</v>
      </c>
      <c r="AE18" s="90">
        <v>0</v>
      </c>
      <c r="AF18" s="104">
        <f>269733265/L1</f>
        <v>269.73326500000002</v>
      </c>
      <c r="AG18" s="105"/>
      <c r="AH18" s="100"/>
      <c r="AI18" s="90">
        <f>J18+O18+T18+Y18+AD18</f>
        <v>1250</v>
      </c>
      <c r="AJ18" s="90">
        <f t="shared" ref="AJ18:AJ19" si="0">K18+P18+U18+Z18+AE18</f>
        <v>535</v>
      </c>
      <c r="AK18" s="62">
        <f t="shared" ref="AK18" si="1">L18+Q18+V18+AA18+AF18</f>
        <v>13857.796822</v>
      </c>
      <c r="AL18" s="62">
        <f t="shared" ref="AL18" si="2">M18+R18+W18+AB18+AG18</f>
        <v>6976.1388049999996</v>
      </c>
      <c r="AM18" s="99" t="s">
        <v>182</v>
      </c>
    </row>
    <row r="19" spans="1:41" ht="75" x14ac:dyDescent="0.25">
      <c r="A19" s="252"/>
      <c r="B19" s="230"/>
      <c r="C19" s="230"/>
      <c r="D19" s="230"/>
      <c r="E19" s="255"/>
      <c r="F19" s="13" t="s">
        <v>106</v>
      </c>
      <c r="G19" s="13" t="s">
        <v>107</v>
      </c>
      <c r="H19" s="261"/>
      <c r="I19" s="14"/>
      <c r="J19" s="15">
        <v>0</v>
      </c>
      <c r="K19" s="15">
        <v>0</v>
      </c>
      <c r="L19" s="159">
        <v>0</v>
      </c>
      <c r="M19" s="29"/>
      <c r="N19" s="23"/>
      <c r="O19" s="90">
        <v>0</v>
      </c>
      <c r="P19" s="15">
        <v>0</v>
      </c>
      <c r="Q19" s="29">
        <f>1456900000/L1</f>
        <v>1456.9</v>
      </c>
      <c r="R19" s="29">
        <f>1454454730/L1</f>
        <v>1454.4547299999999</v>
      </c>
      <c r="S19" s="100"/>
      <c r="T19" s="90">
        <v>223</v>
      </c>
      <c r="U19" s="103">
        <v>0</v>
      </c>
      <c r="V19" s="104">
        <f>4165745034/1000000</f>
        <v>4165.7450339999996</v>
      </c>
      <c r="W19" s="106">
        <f>736681458/L1</f>
        <v>736.68145800000002</v>
      </c>
      <c r="X19" s="101"/>
      <c r="Y19" s="90">
        <v>507</v>
      </c>
      <c r="Z19" s="103">
        <v>0</v>
      </c>
      <c r="AA19" s="104">
        <v>1082</v>
      </c>
      <c r="AB19" s="105"/>
      <c r="AC19" s="101"/>
      <c r="AD19" s="90">
        <v>520</v>
      </c>
      <c r="AE19" s="90">
        <v>0</v>
      </c>
      <c r="AF19" s="104">
        <v>1235</v>
      </c>
      <c r="AG19" s="106"/>
      <c r="AH19" s="100"/>
      <c r="AI19" s="90">
        <f>J19+O19+T19+Y19+AD19</f>
        <v>1250</v>
      </c>
      <c r="AJ19" s="90">
        <f t="shared" si="0"/>
        <v>0</v>
      </c>
      <c r="AK19" s="62">
        <f t="shared" ref="AK19" si="3">L19+Q19+V19+AA19+AF19</f>
        <v>7939.6450339999992</v>
      </c>
      <c r="AL19" s="62">
        <f t="shared" ref="AL19" si="4">M19+R19+W19+AB19+AG19</f>
        <v>2191.1361879999999</v>
      </c>
      <c r="AM19" s="199" t="s">
        <v>182</v>
      </c>
    </row>
    <row r="20" spans="1:41" ht="49.5" customHeight="1" x14ac:dyDescent="0.25">
      <c r="A20" s="252"/>
      <c r="B20" s="230"/>
      <c r="C20" s="230"/>
      <c r="D20" s="230"/>
      <c r="E20" s="255"/>
      <c r="F20" s="13" t="s">
        <v>178</v>
      </c>
      <c r="G20" s="13" t="s">
        <v>107</v>
      </c>
      <c r="H20" s="261"/>
      <c r="I20" s="14"/>
      <c r="J20" s="15">
        <v>0</v>
      </c>
      <c r="K20" s="15">
        <v>0</v>
      </c>
      <c r="L20" s="159">
        <v>0</v>
      </c>
      <c r="M20" s="29"/>
      <c r="N20" s="23"/>
      <c r="O20" s="90">
        <v>406</v>
      </c>
      <c r="P20" s="90">
        <v>406</v>
      </c>
      <c r="Q20" s="29">
        <f>165096800/L1</f>
        <v>165.0968</v>
      </c>
      <c r="R20" s="29">
        <f>123822600/L1</f>
        <v>123.82259999999999</v>
      </c>
      <c r="S20" s="100"/>
      <c r="T20" s="90">
        <v>2154</v>
      </c>
      <c r="U20" s="103">
        <v>315</v>
      </c>
      <c r="V20" s="104">
        <f>1047139472/1000000</f>
        <v>1047.1394720000001</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721</v>
      </c>
      <c r="AK20" s="62">
        <f t="shared" ref="AK20" si="6">L20+Q20+V20+AA20+AF20</f>
        <v>2348.2362720000001</v>
      </c>
      <c r="AL20" s="62">
        <f t="shared" ref="AL20" si="7">M20+R20+W20+AB20+AG20</f>
        <v>170.20189199999999</v>
      </c>
      <c r="AM20" s="200" t="s">
        <v>182</v>
      </c>
    </row>
    <row r="21" spans="1:41" s="100" customFormat="1" ht="75.75" customHeight="1" x14ac:dyDescent="0.25">
      <c r="A21" s="252"/>
      <c r="B21" s="230"/>
      <c r="C21" s="230"/>
      <c r="D21" s="230"/>
      <c r="E21" s="255"/>
      <c r="F21" s="138" t="s">
        <v>159</v>
      </c>
      <c r="G21" s="138" t="s">
        <v>108</v>
      </c>
      <c r="H21" s="261"/>
      <c r="I21" s="14"/>
      <c r="J21" s="126">
        <v>0.3</v>
      </c>
      <c r="K21" s="126">
        <v>0.3</v>
      </c>
      <c r="L21" s="158"/>
      <c r="M21" s="128"/>
      <c r="N21" s="129"/>
      <c r="O21" s="130">
        <v>0.7</v>
      </c>
      <c r="P21" s="172">
        <v>0.67200000000000004</v>
      </c>
      <c r="Q21" s="128"/>
      <c r="R21" s="128"/>
      <c r="S21" s="131"/>
      <c r="T21" s="132">
        <v>0.9</v>
      </c>
      <c r="U21" s="132">
        <v>0.75</v>
      </c>
      <c r="V21" s="133"/>
      <c r="W21" s="134"/>
      <c r="X21" s="135"/>
      <c r="Y21" s="132">
        <v>1</v>
      </c>
      <c r="Z21" s="132">
        <v>0</v>
      </c>
      <c r="AA21" s="133"/>
      <c r="AB21" s="134"/>
      <c r="AC21" s="135"/>
      <c r="AD21" s="136">
        <v>1</v>
      </c>
      <c r="AE21" s="136">
        <v>0</v>
      </c>
      <c r="AF21" s="133"/>
      <c r="AG21" s="134"/>
      <c r="AH21" s="131"/>
      <c r="AI21" s="136">
        <f>AD21</f>
        <v>1</v>
      </c>
      <c r="AJ21" s="187">
        <f>U21</f>
        <v>0.75</v>
      </c>
      <c r="AK21" s="137">
        <f t="shared" ref="AJ21:AL22" si="8">L21+Q21+V21+AA21+AF21</f>
        <v>0</v>
      </c>
      <c r="AL21" s="137">
        <f t="shared" si="8"/>
        <v>0</v>
      </c>
      <c r="AM21" s="125" t="s">
        <v>182</v>
      </c>
    </row>
    <row r="22" spans="1:41" s="100" customFormat="1" ht="75.75" customHeight="1" x14ac:dyDescent="0.25">
      <c r="A22" s="252"/>
      <c r="B22" s="230"/>
      <c r="C22" s="230"/>
      <c r="D22" s="230"/>
      <c r="E22" s="255"/>
      <c r="F22" s="138" t="s">
        <v>159</v>
      </c>
      <c r="G22" s="138" t="s">
        <v>173</v>
      </c>
      <c r="H22" s="261"/>
      <c r="I22" s="14"/>
      <c r="J22" s="126">
        <v>1</v>
      </c>
      <c r="K22" s="126">
        <v>1</v>
      </c>
      <c r="L22" s="158"/>
      <c r="M22" s="128"/>
      <c r="N22" s="129"/>
      <c r="O22" s="136">
        <v>0</v>
      </c>
      <c r="P22" s="187">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t="s">
        <v>182</v>
      </c>
    </row>
    <row r="23" spans="1:41" ht="60" x14ac:dyDescent="0.25">
      <c r="A23" s="252"/>
      <c r="B23" s="230"/>
      <c r="C23" s="230"/>
      <c r="D23" s="230"/>
      <c r="E23" s="255"/>
      <c r="F23" s="13" t="s">
        <v>109</v>
      </c>
      <c r="G23" s="13" t="s">
        <v>110</v>
      </c>
      <c r="H23" s="261"/>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61</v>
      </c>
      <c r="V23" s="104">
        <f>2706125482/L1</f>
        <v>2706.1254819999999</v>
      </c>
      <c r="W23" s="106">
        <f>983945906/L1</f>
        <v>983.94590600000004</v>
      </c>
      <c r="X23" s="101"/>
      <c r="Y23" s="90">
        <v>550</v>
      </c>
      <c r="Z23" s="103">
        <v>0</v>
      </c>
      <c r="AA23" s="104">
        <v>5050</v>
      </c>
      <c r="AB23" s="106"/>
      <c r="AC23" s="101"/>
      <c r="AD23" s="90">
        <v>50</v>
      </c>
      <c r="AE23" s="90">
        <v>0</v>
      </c>
      <c r="AF23" s="104">
        <v>1000</v>
      </c>
      <c r="AG23" s="106"/>
      <c r="AH23" s="100"/>
      <c r="AI23" s="90">
        <f>J23+O23+T23+Y23+AD23</f>
        <v>1500</v>
      </c>
      <c r="AJ23" s="90">
        <f t="shared" ref="AJ23" si="9">K23+P23+U23+Z23+AE23</f>
        <v>361</v>
      </c>
      <c r="AK23" s="62">
        <f t="shared" ref="AK23" si="10">L23+Q23+V23+AA23+AF23</f>
        <v>15791.671871999999</v>
      </c>
      <c r="AL23" s="62">
        <f t="shared" ref="AL23" si="11">M23+R23+W23+AB23+AG23</f>
        <v>7703.438991</v>
      </c>
      <c r="AM23" s="92" t="s">
        <v>182</v>
      </c>
    </row>
    <row r="24" spans="1:41" s="100" customFormat="1" ht="75.75" customHeight="1" x14ac:dyDescent="0.25">
      <c r="A24" s="252"/>
      <c r="B24" s="230"/>
      <c r="C24" s="230"/>
      <c r="D24" s="230"/>
      <c r="E24" s="255"/>
      <c r="F24" s="138" t="s">
        <v>161</v>
      </c>
      <c r="G24" s="138" t="s">
        <v>111</v>
      </c>
      <c r="H24" s="261"/>
      <c r="I24" s="14"/>
      <c r="J24" s="126">
        <v>0.2</v>
      </c>
      <c r="K24" s="126">
        <v>0.2</v>
      </c>
      <c r="L24" s="158"/>
      <c r="M24" s="128"/>
      <c r="N24" s="129"/>
      <c r="O24" s="130">
        <v>0.45</v>
      </c>
      <c r="P24" s="206">
        <v>0.40749999999999997</v>
      </c>
      <c r="Q24" s="128"/>
      <c r="R24" s="128"/>
      <c r="S24" s="131"/>
      <c r="T24" s="132">
        <v>0.8</v>
      </c>
      <c r="U24" s="132">
        <v>0.42320000000000002</v>
      </c>
      <c r="V24" s="133"/>
      <c r="W24" s="134"/>
      <c r="X24" s="135"/>
      <c r="Y24" s="132">
        <v>1</v>
      </c>
      <c r="Z24" s="132">
        <v>0</v>
      </c>
      <c r="AA24" s="133"/>
      <c r="AB24" s="134"/>
      <c r="AC24" s="135"/>
      <c r="AD24" s="136">
        <v>1</v>
      </c>
      <c r="AE24" s="136">
        <v>0</v>
      </c>
      <c r="AF24" s="133"/>
      <c r="AG24" s="134"/>
      <c r="AH24" s="131"/>
      <c r="AI24" s="136">
        <f>+AD24</f>
        <v>1</v>
      </c>
      <c r="AJ24" s="187">
        <f>+U24</f>
        <v>0.42320000000000002</v>
      </c>
      <c r="AK24" s="137">
        <f>L24+Q24+V24+AA24+AF24</f>
        <v>0</v>
      </c>
      <c r="AL24" s="137">
        <f>M24+R24+W24+AB24+AG24</f>
        <v>0</v>
      </c>
      <c r="AM24" s="125" t="s">
        <v>182</v>
      </c>
    </row>
    <row r="25" spans="1:41" s="100" customFormat="1" ht="75" x14ac:dyDescent="0.25">
      <c r="A25" s="252"/>
      <c r="B25" s="224"/>
      <c r="C25" s="224"/>
      <c r="D25" s="224"/>
      <c r="E25" s="265"/>
      <c r="F25" s="13" t="s">
        <v>112</v>
      </c>
      <c r="G25" s="13" t="s">
        <v>111</v>
      </c>
      <c r="H25" s="261"/>
      <c r="I25" s="14"/>
      <c r="J25" s="26">
        <v>0.2</v>
      </c>
      <c r="K25" s="111">
        <v>0.2</v>
      </c>
      <c r="L25" s="159">
        <f>80000000/L1</f>
        <v>80</v>
      </c>
      <c r="M25" s="29">
        <v>37.799999999999997</v>
      </c>
      <c r="N25" s="23"/>
      <c r="O25" s="26">
        <v>0.45</v>
      </c>
      <c r="P25" s="190">
        <v>0.40749999999999997</v>
      </c>
      <c r="Q25" s="29">
        <f>2986400000/L1</f>
        <v>2986.4</v>
      </c>
      <c r="R25" s="29">
        <f>2978800000/L1</f>
        <v>2978.8</v>
      </c>
      <c r="T25" s="124">
        <v>0.8</v>
      </c>
      <c r="U25" s="124">
        <v>0.42320000000000002</v>
      </c>
      <c r="V25" s="104">
        <f>3852250000/L1</f>
        <v>3852.25</v>
      </c>
      <c r="W25" s="197">
        <v>0</v>
      </c>
      <c r="X25" s="101"/>
      <c r="Y25" s="124">
        <v>1</v>
      </c>
      <c r="Z25" s="124">
        <v>0</v>
      </c>
      <c r="AA25" s="104">
        <f>6188000000/L1</f>
        <v>6188</v>
      </c>
      <c r="AB25" s="105"/>
      <c r="AC25" s="101"/>
      <c r="AD25" s="111">
        <v>1</v>
      </c>
      <c r="AE25" s="111">
        <v>0</v>
      </c>
      <c r="AF25" s="104">
        <f>70000000/L1</f>
        <v>70</v>
      </c>
      <c r="AG25" s="105"/>
      <c r="AI25" s="111">
        <f>AD25</f>
        <v>1</v>
      </c>
      <c r="AJ25" s="149">
        <f>+U25</f>
        <v>0.42320000000000002</v>
      </c>
      <c r="AK25" s="62">
        <f t="shared" ref="AK25" si="12">L25+Q25+V25+AA25+AF25</f>
        <v>13176.65</v>
      </c>
      <c r="AL25" s="62">
        <f t="shared" ref="AL25" si="13">M25+R25+W25+AB25+AG25</f>
        <v>3016.6000000000004</v>
      </c>
      <c r="AM25" s="125" t="s">
        <v>182</v>
      </c>
    </row>
    <row r="26" spans="1:41"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v>
      </c>
      <c r="W26" s="42">
        <f>SUM(W17:W25)</f>
        <v>3125.5636730000001</v>
      </c>
      <c r="Y26" s="41"/>
      <c r="Z26" s="41"/>
      <c r="AA26" s="42">
        <f>SUM(AA17:AA25)</f>
        <v>17307</v>
      </c>
      <c r="AB26" s="42">
        <f>SUM(AB17:AB25)</f>
        <v>0</v>
      </c>
      <c r="AC26" s="112"/>
      <c r="AD26" s="41"/>
      <c r="AE26" s="42"/>
      <c r="AF26" s="42">
        <f>SUM(AF17:AF25)</f>
        <v>2840.7332649999998</v>
      </c>
      <c r="AG26" s="42">
        <f>SUM(AG17:AG25)</f>
        <v>0</v>
      </c>
      <c r="AI26" s="96"/>
      <c r="AJ26" s="96"/>
      <c r="AK26" s="64">
        <f>SUM(AK17:AK25)</f>
        <v>53114</v>
      </c>
      <c r="AL26" s="64">
        <f>SUM(AL17:AL25)</f>
        <v>20057.515875999998</v>
      </c>
      <c r="AM26" s="98"/>
      <c r="AN26" s="25"/>
    </row>
    <row r="27" spans="1:41"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1" s="5" customFormat="1" ht="15.75" customHeight="1" x14ac:dyDescent="0.2">
      <c r="A28" s="262"/>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94"/>
    </row>
    <row r="29" spans="1:41"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1" x14ac:dyDescent="0.25">
      <c r="A30" s="142">
        <v>1</v>
      </c>
      <c r="B30" s="122" t="s">
        <v>94</v>
      </c>
      <c r="C30" s="258" t="s">
        <v>113</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row>
    <row r="31" spans="1:41" x14ac:dyDescent="0.25">
      <c r="A31" s="141">
        <v>8</v>
      </c>
      <c r="B31" s="6" t="s">
        <v>157</v>
      </c>
      <c r="C31" s="258" t="s">
        <v>158</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row>
    <row r="32" spans="1:41" x14ac:dyDescent="0.25">
      <c r="A32" s="141">
        <v>19</v>
      </c>
      <c r="B32" s="6" t="s">
        <v>95</v>
      </c>
      <c r="C32" s="258" t="s">
        <v>156</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row>
    <row r="33" spans="1:43" ht="30" x14ac:dyDescent="0.25">
      <c r="A33" s="141">
        <v>3</v>
      </c>
      <c r="B33" s="123" t="s">
        <v>98</v>
      </c>
      <c r="C33" s="258" t="s">
        <v>114</v>
      </c>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row>
    <row r="34" spans="1:43"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3" s="11" customFormat="1" ht="27" customHeight="1" x14ac:dyDescent="0.25">
      <c r="A35" s="245" t="s">
        <v>2</v>
      </c>
      <c r="B35" s="220" t="s">
        <v>3</v>
      </c>
      <c r="C35" s="256" t="s">
        <v>87</v>
      </c>
      <c r="D35" s="220" t="s">
        <v>67</v>
      </c>
      <c r="E35" s="256" t="s">
        <v>170</v>
      </c>
      <c r="F35" s="242" t="s">
        <v>101</v>
      </c>
      <c r="G35" s="263" t="s">
        <v>90</v>
      </c>
      <c r="H35" s="215" t="s">
        <v>171</v>
      </c>
      <c r="I35" s="10"/>
      <c r="J35" s="215">
        <v>2020</v>
      </c>
      <c r="K35" s="215"/>
      <c r="L35" s="215"/>
      <c r="M35" s="215"/>
      <c r="N35" s="10"/>
      <c r="O35" s="215">
        <v>2021</v>
      </c>
      <c r="P35" s="215"/>
      <c r="Q35" s="215"/>
      <c r="R35" s="215"/>
      <c r="T35" s="215">
        <v>2022</v>
      </c>
      <c r="U35" s="215"/>
      <c r="V35" s="215"/>
      <c r="W35" s="215"/>
      <c r="Y35" s="215">
        <v>2023</v>
      </c>
      <c r="Z35" s="215"/>
      <c r="AA35" s="215"/>
      <c r="AB35" s="215"/>
      <c r="AD35" s="216">
        <v>2024</v>
      </c>
      <c r="AE35" s="217"/>
      <c r="AF35" s="217"/>
      <c r="AG35" s="217"/>
      <c r="AI35" s="259" t="s">
        <v>102</v>
      </c>
      <c r="AJ35" s="259"/>
      <c r="AK35" s="259"/>
      <c r="AL35" s="259"/>
      <c r="AM35" s="98"/>
    </row>
    <row r="36" spans="1:43" s="11" customFormat="1" ht="16.5" customHeight="1" x14ac:dyDescent="0.25">
      <c r="A36" s="246"/>
      <c r="B36" s="221"/>
      <c r="C36" s="243"/>
      <c r="D36" s="221"/>
      <c r="E36" s="243"/>
      <c r="F36" s="243"/>
      <c r="G36" s="263"/>
      <c r="H36" s="215"/>
      <c r="I36" s="10"/>
      <c r="J36" s="214" t="s">
        <v>4</v>
      </c>
      <c r="K36" s="214"/>
      <c r="L36" s="214" t="s">
        <v>61</v>
      </c>
      <c r="M36" s="214"/>
      <c r="N36" s="10"/>
      <c r="O36" s="214" t="s">
        <v>6</v>
      </c>
      <c r="P36" s="214"/>
      <c r="Q36" s="214" t="s">
        <v>8</v>
      </c>
      <c r="R36" s="214"/>
      <c r="S36" s="10"/>
      <c r="T36" s="214" t="s">
        <v>7</v>
      </c>
      <c r="U36" s="214"/>
      <c r="V36" s="214" t="s">
        <v>8</v>
      </c>
      <c r="W36" s="214"/>
      <c r="Y36" s="214" t="s">
        <v>7</v>
      </c>
      <c r="Z36" s="214"/>
      <c r="AA36" s="214" t="s">
        <v>8</v>
      </c>
      <c r="AB36" s="214"/>
      <c r="AD36" s="214" t="s">
        <v>7</v>
      </c>
      <c r="AE36" s="214"/>
      <c r="AF36" s="214" t="s">
        <v>8</v>
      </c>
      <c r="AG36" s="214"/>
      <c r="AI36" s="218" t="s">
        <v>4</v>
      </c>
      <c r="AJ36" s="218" t="s">
        <v>66</v>
      </c>
      <c r="AK36" s="218" t="s">
        <v>8</v>
      </c>
      <c r="AL36" s="218" t="s">
        <v>5</v>
      </c>
      <c r="AM36" s="98"/>
    </row>
    <row r="37" spans="1:43" s="11" customFormat="1" ht="33" x14ac:dyDescent="0.25">
      <c r="A37" s="247"/>
      <c r="B37" s="222"/>
      <c r="C37" s="257"/>
      <c r="D37" s="222"/>
      <c r="E37" s="257"/>
      <c r="F37" s="244"/>
      <c r="G37" s="263"/>
      <c r="H37" s="215"/>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19"/>
      <c r="AJ37" s="219"/>
      <c r="AK37" s="219"/>
      <c r="AL37" s="219"/>
      <c r="AM37" s="98"/>
    </row>
    <row r="38" spans="1:43" ht="75.75" customHeight="1" x14ac:dyDescent="0.25">
      <c r="A38" s="251" t="s">
        <v>115</v>
      </c>
      <c r="B38" s="223" t="s">
        <v>116</v>
      </c>
      <c r="C38" s="223" t="s">
        <v>117</v>
      </c>
      <c r="D38" s="223" t="s">
        <v>152</v>
      </c>
      <c r="E38" s="254" t="str">
        <f>C31</f>
        <v xml:space="preserve">Aumentar el acceso a vivienda digna, espacio público y equipamientos de la población vulnerable en suelo urbano y rural </v>
      </c>
      <c r="F38" s="138" t="s">
        <v>162</v>
      </c>
      <c r="G38" s="138" t="s">
        <v>91</v>
      </c>
      <c r="H38" s="260" t="str">
        <f>C33</f>
        <v>Sistema Distrital de cuidado</v>
      </c>
      <c r="I38" s="14"/>
      <c r="J38" s="127">
        <v>433</v>
      </c>
      <c r="K38" s="127">
        <v>433</v>
      </c>
      <c r="L38" s="158"/>
      <c r="M38" s="128"/>
      <c r="N38" s="129"/>
      <c r="O38" s="144">
        <v>1005</v>
      </c>
      <c r="P38" s="144">
        <v>1005</v>
      </c>
      <c r="Q38" s="128"/>
      <c r="R38" s="128"/>
      <c r="S38" s="131"/>
      <c r="T38" s="145">
        <v>600</v>
      </c>
      <c r="U38" s="145">
        <v>391</v>
      </c>
      <c r="V38" s="133"/>
      <c r="W38" s="134"/>
      <c r="X38" s="135"/>
      <c r="Y38" s="145">
        <v>262</v>
      </c>
      <c r="Z38" s="145">
        <v>0</v>
      </c>
      <c r="AA38" s="133"/>
      <c r="AB38" s="134"/>
      <c r="AC38" s="135"/>
      <c r="AD38" s="146">
        <v>100</v>
      </c>
      <c r="AE38" s="146">
        <v>0</v>
      </c>
      <c r="AF38" s="133"/>
      <c r="AG38" s="134"/>
      <c r="AH38" s="131"/>
      <c r="AI38" s="146">
        <f t="shared" ref="AI38:AL41" si="14">J38+O38+T38+Y38+AD38</f>
        <v>2400</v>
      </c>
      <c r="AJ38" s="146">
        <f t="shared" si="14"/>
        <v>1829</v>
      </c>
      <c r="AK38" s="137">
        <f t="shared" si="14"/>
        <v>0</v>
      </c>
      <c r="AL38" s="137">
        <f t="shared" si="14"/>
        <v>0</v>
      </c>
      <c r="AM38" s="99" t="s">
        <v>182</v>
      </c>
    </row>
    <row r="39" spans="1:43" ht="75.75" customHeight="1" x14ac:dyDescent="0.25">
      <c r="A39" s="252"/>
      <c r="B39" s="230"/>
      <c r="C39" s="230"/>
      <c r="D39" s="230"/>
      <c r="E39" s="255"/>
      <c r="F39" s="13" t="s">
        <v>118</v>
      </c>
      <c r="G39" s="13" t="s">
        <v>91</v>
      </c>
      <c r="H39" s="261"/>
      <c r="I39" s="14"/>
      <c r="J39" s="107">
        <v>433</v>
      </c>
      <c r="K39" s="107">
        <v>433</v>
      </c>
      <c r="L39" s="161">
        <v>2485.9104860000002</v>
      </c>
      <c r="M39" s="29">
        <v>2462.6375039999998</v>
      </c>
      <c r="N39" s="23"/>
      <c r="O39" s="15">
        <v>1005</v>
      </c>
      <c r="P39" s="15">
        <v>1005</v>
      </c>
      <c r="Q39" s="63">
        <f>3174460251/L1</f>
        <v>3174.460251</v>
      </c>
      <c r="R39" s="29">
        <f>3173790307/L1</f>
        <v>3173.7903070000002</v>
      </c>
      <c r="S39" s="100"/>
      <c r="T39" s="103">
        <v>600</v>
      </c>
      <c r="U39" s="103">
        <v>391</v>
      </c>
      <c r="V39" s="63">
        <f>6177389112/L1</f>
        <v>6177.3891119999998</v>
      </c>
      <c r="W39" s="105">
        <f>1546410500/L1</f>
        <v>1546.4105</v>
      </c>
      <c r="X39" s="101"/>
      <c r="Y39" s="103">
        <v>262</v>
      </c>
      <c r="Z39" s="103">
        <v>0</v>
      </c>
      <c r="AA39" s="63">
        <v>2674</v>
      </c>
      <c r="AB39" s="105"/>
      <c r="AC39" s="101"/>
      <c r="AD39" s="90">
        <v>100</v>
      </c>
      <c r="AE39" s="90">
        <v>0</v>
      </c>
      <c r="AF39" s="104">
        <v>1909</v>
      </c>
      <c r="AG39" s="105"/>
      <c r="AH39" s="100"/>
      <c r="AI39" s="90">
        <f t="shared" si="14"/>
        <v>2400</v>
      </c>
      <c r="AJ39" s="90">
        <f t="shared" si="14"/>
        <v>1829</v>
      </c>
      <c r="AK39" s="62">
        <f t="shared" si="14"/>
        <v>16420.759849000002</v>
      </c>
      <c r="AL39" s="62">
        <f t="shared" si="14"/>
        <v>7182.8383109999995</v>
      </c>
      <c r="AM39" s="99" t="s">
        <v>182</v>
      </c>
      <c r="AN39" s="201"/>
      <c r="AP39" s="8">
        <f>2650-2674</f>
        <v>-24</v>
      </c>
    </row>
    <row r="40" spans="1:43" ht="43.5" customHeight="1" x14ac:dyDescent="0.25">
      <c r="A40" s="252"/>
      <c r="B40" s="230"/>
      <c r="C40" s="230"/>
      <c r="D40" s="230"/>
      <c r="E40" s="255"/>
      <c r="F40" s="13" t="s">
        <v>121</v>
      </c>
      <c r="G40" s="13" t="s">
        <v>122</v>
      </c>
      <c r="H40" s="261"/>
      <c r="I40" s="14"/>
      <c r="J40" s="15">
        <v>1</v>
      </c>
      <c r="K40" s="15">
        <v>1</v>
      </c>
      <c r="L40" s="159">
        <v>3933.2635260000002</v>
      </c>
      <c r="M40" s="29">
        <v>3919.824286</v>
      </c>
      <c r="N40" s="23"/>
      <c r="O40" s="19">
        <v>0.35</v>
      </c>
      <c r="P40" s="196">
        <v>0.35</v>
      </c>
      <c r="Q40" s="63">
        <f>785812430/L1</f>
        <v>785.81242999999995</v>
      </c>
      <c r="R40" s="29">
        <f>783562430/L1</f>
        <v>783.56242999999995</v>
      </c>
      <c r="S40" s="100"/>
      <c r="T40" s="191">
        <v>0.52</v>
      </c>
      <c r="U40" s="103">
        <v>0</v>
      </c>
      <c r="V40" s="63">
        <f>1811458888/L1</f>
        <v>1811.4588879999999</v>
      </c>
      <c r="W40" s="106">
        <f>284163488/L1</f>
        <v>284.16348799999997</v>
      </c>
      <c r="X40" s="101"/>
      <c r="Y40" s="191">
        <v>0.13</v>
      </c>
      <c r="Z40" s="103">
        <v>0</v>
      </c>
      <c r="AA40" s="104">
        <v>16</v>
      </c>
      <c r="AB40" s="104"/>
      <c r="AC40" s="101"/>
      <c r="AD40" s="90">
        <v>0</v>
      </c>
      <c r="AE40" s="90">
        <v>0</v>
      </c>
      <c r="AF40" s="104">
        <v>0</v>
      </c>
      <c r="AG40" s="104"/>
      <c r="AH40" s="100"/>
      <c r="AI40" s="90">
        <f>J40+O40+T40+Y40+AD40</f>
        <v>2</v>
      </c>
      <c r="AJ40" s="196">
        <f t="shared" si="14"/>
        <v>1.35</v>
      </c>
      <c r="AK40" s="62">
        <f t="shared" ref="AK40" si="15">L40+Q40+V40+AA40+AF40</f>
        <v>6546.5348440000007</v>
      </c>
      <c r="AL40" s="62">
        <f t="shared" si="14"/>
        <v>4987.5502040000001</v>
      </c>
      <c r="AM40" s="99" t="s">
        <v>182</v>
      </c>
      <c r="AN40" s="89"/>
    </row>
    <row r="41" spans="1:43" ht="39.75" customHeight="1" x14ac:dyDescent="0.25">
      <c r="A41" s="252"/>
      <c r="B41" s="230"/>
      <c r="C41" s="230"/>
      <c r="D41" s="230"/>
      <c r="E41" s="255"/>
      <c r="F41" s="13" t="s">
        <v>119</v>
      </c>
      <c r="G41" s="13" t="s">
        <v>120</v>
      </c>
      <c r="H41" s="261"/>
      <c r="I41" s="14"/>
      <c r="J41" s="15">
        <v>1</v>
      </c>
      <c r="K41" s="15">
        <v>1</v>
      </c>
      <c r="L41" s="167">
        <v>1.1481950000000001</v>
      </c>
      <c r="M41" s="168">
        <v>1.1481950000000001</v>
      </c>
      <c r="N41" s="23"/>
      <c r="O41" s="15">
        <v>1</v>
      </c>
      <c r="P41" s="15">
        <v>1</v>
      </c>
      <c r="Q41" s="63">
        <f>704512319/L1</f>
        <v>704.51231900000005</v>
      </c>
      <c r="R41" s="29">
        <f>700993442/L1</f>
        <v>700.99344199999996</v>
      </c>
      <c r="S41" s="100"/>
      <c r="T41" s="103">
        <v>1</v>
      </c>
      <c r="U41" s="103">
        <v>0</v>
      </c>
      <c r="V41" s="104">
        <f>861153000/L1</f>
        <v>861.15300000000002</v>
      </c>
      <c r="W41" s="104">
        <f>507180000/L1</f>
        <v>507.18</v>
      </c>
      <c r="X41" s="101"/>
      <c r="Y41" s="103">
        <v>1</v>
      </c>
      <c r="Z41" s="103">
        <v>0</v>
      </c>
      <c r="AA41" s="104">
        <v>54</v>
      </c>
      <c r="AB41" s="106"/>
      <c r="AC41" s="101"/>
      <c r="AD41" s="90">
        <v>0</v>
      </c>
      <c r="AE41" s="90">
        <v>0</v>
      </c>
      <c r="AF41" s="104">
        <v>0</v>
      </c>
      <c r="AG41" s="106"/>
      <c r="AH41" s="100"/>
      <c r="AI41" s="90">
        <f>J41+O41+T41+Y41+AD41</f>
        <v>4</v>
      </c>
      <c r="AJ41" s="90">
        <f t="shared" ref="AJ41" si="16">K41+P41+U41+Z41+AE41</f>
        <v>2</v>
      </c>
      <c r="AK41" s="62">
        <f t="shared" si="14"/>
        <v>1620.8135139999999</v>
      </c>
      <c r="AL41" s="62">
        <f t="shared" ref="AL41" si="17">M41+R41+W41+AB41+AG41</f>
        <v>1209.321637</v>
      </c>
      <c r="AM41" s="199" t="s">
        <v>182</v>
      </c>
    </row>
    <row r="42" spans="1:43" s="6" customFormat="1" ht="15.75" x14ac:dyDescent="0.25">
      <c r="A42" s="17"/>
      <c r="B42" s="118" t="s">
        <v>103</v>
      </c>
      <c r="C42" s="118"/>
      <c r="D42" s="118"/>
      <c r="E42" s="118"/>
      <c r="F42" s="39"/>
      <c r="G42" s="39"/>
      <c r="H42" s="39"/>
      <c r="I42" s="40"/>
      <c r="J42" s="41"/>
      <c r="K42" s="41"/>
      <c r="L42" s="160">
        <f>SUM(L38:L41)</f>
        <v>6420.3222070000002</v>
      </c>
      <c r="M42" s="42">
        <f>SUM(M38:M41)</f>
        <v>6383.6099849999991</v>
      </c>
      <c r="N42" s="51"/>
      <c r="O42" s="41"/>
      <c r="P42" s="41"/>
      <c r="Q42" s="42">
        <f>SUM(Q38:Q41)</f>
        <v>4664.7849999999999</v>
      </c>
      <c r="R42" s="42">
        <f>SUM(R38:R41)</f>
        <v>4658.3461790000001</v>
      </c>
      <c r="T42" s="41"/>
      <c r="U42" s="41"/>
      <c r="V42" s="42">
        <f>SUM(V38:V41)</f>
        <v>8850.0010000000002</v>
      </c>
      <c r="W42" s="42">
        <f>SUM(W38:W41)</f>
        <v>2337.7539879999999</v>
      </c>
      <c r="Y42" s="41"/>
      <c r="Z42" s="41"/>
      <c r="AA42" s="42">
        <f>SUM(AA38:AA41)</f>
        <v>2744</v>
      </c>
      <c r="AB42" s="42">
        <f>SUM(AB38:AB41)</f>
        <v>0</v>
      </c>
      <c r="AC42" s="112"/>
      <c r="AD42" s="41"/>
      <c r="AE42" s="42"/>
      <c r="AF42" s="42">
        <f>SUM(AF38:AF41)</f>
        <v>1909</v>
      </c>
      <c r="AG42" s="42">
        <f>SUM(AG38:AG41)</f>
        <v>0</v>
      </c>
      <c r="AI42" s="96"/>
      <c r="AJ42" s="96"/>
      <c r="AK42" s="64">
        <f>SUM(AK38:AK41)</f>
        <v>24588.108207000005</v>
      </c>
      <c r="AL42" s="64">
        <f>SUM(AL38:AL41)</f>
        <v>13379.710152</v>
      </c>
      <c r="AM42" s="98"/>
      <c r="AN42" s="25"/>
      <c r="AP42" s="6">
        <v>24587</v>
      </c>
      <c r="AQ42" s="25">
        <f>+AP42-AK42</f>
        <v>-1.1082070000047679</v>
      </c>
    </row>
    <row r="43" spans="1:43" x14ac:dyDescent="0.25">
      <c r="AN43" s="89"/>
    </row>
    <row r="44" spans="1:43" s="5" customFormat="1" ht="15.75" customHeight="1" x14ac:dyDescent="0.2">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94"/>
    </row>
    <row r="45" spans="1:43"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3" x14ac:dyDescent="0.25">
      <c r="A46" s="142">
        <v>2</v>
      </c>
      <c r="B46" s="122" t="s">
        <v>94</v>
      </c>
      <c r="C46" s="258" t="s">
        <v>163</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row>
    <row r="47" spans="1:43" ht="15.75" x14ac:dyDescent="0.25">
      <c r="A47" s="141">
        <v>15</v>
      </c>
      <c r="B47" s="6" t="s">
        <v>157</v>
      </c>
      <c r="C47" s="264" t="s">
        <v>164</v>
      </c>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row>
    <row r="48" spans="1:43" x14ac:dyDescent="0.25">
      <c r="A48" s="141">
        <v>29</v>
      </c>
      <c r="B48" s="6" t="s">
        <v>95</v>
      </c>
      <c r="C48" s="258" t="s">
        <v>165</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row>
    <row r="49" spans="1:41" ht="30" x14ac:dyDescent="0.25">
      <c r="A49" s="141">
        <v>3</v>
      </c>
      <c r="B49" s="123" t="s">
        <v>98</v>
      </c>
      <c r="C49" s="258" t="s">
        <v>114</v>
      </c>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row>
    <row r="51" spans="1:41" s="11" customFormat="1" ht="27" customHeight="1" x14ac:dyDescent="0.25">
      <c r="A51" s="245" t="s">
        <v>2</v>
      </c>
      <c r="B51" s="220" t="s">
        <v>3</v>
      </c>
      <c r="C51" s="256" t="s">
        <v>87</v>
      </c>
      <c r="D51" s="220" t="s">
        <v>67</v>
      </c>
      <c r="E51" s="256" t="s">
        <v>170</v>
      </c>
      <c r="F51" s="242" t="s">
        <v>101</v>
      </c>
      <c r="G51" s="263" t="s">
        <v>90</v>
      </c>
      <c r="H51" s="215" t="s">
        <v>171</v>
      </c>
      <c r="I51" s="10"/>
      <c r="J51" s="215">
        <v>2020</v>
      </c>
      <c r="K51" s="215"/>
      <c r="L51" s="215"/>
      <c r="M51" s="215"/>
      <c r="N51" s="10"/>
      <c r="O51" s="215">
        <v>2021</v>
      </c>
      <c r="P51" s="215"/>
      <c r="Q51" s="215"/>
      <c r="R51" s="215"/>
      <c r="T51" s="215">
        <v>2022</v>
      </c>
      <c r="U51" s="215"/>
      <c r="V51" s="215"/>
      <c r="W51" s="215"/>
      <c r="Y51" s="215">
        <v>2023</v>
      </c>
      <c r="Z51" s="215"/>
      <c r="AA51" s="215"/>
      <c r="AB51" s="215"/>
      <c r="AD51" s="216">
        <v>2024</v>
      </c>
      <c r="AE51" s="217"/>
      <c r="AF51" s="217"/>
      <c r="AG51" s="217"/>
      <c r="AI51" s="259" t="s">
        <v>102</v>
      </c>
      <c r="AJ51" s="259"/>
      <c r="AK51" s="259"/>
      <c r="AL51" s="259"/>
      <c r="AM51" s="98"/>
    </row>
    <row r="52" spans="1:41" s="11" customFormat="1" ht="16.5" customHeight="1" x14ac:dyDescent="0.25">
      <c r="A52" s="246"/>
      <c r="B52" s="221"/>
      <c r="C52" s="243"/>
      <c r="D52" s="221"/>
      <c r="E52" s="243"/>
      <c r="F52" s="243"/>
      <c r="G52" s="263"/>
      <c r="H52" s="215"/>
      <c r="I52" s="10"/>
      <c r="J52" s="214" t="s">
        <v>4</v>
      </c>
      <c r="K52" s="214"/>
      <c r="L52" s="214" t="s">
        <v>61</v>
      </c>
      <c r="M52" s="214"/>
      <c r="N52" s="10"/>
      <c r="O52" s="214" t="s">
        <v>6</v>
      </c>
      <c r="P52" s="214"/>
      <c r="Q52" s="214" t="s">
        <v>8</v>
      </c>
      <c r="R52" s="214"/>
      <c r="S52" s="10"/>
      <c r="T52" s="214" t="s">
        <v>7</v>
      </c>
      <c r="U52" s="214"/>
      <c r="V52" s="214" t="s">
        <v>8</v>
      </c>
      <c r="W52" s="214"/>
      <c r="Y52" s="214" t="s">
        <v>7</v>
      </c>
      <c r="Z52" s="214"/>
      <c r="AA52" s="214" t="s">
        <v>8</v>
      </c>
      <c r="AB52" s="214"/>
      <c r="AD52" s="214" t="s">
        <v>7</v>
      </c>
      <c r="AE52" s="214"/>
      <c r="AF52" s="214" t="s">
        <v>8</v>
      </c>
      <c r="AG52" s="214"/>
      <c r="AI52" s="218" t="s">
        <v>4</v>
      </c>
      <c r="AJ52" s="218" t="s">
        <v>66</v>
      </c>
      <c r="AK52" s="218" t="s">
        <v>8</v>
      </c>
      <c r="AL52" s="218" t="s">
        <v>5</v>
      </c>
      <c r="AM52" s="98"/>
    </row>
    <row r="53" spans="1:41" s="11" customFormat="1" ht="33" x14ac:dyDescent="0.25">
      <c r="A53" s="247"/>
      <c r="B53" s="222"/>
      <c r="C53" s="257"/>
      <c r="D53" s="222"/>
      <c r="E53" s="257"/>
      <c r="F53" s="244"/>
      <c r="G53" s="263"/>
      <c r="H53" s="215"/>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19"/>
      <c r="AJ53" s="219"/>
      <c r="AK53" s="219"/>
      <c r="AL53" s="219"/>
      <c r="AM53" s="98"/>
    </row>
    <row r="54" spans="1:41" ht="75.75" customHeight="1" x14ac:dyDescent="0.25">
      <c r="A54" s="251" t="s">
        <v>123</v>
      </c>
      <c r="B54" s="223" t="s">
        <v>125</v>
      </c>
      <c r="C54" s="223" t="s">
        <v>124</v>
      </c>
      <c r="D54" s="223" t="s">
        <v>153</v>
      </c>
      <c r="E54" s="223" t="str">
        <f>C47</f>
        <v xml:space="preserve">Intervenir integralmente áreas estratégicas de Bogotá teniendo en cuenta las dinámicas patrimoniales, ambientales, sociales y culturales  
</v>
      </c>
      <c r="F54" s="138" t="s">
        <v>126</v>
      </c>
      <c r="G54" s="138" t="s">
        <v>127</v>
      </c>
      <c r="H54" s="260" t="str">
        <f>C49</f>
        <v>Sistema Distrital de cuidado</v>
      </c>
      <c r="I54" s="14"/>
      <c r="J54" s="127">
        <v>410</v>
      </c>
      <c r="K54" s="127">
        <v>410</v>
      </c>
      <c r="L54" s="158"/>
      <c r="M54" s="128"/>
      <c r="N54" s="129"/>
      <c r="O54" s="146">
        <v>526</v>
      </c>
      <c r="P54" s="144">
        <v>526</v>
      </c>
      <c r="Q54" s="128"/>
      <c r="R54" s="128"/>
      <c r="S54" s="131"/>
      <c r="T54" s="145">
        <v>764</v>
      </c>
      <c r="U54" s="145">
        <v>115</v>
      </c>
      <c r="V54" s="133"/>
      <c r="W54" s="134"/>
      <c r="X54" s="135"/>
      <c r="Y54" s="145">
        <v>361</v>
      </c>
      <c r="Z54" s="145">
        <v>0</v>
      </c>
      <c r="AA54" s="133"/>
      <c r="AB54" s="134"/>
      <c r="AC54" s="135"/>
      <c r="AD54" s="146">
        <v>89</v>
      </c>
      <c r="AE54" s="146">
        <v>0</v>
      </c>
      <c r="AF54" s="133"/>
      <c r="AG54" s="134"/>
      <c r="AH54" s="131"/>
      <c r="AI54" s="146">
        <f>J54+O54+T54+Y54+AD54</f>
        <v>2150</v>
      </c>
      <c r="AJ54" s="146">
        <f>K54+P54+U54+Z54+AE54</f>
        <v>1051</v>
      </c>
      <c r="AK54" s="137">
        <f>L54+Q54+V54+AA54+AF54</f>
        <v>0</v>
      </c>
      <c r="AL54" s="137">
        <f>M54+R54+W54+AB54+AG54</f>
        <v>0</v>
      </c>
      <c r="AM54" s="99" t="s">
        <v>182</v>
      </c>
    </row>
    <row r="55" spans="1:41" ht="71.25" customHeight="1" x14ac:dyDescent="0.25">
      <c r="A55" s="252"/>
      <c r="B55" s="230"/>
      <c r="C55" s="230"/>
      <c r="D55" s="230"/>
      <c r="E55" s="230"/>
      <c r="F55" s="13" t="s">
        <v>128</v>
      </c>
      <c r="G55" s="13" t="s">
        <v>129</v>
      </c>
      <c r="H55" s="261"/>
      <c r="I55" s="14"/>
      <c r="J55" s="15">
        <v>54</v>
      </c>
      <c r="K55" s="90">
        <v>55</v>
      </c>
      <c r="L55" s="159">
        <v>5071.6473960000003</v>
      </c>
      <c r="M55" s="29">
        <v>4319.8978859999997</v>
      </c>
      <c r="N55" s="23"/>
      <c r="O55" s="15">
        <v>207</v>
      </c>
      <c r="P55" s="15">
        <v>207</v>
      </c>
      <c r="Q55" s="63">
        <f>10671009470/L1</f>
        <v>10671.009470000001</v>
      </c>
      <c r="R55" s="29">
        <f>10624208143/L1</f>
        <v>10624.208143</v>
      </c>
      <c r="S55" s="100"/>
      <c r="T55" s="103">
        <v>640</v>
      </c>
      <c r="U55" s="113">
        <v>22</v>
      </c>
      <c r="V55" s="104">
        <f>18301947500/L1</f>
        <v>18301.947499999998</v>
      </c>
      <c r="W55" s="105">
        <f>6213140906/L1</f>
        <v>6213.1409059999996</v>
      </c>
      <c r="X55" s="101"/>
      <c r="Y55" s="103">
        <v>225</v>
      </c>
      <c r="Z55" s="113">
        <v>0</v>
      </c>
      <c r="AA55" s="104">
        <v>17450</v>
      </c>
      <c r="AB55" s="105"/>
      <c r="AC55" s="101"/>
      <c r="AD55" s="90">
        <v>97</v>
      </c>
      <c r="AE55" s="90">
        <v>0</v>
      </c>
      <c r="AF55" s="104">
        <v>7077</v>
      </c>
      <c r="AG55" s="105"/>
      <c r="AH55" s="100"/>
      <c r="AI55" s="90">
        <f>J55+O55+T55+Y55+AD55</f>
        <v>1223</v>
      </c>
      <c r="AJ55" s="90">
        <f t="shared" ref="AJ55:AJ58" si="18">K55+P55+U55+Z55+AE55</f>
        <v>284</v>
      </c>
      <c r="AK55" s="62">
        <f t="shared" ref="AK55:AK59" si="19">L55+Q55+V55+AA55+AF55</f>
        <v>58571.604366</v>
      </c>
      <c r="AL55" s="62">
        <f t="shared" ref="AL55:AL59" si="20">M55+R55+W55+AB55+AG55</f>
        <v>21157.246934999999</v>
      </c>
      <c r="AM55" s="99" t="s">
        <v>182</v>
      </c>
      <c r="AN55" s="201"/>
    </row>
    <row r="56" spans="1:41" ht="66.75" customHeight="1" x14ac:dyDescent="0.25">
      <c r="A56" s="252"/>
      <c r="B56" s="230"/>
      <c r="C56" s="230"/>
      <c r="D56" s="230"/>
      <c r="E56" s="230"/>
      <c r="F56" s="13" t="s">
        <v>130</v>
      </c>
      <c r="G56" s="13" t="s">
        <v>131</v>
      </c>
      <c r="H56" s="261"/>
      <c r="I56" s="14"/>
      <c r="J56" s="15">
        <v>28</v>
      </c>
      <c r="K56" s="15">
        <v>27</v>
      </c>
      <c r="L56" s="159">
        <v>2969.3287610000002</v>
      </c>
      <c r="M56" s="29">
        <v>2928.9973829999999</v>
      </c>
      <c r="N56" s="23"/>
      <c r="O56" s="90">
        <v>37</v>
      </c>
      <c r="P56" s="90">
        <v>37</v>
      </c>
      <c r="Q56" s="63">
        <f>2731695509/L1</f>
        <v>2731.6955090000001</v>
      </c>
      <c r="R56" s="29">
        <f>2708768098/L1</f>
        <v>2708.768098</v>
      </c>
      <c r="S56" s="100"/>
      <c r="T56" s="103">
        <v>30</v>
      </c>
      <c r="U56" s="103">
        <v>11</v>
      </c>
      <c r="V56" s="104">
        <f>1770233500/L1</f>
        <v>1770.2335</v>
      </c>
      <c r="W56" s="106">
        <f>596654602/L1</f>
        <v>596.65460199999995</v>
      </c>
      <c r="X56" s="101"/>
      <c r="Y56" s="103">
        <v>15</v>
      </c>
      <c r="Z56" s="103">
        <v>0</v>
      </c>
      <c r="AA56" s="104">
        <v>1125</v>
      </c>
      <c r="AB56" s="106"/>
      <c r="AC56" s="101"/>
      <c r="AD56" s="90">
        <v>6</v>
      </c>
      <c r="AE56" s="90">
        <v>0</v>
      </c>
      <c r="AF56" s="104">
        <v>540</v>
      </c>
      <c r="AG56" s="106"/>
      <c r="AH56" s="100"/>
      <c r="AI56" s="90">
        <f>J56+O56+T56+Y56+AD56</f>
        <v>116</v>
      </c>
      <c r="AJ56" s="90">
        <f t="shared" si="18"/>
        <v>75</v>
      </c>
      <c r="AK56" s="62">
        <f t="shared" si="19"/>
        <v>9136.2577700000002</v>
      </c>
      <c r="AL56" s="62">
        <f t="shared" si="20"/>
        <v>6234.420083</v>
      </c>
      <c r="AM56" s="92" t="s">
        <v>182</v>
      </c>
      <c r="AN56" s="89"/>
    </row>
    <row r="57" spans="1:41" ht="58.5" customHeight="1" x14ac:dyDescent="0.25">
      <c r="A57" s="252"/>
      <c r="B57" s="230"/>
      <c r="C57" s="230"/>
      <c r="D57" s="230"/>
      <c r="E57" s="230"/>
      <c r="F57" s="13" t="s">
        <v>177</v>
      </c>
      <c r="G57" s="13" t="s">
        <v>132</v>
      </c>
      <c r="H57" s="261"/>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5">
        <v>1732</v>
      </c>
      <c r="U57" s="15">
        <v>1605</v>
      </c>
      <c r="V57" s="104">
        <f>5388532000/1000000</f>
        <v>5388.5320000000002</v>
      </c>
      <c r="W57" s="104">
        <f>1654514001/L1</f>
        <v>1654.514001</v>
      </c>
      <c r="X57" s="101"/>
      <c r="Y57" s="202">
        <v>1812</v>
      </c>
      <c r="Z57" s="103">
        <v>0</v>
      </c>
      <c r="AA57" s="104">
        <v>4950</v>
      </c>
      <c r="AB57" s="104"/>
      <c r="AC57" s="101"/>
      <c r="AD57" s="90">
        <v>1850</v>
      </c>
      <c r="AE57" s="90">
        <v>0</v>
      </c>
      <c r="AF57" s="104">
        <v>2436</v>
      </c>
      <c r="AG57" s="104"/>
      <c r="AH57" s="100"/>
      <c r="AI57" s="90">
        <f>AD57</f>
        <v>1850</v>
      </c>
      <c r="AJ57" s="90">
        <f>+U57</f>
        <v>1605</v>
      </c>
      <c r="AK57" s="62">
        <f t="shared" si="19"/>
        <v>22346.934351</v>
      </c>
      <c r="AL57" s="62">
        <f t="shared" si="20"/>
        <v>10682.010929</v>
      </c>
      <c r="AM57" s="99" t="s">
        <v>182</v>
      </c>
    </row>
    <row r="58" spans="1:41" ht="43.5" customHeight="1" x14ac:dyDescent="0.25">
      <c r="A58" s="152"/>
      <c r="B58" s="230"/>
      <c r="C58" s="230"/>
      <c r="D58" s="230"/>
      <c r="E58" s="230"/>
      <c r="F58" s="269" t="s">
        <v>180</v>
      </c>
      <c r="G58" s="13" t="s">
        <v>132</v>
      </c>
      <c r="H58" s="188"/>
      <c r="I58" s="14"/>
      <c r="J58" s="15">
        <v>0</v>
      </c>
      <c r="K58" s="15">
        <v>0</v>
      </c>
      <c r="L58" s="159"/>
      <c r="M58" s="29"/>
      <c r="N58" s="23"/>
      <c r="O58" s="90">
        <v>797</v>
      </c>
      <c r="P58" s="90">
        <v>797</v>
      </c>
      <c r="Q58" s="63">
        <f>279171937/L1</f>
        <v>279.17193700000001</v>
      </c>
      <c r="R58" s="29">
        <f>279171937/L1</f>
        <v>279.17193700000001</v>
      </c>
      <c r="S58" s="100"/>
      <c r="T58" s="103">
        <v>620</v>
      </c>
      <c r="U58" s="103">
        <v>98</v>
      </c>
      <c r="V58" s="104">
        <f>550452000/1000000</f>
        <v>550.452</v>
      </c>
      <c r="W58" s="104">
        <f>307997680/L1</f>
        <v>307.99768</v>
      </c>
      <c r="X58" s="101"/>
      <c r="Y58" s="202">
        <v>281</v>
      </c>
      <c r="Z58" s="103">
        <v>0</v>
      </c>
      <c r="AA58" s="104">
        <v>581</v>
      </c>
      <c r="AB58" s="104"/>
      <c r="AC58" s="101"/>
      <c r="AD58" s="90">
        <v>51</v>
      </c>
      <c r="AE58" s="90">
        <v>0</v>
      </c>
      <c r="AF58" s="104">
        <v>452</v>
      </c>
      <c r="AG58" s="104"/>
      <c r="AH58" s="100"/>
      <c r="AI58" s="90">
        <f t="shared" ref="AI58" si="21">J58+O58+T58+Y58+AD58</f>
        <v>1749</v>
      </c>
      <c r="AJ58" s="90">
        <f t="shared" si="18"/>
        <v>895</v>
      </c>
      <c r="AK58" s="62">
        <f t="shared" si="19"/>
        <v>1862.6239370000001</v>
      </c>
      <c r="AL58" s="62">
        <f t="shared" si="20"/>
        <v>587.16961700000002</v>
      </c>
      <c r="AM58" s="99" t="s">
        <v>182</v>
      </c>
    </row>
    <row r="59" spans="1:41" ht="109.5" customHeight="1" x14ac:dyDescent="0.25">
      <c r="A59" s="152"/>
      <c r="B59" s="224"/>
      <c r="C59" s="224"/>
      <c r="D59" s="224"/>
      <c r="E59" s="224"/>
      <c r="F59" s="13" t="s">
        <v>176</v>
      </c>
      <c r="G59" s="13" t="s">
        <v>132</v>
      </c>
      <c r="H59" s="188"/>
      <c r="I59" s="14"/>
      <c r="J59" s="15">
        <v>0</v>
      </c>
      <c r="K59" s="15">
        <v>0</v>
      </c>
      <c r="L59" s="159"/>
      <c r="M59" s="29"/>
      <c r="N59" s="23"/>
      <c r="O59" s="26">
        <v>1</v>
      </c>
      <c r="P59" s="189">
        <v>1</v>
      </c>
      <c r="Q59" s="63">
        <f>4077434183/L1</f>
        <v>4077.4341829999998</v>
      </c>
      <c r="R59" s="29">
        <f>4077434183/L1</f>
        <v>4077.4341829999998</v>
      </c>
      <c r="S59" s="100"/>
      <c r="T59" s="26">
        <v>1</v>
      </c>
      <c r="U59" s="189">
        <v>1</v>
      </c>
      <c r="V59" s="104">
        <f>7605257000/L1</f>
        <v>7605.2569999999996</v>
      </c>
      <c r="W59" s="104">
        <f>3322064106/L1</f>
        <v>3322.0641059999998</v>
      </c>
      <c r="X59" s="101"/>
      <c r="Y59" s="26">
        <v>1</v>
      </c>
      <c r="Z59" s="103">
        <v>0</v>
      </c>
      <c r="AA59" s="104">
        <v>8033</v>
      </c>
      <c r="AB59" s="104"/>
      <c r="AC59" s="101"/>
      <c r="AD59" s="26">
        <v>1</v>
      </c>
      <c r="AE59" s="90"/>
      <c r="AF59" s="104">
        <v>6251</v>
      </c>
      <c r="AG59" s="104"/>
      <c r="AH59" s="100"/>
      <c r="AI59" s="111">
        <f>AD59</f>
        <v>1</v>
      </c>
      <c r="AJ59" s="179">
        <f>(P59+U59+Z59+AE59)/2</f>
        <v>1</v>
      </c>
      <c r="AK59" s="62">
        <f t="shared" si="19"/>
        <v>25966.691182999999</v>
      </c>
      <c r="AL59" s="62">
        <f t="shared" si="20"/>
        <v>7399.4982889999992</v>
      </c>
      <c r="AM59" s="99" t="s">
        <v>182</v>
      </c>
      <c r="AN59" s="89"/>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33616.421999999999</v>
      </c>
      <c r="W60" s="42">
        <f>SUM(W54:W59)</f>
        <v>12094.371294999999</v>
      </c>
      <c r="Y60" s="41"/>
      <c r="Z60" s="41"/>
      <c r="AA60" s="160">
        <f>SUM(AA54:AA59)</f>
        <v>32139</v>
      </c>
      <c r="AB60" s="42">
        <f>SUM(AB54:AB57)</f>
        <v>0</v>
      </c>
      <c r="AC60" s="112"/>
      <c r="AD60" s="41"/>
      <c r="AE60" s="42"/>
      <c r="AF60" s="160">
        <f>SUM(AF54:AF59)</f>
        <v>16756</v>
      </c>
      <c r="AG60" s="42">
        <f>SUM(AG54:AG57)</f>
        <v>0</v>
      </c>
      <c r="AI60" s="96"/>
      <c r="AJ60" s="96"/>
      <c r="AK60" s="160">
        <f>SUM(AK54:AK59)</f>
        <v>117884.111607</v>
      </c>
      <c r="AL60" s="160">
        <f>SUM(AL54:AL59)</f>
        <v>46060.345853000006</v>
      </c>
      <c r="AM60" s="98"/>
      <c r="AN60" s="6" t="s">
        <v>185</v>
      </c>
      <c r="AO60" s="192"/>
    </row>
    <row r="61" spans="1:41" x14ac:dyDescent="0.25">
      <c r="AO61" s="193"/>
    </row>
    <row r="62" spans="1:41" s="5" customFormat="1" ht="15.75" customHeight="1" x14ac:dyDescent="0.2">
      <c r="A62" s="262"/>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58" t="s">
        <v>113</v>
      </c>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row>
    <row r="65" spans="1:40" x14ac:dyDescent="0.25">
      <c r="A65" s="141">
        <v>8</v>
      </c>
      <c r="B65" s="6" t="s">
        <v>157</v>
      </c>
      <c r="C65" s="258" t="s">
        <v>158</v>
      </c>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row>
    <row r="66" spans="1:40" x14ac:dyDescent="0.25">
      <c r="A66" s="141">
        <v>19</v>
      </c>
      <c r="B66" s="6" t="s">
        <v>95</v>
      </c>
      <c r="C66" s="258" t="s">
        <v>156</v>
      </c>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row>
    <row r="67" spans="1:40" ht="30" x14ac:dyDescent="0.25">
      <c r="A67" s="141">
        <v>3</v>
      </c>
      <c r="B67" s="123" t="s">
        <v>98</v>
      </c>
      <c r="C67" s="258" t="s">
        <v>114</v>
      </c>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row>
    <row r="69" spans="1:40" s="11" customFormat="1" ht="27" customHeight="1" x14ac:dyDescent="0.25">
      <c r="A69" s="245" t="s">
        <v>2</v>
      </c>
      <c r="B69" s="220" t="s">
        <v>3</v>
      </c>
      <c r="C69" s="256" t="s">
        <v>87</v>
      </c>
      <c r="D69" s="220" t="s">
        <v>67</v>
      </c>
      <c r="E69" s="256" t="s">
        <v>170</v>
      </c>
      <c r="F69" s="242" t="s">
        <v>101</v>
      </c>
      <c r="G69" s="263" t="s">
        <v>90</v>
      </c>
      <c r="H69" s="215" t="s">
        <v>171</v>
      </c>
      <c r="I69" s="10"/>
      <c r="J69" s="215">
        <v>2020</v>
      </c>
      <c r="K69" s="215"/>
      <c r="L69" s="215"/>
      <c r="M69" s="215"/>
      <c r="N69" s="10"/>
      <c r="O69" s="215">
        <v>2021</v>
      </c>
      <c r="P69" s="215"/>
      <c r="Q69" s="215"/>
      <c r="R69" s="215"/>
      <c r="T69" s="215">
        <v>2022</v>
      </c>
      <c r="U69" s="215"/>
      <c r="V69" s="215"/>
      <c r="W69" s="215"/>
      <c r="Y69" s="215">
        <v>2023</v>
      </c>
      <c r="Z69" s="215"/>
      <c r="AA69" s="215"/>
      <c r="AB69" s="215"/>
      <c r="AD69" s="216">
        <v>2024</v>
      </c>
      <c r="AE69" s="217"/>
      <c r="AF69" s="217"/>
      <c r="AG69" s="217"/>
      <c r="AI69" s="259" t="s">
        <v>102</v>
      </c>
      <c r="AJ69" s="259"/>
      <c r="AK69" s="259"/>
      <c r="AL69" s="259"/>
      <c r="AM69" s="98"/>
    </row>
    <row r="70" spans="1:40" s="11" customFormat="1" ht="16.5" customHeight="1" x14ac:dyDescent="0.25">
      <c r="A70" s="246"/>
      <c r="B70" s="221"/>
      <c r="C70" s="243"/>
      <c r="D70" s="221"/>
      <c r="E70" s="243"/>
      <c r="F70" s="243"/>
      <c r="G70" s="263"/>
      <c r="H70" s="215"/>
      <c r="I70" s="10"/>
      <c r="J70" s="214" t="s">
        <v>4</v>
      </c>
      <c r="K70" s="214"/>
      <c r="L70" s="214" t="s">
        <v>61</v>
      </c>
      <c r="M70" s="214"/>
      <c r="N70" s="10"/>
      <c r="O70" s="214" t="s">
        <v>6</v>
      </c>
      <c r="P70" s="214"/>
      <c r="Q70" s="214" t="s">
        <v>8</v>
      </c>
      <c r="R70" s="214"/>
      <c r="S70" s="10"/>
      <c r="T70" s="214" t="s">
        <v>7</v>
      </c>
      <c r="U70" s="214"/>
      <c r="V70" s="214" t="s">
        <v>8</v>
      </c>
      <c r="W70" s="214"/>
      <c r="Y70" s="214" t="s">
        <v>7</v>
      </c>
      <c r="Z70" s="214"/>
      <c r="AA70" s="214" t="s">
        <v>8</v>
      </c>
      <c r="AB70" s="214"/>
      <c r="AD70" s="214" t="s">
        <v>7</v>
      </c>
      <c r="AE70" s="214"/>
      <c r="AF70" s="214" t="s">
        <v>8</v>
      </c>
      <c r="AG70" s="214"/>
      <c r="AI70" s="218" t="s">
        <v>4</v>
      </c>
      <c r="AJ70" s="218" t="s">
        <v>66</v>
      </c>
      <c r="AK70" s="218" t="s">
        <v>8</v>
      </c>
      <c r="AL70" s="218" t="s">
        <v>5</v>
      </c>
      <c r="AM70" s="98"/>
    </row>
    <row r="71" spans="1:40" s="11" customFormat="1" ht="33" x14ac:dyDescent="0.25">
      <c r="A71" s="247"/>
      <c r="B71" s="222"/>
      <c r="C71" s="257"/>
      <c r="D71" s="222"/>
      <c r="E71" s="257"/>
      <c r="F71" s="244"/>
      <c r="G71" s="263"/>
      <c r="H71" s="215"/>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19"/>
      <c r="AJ71" s="219"/>
      <c r="AK71" s="219"/>
      <c r="AL71" s="219"/>
      <c r="AM71" s="98"/>
    </row>
    <row r="72" spans="1:40" ht="75.75" customHeight="1" x14ac:dyDescent="0.25">
      <c r="A72" s="251" t="s">
        <v>133</v>
      </c>
      <c r="B72" s="223" t="s">
        <v>134</v>
      </c>
      <c r="C72" s="223" t="s">
        <v>88</v>
      </c>
      <c r="D72" s="223" t="s">
        <v>154</v>
      </c>
      <c r="E72" s="254" t="str">
        <f>C65</f>
        <v xml:space="preserve">Aumentar el acceso a vivienda digna, espacio público y equipamientos de la población vulnerable en suelo urbano y rural </v>
      </c>
      <c r="F72" s="138" t="s">
        <v>167</v>
      </c>
      <c r="G72" s="138" t="s">
        <v>175</v>
      </c>
      <c r="H72" s="260" t="str">
        <f>C67</f>
        <v>Sistema Distrital de cuidado</v>
      </c>
      <c r="I72" s="14"/>
      <c r="J72" s="148">
        <v>17305.599999999999</v>
      </c>
      <c r="K72" s="127">
        <v>17000</v>
      </c>
      <c r="L72" s="158"/>
      <c r="M72" s="128"/>
      <c r="N72" s="129"/>
      <c r="O72" s="148">
        <v>14571.12</v>
      </c>
      <c r="P72" s="148">
        <v>14571.12</v>
      </c>
      <c r="Q72" s="128"/>
      <c r="R72" s="128"/>
      <c r="S72" s="131"/>
      <c r="T72" s="144">
        <v>44428.88</v>
      </c>
      <c r="U72" s="144">
        <v>13389</v>
      </c>
      <c r="V72" s="133"/>
      <c r="W72" s="134"/>
      <c r="X72" s="135"/>
      <c r="Y72" s="144">
        <v>23750</v>
      </c>
      <c r="Z72" s="145">
        <v>0</v>
      </c>
      <c r="AA72" s="133"/>
      <c r="AB72" s="134"/>
      <c r="AC72" s="135"/>
      <c r="AD72" s="194">
        <v>6944.4</v>
      </c>
      <c r="AE72" s="146">
        <v>0</v>
      </c>
      <c r="AF72" s="133"/>
      <c r="AG72" s="134"/>
      <c r="AH72" s="131"/>
      <c r="AI72" s="146">
        <f>J72+O72+T72+Y72+AD72</f>
        <v>107000</v>
      </c>
      <c r="AJ72" s="146">
        <f>K72+P72+U72+Z72+AE72</f>
        <v>44960.12</v>
      </c>
      <c r="AK72" s="137">
        <f>L72+Q72+V72+AA72+AF72</f>
        <v>0</v>
      </c>
      <c r="AL72" s="137">
        <f>M72+R72+W72+AB72+AG72</f>
        <v>0</v>
      </c>
      <c r="AM72" s="99" t="s">
        <v>182</v>
      </c>
    </row>
    <row r="73" spans="1:40" ht="43.5" customHeight="1" x14ac:dyDescent="0.25">
      <c r="A73" s="252"/>
      <c r="B73" s="230"/>
      <c r="C73" s="230"/>
      <c r="D73" s="230"/>
      <c r="E73" s="255"/>
      <c r="F73" s="13" t="s">
        <v>174</v>
      </c>
      <c r="G73" s="13" t="s">
        <v>135</v>
      </c>
      <c r="H73" s="261"/>
      <c r="I73" s="14"/>
      <c r="J73" s="147">
        <v>17305.599999999999</v>
      </c>
      <c r="K73" s="107">
        <v>17000</v>
      </c>
      <c r="L73" s="161">
        <f>3602795429/L1</f>
        <v>3602.7954289999998</v>
      </c>
      <c r="M73" s="29">
        <v>3501.5279959999998</v>
      </c>
      <c r="N73" s="23"/>
      <c r="O73" s="107">
        <v>14571.12</v>
      </c>
      <c r="P73" s="107">
        <v>14571.12</v>
      </c>
      <c r="Q73" s="63">
        <v>61555</v>
      </c>
      <c r="R73" s="63">
        <v>56013</v>
      </c>
      <c r="S73" s="100"/>
      <c r="T73" s="90">
        <v>44428.88</v>
      </c>
      <c r="U73" s="90">
        <v>13389</v>
      </c>
      <c r="V73" s="104">
        <f>18764000000/L1</f>
        <v>18764</v>
      </c>
      <c r="W73" s="105">
        <f>1171406912/L1</f>
        <v>1171.4069119999999</v>
      </c>
      <c r="X73" s="101"/>
      <c r="Y73" s="90">
        <v>23750</v>
      </c>
      <c r="Z73" s="103">
        <v>0</v>
      </c>
      <c r="AA73" s="104">
        <v>17113</v>
      </c>
      <c r="AB73" s="105"/>
      <c r="AC73" s="101"/>
      <c r="AD73" s="195">
        <v>6944.4</v>
      </c>
      <c r="AE73" s="90">
        <v>0</v>
      </c>
      <c r="AF73" s="104">
        <f>2304686059/L1</f>
        <v>2304.6860590000001</v>
      </c>
      <c r="AG73" s="105"/>
      <c r="AH73" s="100"/>
      <c r="AI73" s="90">
        <f>J73+O73+T73+Y73+AD73</f>
        <v>107000</v>
      </c>
      <c r="AJ73" s="90">
        <f>K73+P73+U73+Z73+AE73</f>
        <v>44960.12</v>
      </c>
      <c r="AK73" s="62">
        <f t="shared" ref="AK73:AK74" si="22">L73+Q73+V73+AA73+AF73</f>
        <v>103339.48148799999</v>
      </c>
      <c r="AL73" s="62">
        <f t="shared" ref="AL73:AL74" si="23">M73+R73+W73+AB73+AG73</f>
        <v>60685.934907999996</v>
      </c>
      <c r="AM73" s="99" t="s">
        <v>182</v>
      </c>
      <c r="AN73" s="201"/>
    </row>
    <row r="74" spans="1:40" ht="30" x14ac:dyDescent="0.25">
      <c r="A74" s="252"/>
      <c r="B74" s="230"/>
      <c r="C74" s="230"/>
      <c r="D74" s="230"/>
      <c r="E74" s="255"/>
      <c r="F74" s="13" t="s">
        <v>136</v>
      </c>
      <c r="G74" s="13" t="s">
        <v>135</v>
      </c>
      <c r="H74" s="261"/>
      <c r="I74" s="14"/>
      <c r="J74" s="26">
        <v>1</v>
      </c>
      <c r="K74" s="149">
        <v>0.96689999999999998</v>
      </c>
      <c r="L74" s="159">
        <f>1600000000/L1</f>
        <v>1600</v>
      </c>
      <c r="M74" s="29">
        <v>1435.632384</v>
      </c>
      <c r="N74" s="23"/>
      <c r="O74" s="26">
        <v>1</v>
      </c>
      <c r="P74" s="149">
        <v>0.97250000000000003</v>
      </c>
      <c r="Q74" s="63">
        <v>5840</v>
      </c>
      <c r="R74" s="63">
        <v>5444</v>
      </c>
      <c r="S74" s="100"/>
      <c r="T74" s="139">
        <v>1</v>
      </c>
      <c r="U74" s="175">
        <v>0.85750000000000004</v>
      </c>
      <c r="V74" s="104">
        <f>5333230000/L1</f>
        <v>5333.23</v>
      </c>
      <c r="W74" s="105">
        <f>1720550387/L1</f>
        <v>1720.550387</v>
      </c>
      <c r="X74" s="101"/>
      <c r="Y74" s="139">
        <v>1</v>
      </c>
      <c r="Z74" s="124">
        <v>0</v>
      </c>
      <c r="AA74" s="104">
        <v>4000</v>
      </c>
      <c r="AB74" s="105"/>
      <c r="AC74" s="101"/>
      <c r="AD74" s="111">
        <v>1</v>
      </c>
      <c r="AE74" s="111">
        <v>0</v>
      </c>
      <c r="AF74" s="104">
        <f>1500000000/L1</f>
        <v>1500</v>
      </c>
      <c r="AG74" s="105"/>
      <c r="AH74" s="100"/>
      <c r="AI74" s="111">
        <f>AD74</f>
        <v>1</v>
      </c>
      <c r="AJ74" s="149">
        <f>(K74+P74+U74+Z74+AE74)/3</f>
        <v>0.93230000000000002</v>
      </c>
      <c r="AK74" s="62">
        <f t="shared" si="22"/>
        <v>18273.23</v>
      </c>
      <c r="AL74" s="62">
        <f t="shared" si="23"/>
        <v>8600.1827709999998</v>
      </c>
      <c r="AM74" s="99" t="s">
        <v>182</v>
      </c>
    </row>
    <row r="75" spans="1:40"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24097.23</v>
      </c>
      <c r="W75" s="42">
        <f>SUM(W72:W74)</f>
        <v>2891.9572989999997</v>
      </c>
      <c r="Y75" s="41"/>
      <c r="Z75" s="41"/>
      <c r="AA75" s="42">
        <f>SUM(AA72:AA74)</f>
        <v>21113</v>
      </c>
      <c r="AB75" s="42">
        <f>SUM(AB72:AB74)</f>
        <v>0</v>
      </c>
      <c r="AC75" s="112"/>
      <c r="AD75" s="41"/>
      <c r="AE75" s="42"/>
      <c r="AF75" s="42">
        <f>SUM(AF72:AF74)</f>
        <v>3804.6860590000001</v>
      </c>
      <c r="AG75" s="42">
        <f>SUM(AG72:AG74)</f>
        <v>0</v>
      </c>
      <c r="AI75" s="96"/>
      <c r="AJ75" s="96"/>
      <c r="AK75" s="64">
        <f>SUM(AK72:AK74)</f>
        <v>121612.71148799999</v>
      </c>
      <c r="AL75" s="64">
        <f>SUM(AL72:AL74)</f>
        <v>69286.117678999988</v>
      </c>
      <c r="AM75" s="98"/>
    </row>
    <row r="77" spans="1:40" s="5" customFormat="1" ht="15.75" customHeight="1" x14ac:dyDescent="0.2">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94"/>
    </row>
    <row r="78" spans="1:40"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40" x14ac:dyDescent="0.25">
      <c r="A79" s="142">
        <v>5</v>
      </c>
      <c r="B79" s="122" t="s">
        <v>94</v>
      </c>
      <c r="C79" s="258" t="s">
        <v>166</v>
      </c>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row>
    <row r="80" spans="1:40" x14ac:dyDescent="0.25">
      <c r="A80" s="141">
        <v>30</v>
      </c>
      <c r="B80" s="6" t="s">
        <v>157</v>
      </c>
      <c r="C80" s="258" t="s">
        <v>181</v>
      </c>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row>
    <row r="81" spans="1:40" x14ac:dyDescent="0.25">
      <c r="A81" s="141">
        <v>56</v>
      </c>
      <c r="B81" s="6" t="s">
        <v>95</v>
      </c>
      <c r="C81" s="258" t="s">
        <v>137</v>
      </c>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row>
    <row r="82" spans="1:40" ht="30" x14ac:dyDescent="0.25">
      <c r="A82" s="141"/>
      <c r="B82" s="123" t="s">
        <v>98</v>
      </c>
      <c r="C82" s="258" t="s">
        <v>138</v>
      </c>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row>
    <row r="84" spans="1:40" s="11" customFormat="1" ht="27" customHeight="1" x14ac:dyDescent="0.25">
      <c r="A84" s="245" t="s">
        <v>2</v>
      </c>
      <c r="B84" s="220" t="s">
        <v>3</v>
      </c>
      <c r="C84" s="256" t="s">
        <v>87</v>
      </c>
      <c r="D84" s="220" t="s">
        <v>67</v>
      </c>
      <c r="E84" s="256" t="s">
        <v>170</v>
      </c>
      <c r="F84" s="242" t="s">
        <v>101</v>
      </c>
      <c r="G84" s="263" t="s">
        <v>90</v>
      </c>
      <c r="H84" s="215" t="s">
        <v>171</v>
      </c>
      <c r="I84" s="10"/>
      <c r="J84" s="215">
        <v>2020</v>
      </c>
      <c r="K84" s="215"/>
      <c r="L84" s="215"/>
      <c r="M84" s="215"/>
      <c r="N84" s="10"/>
      <c r="O84" s="215">
        <v>2021</v>
      </c>
      <c r="P84" s="215"/>
      <c r="Q84" s="215"/>
      <c r="R84" s="215"/>
      <c r="T84" s="215">
        <v>2022</v>
      </c>
      <c r="U84" s="215"/>
      <c r="V84" s="215"/>
      <c r="W84" s="215"/>
      <c r="Y84" s="215">
        <v>2023</v>
      </c>
      <c r="Z84" s="215"/>
      <c r="AA84" s="215"/>
      <c r="AB84" s="215"/>
      <c r="AD84" s="216">
        <v>2024</v>
      </c>
      <c r="AE84" s="217"/>
      <c r="AF84" s="217"/>
      <c r="AG84" s="217"/>
      <c r="AI84" s="259" t="s">
        <v>102</v>
      </c>
      <c r="AJ84" s="259"/>
      <c r="AK84" s="259"/>
      <c r="AL84" s="259"/>
      <c r="AM84" s="98"/>
    </row>
    <row r="85" spans="1:40" s="11" customFormat="1" ht="16.5" customHeight="1" x14ac:dyDescent="0.25">
      <c r="A85" s="246"/>
      <c r="B85" s="221"/>
      <c r="C85" s="243"/>
      <c r="D85" s="221"/>
      <c r="E85" s="243"/>
      <c r="F85" s="243"/>
      <c r="G85" s="263"/>
      <c r="H85" s="215"/>
      <c r="I85" s="10"/>
      <c r="J85" s="214" t="s">
        <v>4</v>
      </c>
      <c r="K85" s="214"/>
      <c r="L85" s="214" t="s">
        <v>61</v>
      </c>
      <c r="M85" s="214"/>
      <c r="N85" s="10"/>
      <c r="O85" s="214" t="s">
        <v>6</v>
      </c>
      <c r="P85" s="214"/>
      <c r="Q85" s="214" t="s">
        <v>8</v>
      </c>
      <c r="R85" s="214"/>
      <c r="S85" s="10"/>
      <c r="T85" s="214" t="s">
        <v>7</v>
      </c>
      <c r="U85" s="214"/>
      <c r="V85" s="214" t="s">
        <v>8</v>
      </c>
      <c r="W85" s="214"/>
      <c r="Y85" s="214" t="s">
        <v>7</v>
      </c>
      <c r="Z85" s="214"/>
      <c r="AA85" s="214" t="s">
        <v>8</v>
      </c>
      <c r="AB85" s="214"/>
      <c r="AD85" s="214" t="s">
        <v>7</v>
      </c>
      <c r="AE85" s="214"/>
      <c r="AF85" s="214" t="s">
        <v>8</v>
      </c>
      <c r="AG85" s="214"/>
      <c r="AI85" s="218" t="s">
        <v>4</v>
      </c>
      <c r="AJ85" s="218" t="s">
        <v>66</v>
      </c>
      <c r="AK85" s="218" t="s">
        <v>8</v>
      </c>
      <c r="AL85" s="218" t="s">
        <v>5</v>
      </c>
      <c r="AM85" s="98"/>
    </row>
    <row r="86" spans="1:40" s="11" customFormat="1" ht="33" x14ac:dyDescent="0.25">
      <c r="A86" s="247"/>
      <c r="B86" s="222"/>
      <c r="C86" s="257"/>
      <c r="D86" s="222"/>
      <c r="E86" s="257"/>
      <c r="F86" s="244"/>
      <c r="G86" s="263"/>
      <c r="H86" s="215"/>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19"/>
      <c r="AJ86" s="219"/>
      <c r="AK86" s="219"/>
      <c r="AL86" s="219"/>
      <c r="AM86" s="98"/>
    </row>
    <row r="87" spans="1:40" ht="45" x14ac:dyDescent="0.25">
      <c r="A87" s="251" t="s">
        <v>139</v>
      </c>
      <c r="B87" s="223" t="s">
        <v>140</v>
      </c>
      <c r="C87" s="223" t="s">
        <v>141</v>
      </c>
      <c r="D87" s="223" t="s">
        <v>155</v>
      </c>
      <c r="E87" s="254" t="str">
        <f>C80</f>
        <v xml:space="preserve"> </v>
      </c>
      <c r="F87" s="138" t="s">
        <v>168</v>
      </c>
      <c r="G87" s="138" t="s">
        <v>142</v>
      </c>
      <c r="H87" s="260" t="str">
        <f>C82</f>
        <v>Gestión pública efectiva, abierta y transparente</v>
      </c>
      <c r="I87" s="14"/>
      <c r="J87" s="176">
        <v>0.1</v>
      </c>
      <c r="K87" s="177">
        <v>0.1</v>
      </c>
      <c r="L87" s="162"/>
      <c r="M87" s="128"/>
      <c r="N87" s="129"/>
      <c r="O87" s="176">
        <v>0.25</v>
      </c>
      <c r="P87" s="203">
        <v>0.25</v>
      </c>
      <c r="Q87" s="128"/>
      <c r="R87" s="128"/>
      <c r="S87" s="131"/>
      <c r="T87" s="180">
        <v>0.3</v>
      </c>
      <c r="U87" s="211">
        <v>8.4000000000000005E-2</v>
      </c>
      <c r="V87" s="133"/>
      <c r="W87" s="134"/>
      <c r="X87" s="135"/>
      <c r="Y87" s="180">
        <v>0.25</v>
      </c>
      <c r="Z87" s="132">
        <v>0</v>
      </c>
      <c r="AA87" s="133"/>
      <c r="AB87" s="134"/>
      <c r="AC87" s="135"/>
      <c r="AD87" s="182">
        <v>0.1</v>
      </c>
      <c r="AE87" s="180">
        <v>0</v>
      </c>
      <c r="AF87" s="133"/>
      <c r="AG87" s="134"/>
      <c r="AH87" s="131"/>
      <c r="AI87" s="182">
        <f>J87+O87+T87+Y87+AD87</f>
        <v>0.99999999999999989</v>
      </c>
      <c r="AJ87" s="208">
        <f t="shared" ref="AJ87:AJ89" si="24">K87+P87+U87+Z87+AE87</f>
        <v>0.434</v>
      </c>
      <c r="AK87" s="137">
        <f t="shared" ref="AK87:AK88" si="25">L87+Q87+V87+AA87+AF87</f>
        <v>0</v>
      </c>
      <c r="AL87" s="137">
        <f t="shared" ref="AL87:AL88" si="26">M87+R87+W87+AB87+AG87</f>
        <v>0</v>
      </c>
      <c r="AM87" s="99" t="s">
        <v>182</v>
      </c>
    </row>
    <row r="88" spans="1:40" ht="45" x14ac:dyDescent="0.25">
      <c r="A88" s="252"/>
      <c r="B88" s="230"/>
      <c r="C88" s="230"/>
      <c r="D88" s="230"/>
      <c r="E88" s="255"/>
      <c r="F88" s="150" t="s">
        <v>143</v>
      </c>
      <c r="G88" s="150" t="s">
        <v>144</v>
      </c>
      <c r="H88" s="261"/>
      <c r="I88" s="14"/>
      <c r="J88" s="178">
        <v>0.1</v>
      </c>
      <c r="K88" s="186">
        <v>0.1</v>
      </c>
      <c r="L88" s="159">
        <v>3048.153773</v>
      </c>
      <c r="M88" s="29">
        <v>2948.422376</v>
      </c>
      <c r="N88" s="23"/>
      <c r="O88" s="178">
        <v>0.25</v>
      </c>
      <c r="P88" s="204">
        <v>0.25</v>
      </c>
      <c r="Q88" s="63">
        <f>3679264491/L1</f>
        <v>3679.2644909999999</v>
      </c>
      <c r="R88" s="29">
        <f>3664659327/L1</f>
        <v>3664.6593269999998</v>
      </c>
      <c r="S88" s="100"/>
      <c r="T88" s="181">
        <v>0.3</v>
      </c>
      <c r="U88" s="210">
        <v>8.2000000000000003E-2</v>
      </c>
      <c r="V88" s="63">
        <f>4366586000/L1</f>
        <v>4366.5860000000002</v>
      </c>
      <c r="W88" s="105">
        <f>2396794297/L1</f>
        <v>2396.7942969999999</v>
      </c>
      <c r="X88" s="101"/>
      <c r="Y88" s="181">
        <v>0.25</v>
      </c>
      <c r="Z88" s="124">
        <v>0</v>
      </c>
      <c r="AA88" s="63">
        <f xml:space="preserve"> 7805715000 /L1</f>
        <v>7805.7150000000001</v>
      </c>
      <c r="AB88" s="105"/>
      <c r="AC88" s="101"/>
      <c r="AD88" s="183">
        <v>0.1</v>
      </c>
      <c r="AE88" s="185">
        <v>0</v>
      </c>
      <c r="AF88" s="63">
        <f>7091482781/L1</f>
        <v>7091.4827809999997</v>
      </c>
      <c r="AG88" s="105"/>
      <c r="AH88" s="100"/>
      <c r="AI88" s="183">
        <f>J88+O88+T88+Y88+AD88</f>
        <v>0.99999999999999989</v>
      </c>
      <c r="AJ88" s="189">
        <f t="shared" si="24"/>
        <v>0.432</v>
      </c>
      <c r="AK88" s="62">
        <f t="shared" si="25"/>
        <v>25991.202044999998</v>
      </c>
      <c r="AL88" s="62">
        <f t="shared" si="26"/>
        <v>9009.8760000000002</v>
      </c>
      <c r="AM88" s="99" t="s">
        <v>182</v>
      </c>
    </row>
    <row r="89" spans="1:40" ht="45" x14ac:dyDescent="0.25">
      <c r="A89" s="252"/>
      <c r="B89" s="230"/>
      <c r="C89" s="230"/>
      <c r="D89" s="230"/>
      <c r="E89" s="255"/>
      <c r="F89" s="150" t="s">
        <v>145</v>
      </c>
      <c r="G89" s="150" t="s">
        <v>146</v>
      </c>
      <c r="H89" s="261"/>
      <c r="I89" s="14"/>
      <c r="J89" s="178">
        <v>0.1</v>
      </c>
      <c r="K89" s="175">
        <v>0.1</v>
      </c>
      <c r="L89" s="159">
        <v>1331.746357</v>
      </c>
      <c r="M89" s="29">
        <v>1314.039006</v>
      </c>
      <c r="N89" s="23"/>
      <c r="O89" s="178">
        <v>0.25</v>
      </c>
      <c r="P89" s="204">
        <v>0.25</v>
      </c>
      <c r="Q89" s="63">
        <f>2926616487/L1</f>
        <v>2926.6164869999998</v>
      </c>
      <c r="R89" s="29">
        <f>2923453407/L1</f>
        <v>2923.453407</v>
      </c>
      <c r="S89" s="100"/>
      <c r="T89" s="181">
        <v>0.3</v>
      </c>
      <c r="U89" s="198">
        <v>6.7000000000000004E-2</v>
      </c>
      <c r="V89" s="63">
        <f>3346939000/L1</f>
        <v>3346.9389999999999</v>
      </c>
      <c r="W89" s="105">
        <f>578890448/L1</f>
        <v>578.89044799999999</v>
      </c>
      <c r="X89" s="101"/>
      <c r="Y89" s="181">
        <v>0.25</v>
      </c>
      <c r="Z89" s="124">
        <v>0</v>
      </c>
      <c r="AA89" s="63">
        <f>3377143000/L1</f>
        <v>3377.143</v>
      </c>
      <c r="AB89" s="105"/>
      <c r="AC89" s="101"/>
      <c r="AD89" s="183">
        <v>0.1</v>
      </c>
      <c r="AE89" s="111">
        <v>0</v>
      </c>
      <c r="AF89" s="63">
        <f>2564850351/L1</f>
        <v>2564.850351</v>
      </c>
      <c r="AG89" s="105"/>
      <c r="AH89" s="100"/>
      <c r="AI89" s="183">
        <f t="shared" ref="AI89" si="27">J89+O89+T89+Y89+AD89</f>
        <v>0.99999999999999989</v>
      </c>
      <c r="AJ89" s="189">
        <f t="shared" si="24"/>
        <v>0.41699999999999998</v>
      </c>
      <c r="AK89" s="62">
        <f t="shared" ref="AK89:AK91" si="28">L89+Q89+V89+AA89+AF89</f>
        <v>13547.295194999999</v>
      </c>
      <c r="AL89" s="62">
        <f t="shared" ref="AL89:AL91" si="29">M89+R89+W89+AB89+AG89</f>
        <v>4816.382861</v>
      </c>
      <c r="AM89" s="99" t="s">
        <v>182</v>
      </c>
    </row>
    <row r="90" spans="1:40" ht="75" x14ac:dyDescent="0.25">
      <c r="A90" s="252"/>
      <c r="B90" s="230"/>
      <c r="C90" s="230"/>
      <c r="D90" s="230"/>
      <c r="E90" s="255"/>
      <c r="F90" s="150" t="s">
        <v>147</v>
      </c>
      <c r="G90" s="150" t="s">
        <v>148</v>
      </c>
      <c r="H90" s="261"/>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1.5</v>
      </c>
      <c r="V90" s="63">
        <f>227336000/L1</f>
        <v>227.33600000000001</v>
      </c>
      <c r="W90" s="105">
        <f>198432384/L1</f>
        <v>198.43238400000001</v>
      </c>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30">J90+O90+T90+Y90+AD90</f>
        <v>15</v>
      </c>
      <c r="AJ90" s="213">
        <f>K90+P90+U90+Z90+AE90</f>
        <v>6.75</v>
      </c>
      <c r="AK90" s="62">
        <f t="shared" si="28"/>
        <v>1145.075431</v>
      </c>
      <c r="AL90" s="62">
        <f t="shared" si="29"/>
        <v>572.91283599999997</v>
      </c>
      <c r="AM90" s="212" t="s">
        <v>182</v>
      </c>
    </row>
    <row r="91" spans="1:40" ht="60" x14ac:dyDescent="0.25">
      <c r="A91" s="252"/>
      <c r="B91" s="230"/>
      <c r="C91" s="230"/>
      <c r="D91" s="230"/>
      <c r="E91" s="255"/>
      <c r="F91" s="150" t="s">
        <v>169</v>
      </c>
      <c r="G91" s="150" t="s">
        <v>150</v>
      </c>
      <c r="H91" s="261"/>
      <c r="I91" s="14"/>
      <c r="J91" s="26">
        <v>0</v>
      </c>
      <c r="K91" s="175">
        <v>0</v>
      </c>
      <c r="L91" s="159">
        <v>0</v>
      </c>
      <c r="M91" s="29">
        <v>0</v>
      </c>
      <c r="N91" s="23"/>
      <c r="O91" s="26">
        <v>0.35</v>
      </c>
      <c r="P91" s="184">
        <v>0.35</v>
      </c>
      <c r="Q91" s="174">
        <f>322206012/L1</f>
        <v>322.20601199999999</v>
      </c>
      <c r="R91" s="29">
        <f>322206012/L1</f>
        <v>322.20601199999999</v>
      </c>
      <c r="S91" s="100"/>
      <c r="T91" s="139">
        <v>0.3</v>
      </c>
      <c r="U91" s="198">
        <v>8.4000000000000005E-2</v>
      </c>
      <c r="V91" s="63">
        <f>590569000/L1</f>
        <v>590.56899999999996</v>
      </c>
      <c r="W91" s="105">
        <f>532772158/L1</f>
        <v>532.77215799999999</v>
      </c>
      <c r="X91" s="101"/>
      <c r="Y91" s="139">
        <v>0.25</v>
      </c>
      <c r="Z91" s="124">
        <v>0</v>
      </c>
      <c r="AA91" s="63">
        <f>1005714000/L1</f>
        <v>1005.7140000000001</v>
      </c>
      <c r="AB91" s="105"/>
      <c r="AC91" s="101"/>
      <c r="AD91" s="111">
        <v>0.1</v>
      </c>
      <c r="AE91" s="111">
        <v>0</v>
      </c>
      <c r="AF91" s="63">
        <f xml:space="preserve"> 320000000/L1</f>
        <v>320</v>
      </c>
      <c r="AG91" s="105"/>
      <c r="AH91" s="100"/>
      <c r="AI91" s="111">
        <f t="shared" si="30"/>
        <v>0.99999999999999989</v>
      </c>
      <c r="AJ91" s="175">
        <f t="shared" ref="AJ91" si="31">K91+P91+U91+Z91+AE91</f>
        <v>0.434</v>
      </c>
      <c r="AK91" s="62">
        <f t="shared" si="28"/>
        <v>2238.489012</v>
      </c>
      <c r="AL91" s="62">
        <f t="shared" si="29"/>
        <v>854.97816999999998</v>
      </c>
      <c r="AM91" s="99" t="s">
        <v>182</v>
      </c>
    </row>
    <row r="92" spans="1:40"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0">
        <v>0.125</v>
      </c>
      <c r="Q92" s="174">
        <f>2090691557/L1</f>
        <v>2090.6915570000001</v>
      </c>
      <c r="R92" s="29">
        <f>2083805588/L1</f>
        <v>2083.8055880000002</v>
      </c>
      <c r="S92" s="100"/>
      <c r="T92" s="139">
        <v>0.15</v>
      </c>
      <c r="U92" s="198">
        <v>4.4999999999999998E-2</v>
      </c>
      <c r="V92" s="63">
        <f xml:space="preserve"> 3468570000/L1</f>
        <v>3468.57</v>
      </c>
      <c r="W92" s="105">
        <f>628778590/L1</f>
        <v>628.77859000000001</v>
      </c>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2">J92+O92+T92+Y92+AD92</f>
        <v>0.49999999999999994</v>
      </c>
      <c r="AJ92" s="175">
        <f t="shared" ref="AJ92" si="33">K92+P92+U92+Z92+AE92</f>
        <v>0.21999999999999997</v>
      </c>
      <c r="AK92" s="62">
        <f t="shared" ref="AK92" si="34">L92+Q92+V92+AA92+AF92</f>
        <v>13371.421871</v>
      </c>
      <c r="AL92" s="62">
        <f t="shared" ref="AL92" si="35">M92+R92+W92+AB92+AG92</f>
        <v>4710.8158800000001</v>
      </c>
      <c r="AM92" s="99"/>
    </row>
    <row r="93" spans="1:40"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4335.6678769999999</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19964.965747000002</v>
      </c>
      <c r="AM93" s="98"/>
      <c r="AN93" s="98" t="s">
        <v>182</v>
      </c>
    </row>
    <row r="113" spans="12:38" x14ac:dyDescent="0.25">
      <c r="L113" s="89">
        <f>+L93+L75+L60+L42+L26</f>
        <v>34805.360568000004</v>
      </c>
      <c r="M113" s="89">
        <f>+M93+M75+M60+M42+M26</f>
        <v>32205.852918999997</v>
      </c>
      <c r="Q113" s="25">
        <f>+Q93+Q75+Q60+Q42+Q26</f>
        <v>118190.417026</v>
      </c>
      <c r="R113" s="25">
        <f>+R93+R75+R60+R42+R26</f>
        <v>111757.488256</v>
      </c>
      <c r="V113" s="89">
        <f>+V93+V75+V60+V42+V26</f>
        <v>93563.653000000006</v>
      </c>
      <c r="W113" s="89">
        <f>+W93+W75+W60+W42+W26</f>
        <v>24785.314132</v>
      </c>
      <c r="AA113" s="89">
        <f>+AA93+AA75+AA60+AA42+AA26</f>
        <v>89303</v>
      </c>
      <c r="AB113" s="89">
        <f>+AB93+AB75+AB60+AB42+AB26</f>
        <v>0</v>
      </c>
      <c r="AF113" s="89">
        <f>+AF93+AF75+AF60+AF42+AF26</f>
        <v>37629.984261999998</v>
      </c>
      <c r="AG113" s="89">
        <f>+AG93+AG75+AG60+AG42+AG26</f>
        <v>0</v>
      </c>
      <c r="AK113" s="25">
        <f>+AK93+AK75+AK60+AK42+AK26</f>
        <v>373492.41485599999</v>
      </c>
      <c r="AL113" s="25">
        <f>+AL93+AL75+AL60+AL42+AL26</f>
        <v>168748.65530699998</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E84:E86"/>
    <mergeCell ref="F84:F86"/>
    <mergeCell ref="D35:D37"/>
    <mergeCell ref="E35:E37"/>
    <mergeCell ref="F35:F37"/>
    <mergeCell ref="G35:G37"/>
    <mergeCell ref="H35:H37"/>
    <mergeCell ref="J35:M35"/>
    <mergeCell ref="T36:U36"/>
    <mergeCell ref="G69:G71"/>
    <mergeCell ref="H69:H71"/>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s>
  <printOptions headings="1"/>
  <pageMargins left="0.70866141732283472" right="0.70866141732283472" top="0.74803149606299213" bottom="0.74803149606299213" header="0.31496062992125984" footer="0.31496062992125984"/>
  <pageSetup paperSize="5" scale="25"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Abril 2022</vt:lpstr>
      <vt:lpstr>'Abril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2022-05-17T17:07:46Z</dcterms:modified>
</cp:coreProperties>
</file>