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610" tabRatio="553" firstSheet="2" activeTab="2"/>
  </bookViews>
  <sheets>
    <sheet name="DIFERENCIAS" sheetId="52" state="hidden" r:id="rId1"/>
    <sheet name="SOPORTE REPROGRAMACIÓN $ 2017" sheetId="53" state="hidden" r:id="rId2"/>
    <sheet name="JULIO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'JULIO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4" i="93" l="1"/>
  <c r="V93" i="93" l="1"/>
  <c r="W92" i="93"/>
  <c r="V92" i="93"/>
  <c r="W91" i="93"/>
  <c r="W90" i="93"/>
  <c r="W89" i="93"/>
  <c r="V89" i="93"/>
  <c r="W75" i="93"/>
  <c r="W60" i="93"/>
  <c r="V60" i="93"/>
  <c r="W58" i="93"/>
  <c r="V58" i="93"/>
  <c r="V57" i="93"/>
  <c r="W57" i="93"/>
  <c r="W56" i="93"/>
  <c r="V56" i="93"/>
  <c r="W42" i="93"/>
  <c r="V42" i="93"/>
  <c r="W40" i="93"/>
  <c r="V39" i="93"/>
  <c r="W19" i="93"/>
  <c r="W25" i="93"/>
  <c r="V25" i="93"/>
  <c r="W23" i="93"/>
  <c r="V23" i="93"/>
  <c r="V20" i="93"/>
  <c r="V19" i="93"/>
  <c r="W18" i="93"/>
  <c r="V18" i="93"/>
  <c r="W93" i="93" l="1"/>
  <c r="V90" i="93"/>
  <c r="V41" i="93"/>
  <c r="V40" i="93"/>
  <c r="W39" i="93"/>
  <c r="AJ42" i="93" l="1"/>
  <c r="AI42" i="93"/>
  <c r="AG43" i="93"/>
  <c r="AF43" i="93"/>
  <c r="AA43" i="93"/>
  <c r="W43" i="93"/>
  <c r="V43" i="93"/>
  <c r="R43" i="93"/>
  <c r="Q43" i="93"/>
  <c r="M43" i="93"/>
  <c r="L43" i="93"/>
  <c r="AL42" i="93"/>
  <c r="AK42" i="93"/>
  <c r="AK75" i="93" l="1"/>
  <c r="W59" i="93" l="1"/>
  <c r="AJ23" i="93" l="1"/>
  <c r="AJ90" i="93"/>
  <c r="AJ89" i="93"/>
  <c r="AP39" i="93" l="1"/>
  <c r="W74" i="93" l="1"/>
  <c r="Q40" i="93"/>
  <c r="R40" i="93"/>
  <c r="AJ40" i="93"/>
  <c r="AI40" i="93"/>
  <c r="AL40" i="93" l="1"/>
  <c r="AK40" i="93"/>
  <c r="AJ75" i="93"/>
  <c r="W41" i="93" l="1"/>
  <c r="V75" i="93" l="1"/>
  <c r="V74" i="93"/>
  <c r="AJ91" i="93" l="1"/>
  <c r="AJ60" i="93"/>
  <c r="AJ21" i="93"/>
  <c r="AI24" i="93" l="1"/>
  <c r="AJ24" i="93" l="1"/>
  <c r="AJ17" i="93" l="1"/>
  <c r="AJ58" i="93"/>
  <c r="AJ74" i="93"/>
  <c r="AJ25" i="93" l="1"/>
  <c r="AJ19" i="93"/>
  <c r="AJ88" i="93"/>
  <c r="W61" i="93" l="1"/>
  <c r="W20" i="93" l="1"/>
  <c r="AA18" i="93" l="1"/>
  <c r="AF18" i="93"/>
  <c r="V59" i="93" l="1"/>
  <c r="R18" i="93" l="1"/>
  <c r="R93" i="93" l="1"/>
  <c r="Q93" i="93"/>
  <c r="R92" i="93"/>
  <c r="Q92" i="93"/>
  <c r="R91" i="93"/>
  <c r="R90" i="93"/>
  <c r="Q90" i="93"/>
  <c r="R89" i="93"/>
  <c r="Q89" i="93"/>
  <c r="R60" i="93" l="1"/>
  <c r="Q60" i="93"/>
  <c r="R59" i="93"/>
  <c r="Q59" i="93"/>
  <c r="R58" i="93"/>
  <c r="R57" i="93"/>
  <c r="Q57" i="93"/>
  <c r="R56" i="93"/>
  <c r="Q56" i="93"/>
  <c r="R41" i="93" l="1"/>
  <c r="Q41" i="93"/>
  <c r="AK41" i="93" s="1"/>
  <c r="R39" i="93"/>
  <c r="Q39" i="93"/>
  <c r="R20" i="93" l="1"/>
  <c r="Q20" i="93"/>
  <c r="R25" i="93"/>
  <c r="Q25" i="93"/>
  <c r="R23" i="93"/>
  <c r="Q23" i="93"/>
  <c r="R19" i="93"/>
  <c r="Q18" i="93"/>
  <c r="AK20" i="93" l="1"/>
  <c r="AJ20" i="93"/>
  <c r="AI20" i="93"/>
  <c r="AL20" i="93"/>
  <c r="AF93" i="93" l="1"/>
  <c r="AF90" i="93"/>
  <c r="AF89" i="93"/>
  <c r="V91" i="93"/>
  <c r="AF61" i="93" l="1"/>
  <c r="Q91" i="93" l="1"/>
  <c r="Q58" i="93"/>
  <c r="Q19" i="93"/>
  <c r="Q26" i="93" s="1"/>
  <c r="Q61" i="93" l="1"/>
  <c r="R61" i="93"/>
  <c r="AK60" i="93" l="1"/>
  <c r="AA25" i="93" l="1"/>
  <c r="AI60" i="93" l="1"/>
  <c r="AI59" i="93"/>
  <c r="AL60" i="93"/>
  <c r="AL59" i="93"/>
  <c r="AK59" i="93"/>
  <c r="AJ59" i="93"/>
  <c r="AA61" i="93"/>
  <c r="V61" i="93"/>
  <c r="M61" i="93"/>
  <c r="L61" i="93"/>
  <c r="AI90" i="93" l="1"/>
  <c r="AI89" i="93"/>
  <c r="AI88" i="93"/>
  <c r="AI22" i="93" l="1"/>
  <c r="AL22" i="93"/>
  <c r="AK22" i="93"/>
  <c r="AJ22" i="93"/>
  <c r="AF92" i="93" l="1"/>
  <c r="AF91" i="93"/>
  <c r="AA93" i="93"/>
  <c r="AA92" i="93"/>
  <c r="AA91" i="93"/>
  <c r="AA90" i="93"/>
  <c r="AA89" i="93"/>
  <c r="AI92" i="93" l="1"/>
  <c r="AI18" i="93"/>
  <c r="L74" i="93" l="1"/>
  <c r="AJ18" i="93" l="1"/>
  <c r="AF75" i="93" l="1"/>
  <c r="L75" i="93"/>
  <c r="AF25" i="93"/>
  <c r="L25" i="93"/>
  <c r="H88" i="93"/>
  <c r="E88" i="93"/>
  <c r="H73" i="93"/>
  <c r="E73" i="93"/>
  <c r="H55" i="93"/>
  <c r="E55" i="93"/>
  <c r="H38" i="93"/>
  <c r="E38" i="93"/>
  <c r="H17" i="93"/>
  <c r="E17" i="93"/>
  <c r="AG94" i="93" l="1"/>
  <c r="AF94" i="93"/>
  <c r="AB94" i="93"/>
  <c r="AA94" i="93"/>
  <c r="W94" i="93"/>
  <c r="V94" i="93"/>
  <c r="R94" i="93"/>
  <c r="Q94" i="93"/>
  <c r="M94" i="93"/>
  <c r="L94" i="93"/>
  <c r="AL93" i="93"/>
  <c r="AK93" i="93"/>
  <c r="AJ93" i="93"/>
  <c r="AI93" i="93"/>
  <c r="AL92" i="93" l="1"/>
  <c r="AK92" i="93"/>
  <c r="AJ92" i="93"/>
  <c r="AL91" i="93"/>
  <c r="AK91" i="93"/>
  <c r="AI91" i="93"/>
  <c r="AL90" i="93"/>
  <c r="AK90" i="93"/>
  <c r="AL89" i="93"/>
  <c r="AK89" i="93"/>
  <c r="AL88" i="93"/>
  <c r="AK88" i="93"/>
  <c r="AL75" i="93"/>
  <c r="AI75" i="93"/>
  <c r="AI74" i="93"/>
  <c r="AI73" i="93"/>
  <c r="AI58" i="93"/>
  <c r="AK58" i="93"/>
  <c r="AL58" i="93"/>
  <c r="AI57" i="93"/>
  <c r="AI56" i="93"/>
  <c r="AI55" i="93"/>
  <c r="AI41" i="93"/>
  <c r="AL39" i="93"/>
  <c r="AL43" i="93" s="1"/>
  <c r="AK39" i="93"/>
  <c r="AK43" i="93" s="1"/>
  <c r="AJ39" i="93"/>
  <c r="AI39" i="93"/>
  <c r="AI38" i="93"/>
  <c r="AL25" i="93"/>
  <c r="AK25" i="93"/>
  <c r="AI25" i="93"/>
  <c r="AL24" i="93"/>
  <c r="AK24" i="93"/>
  <c r="AL23" i="93"/>
  <c r="AK23" i="93"/>
  <c r="AI23" i="93"/>
  <c r="AL21" i="93"/>
  <c r="AK21" i="93"/>
  <c r="AI21" i="93"/>
  <c r="AI19" i="93"/>
  <c r="AI17" i="93"/>
  <c r="AG76" i="93"/>
  <c r="AF76" i="93"/>
  <c r="AB76" i="93"/>
  <c r="AA76" i="93"/>
  <c r="W76" i="93"/>
  <c r="V76" i="93"/>
  <c r="R76" i="93"/>
  <c r="Q76" i="93"/>
  <c r="M76" i="93"/>
  <c r="L76" i="93"/>
  <c r="AL74" i="93"/>
  <c r="AK74" i="93"/>
  <c r="AK76" i="93" s="1"/>
  <c r="AL73" i="93"/>
  <c r="AK73" i="93"/>
  <c r="AJ73" i="93"/>
  <c r="AG61" i="93"/>
  <c r="AB61" i="93"/>
  <c r="AL57" i="93"/>
  <c r="AK57" i="93"/>
  <c r="AJ57" i="93"/>
  <c r="AL56" i="93"/>
  <c r="AK56" i="93"/>
  <c r="AJ56" i="93"/>
  <c r="AL55" i="93"/>
  <c r="AK55" i="93"/>
  <c r="AJ55" i="93"/>
  <c r="AB43" i="93"/>
  <c r="AB114" i="93" s="1"/>
  <c r="AL41" i="93"/>
  <c r="AJ41" i="93"/>
  <c r="AL38" i="93"/>
  <c r="AK38" i="93"/>
  <c r="AJ38" i="93"/>
  <c r="M26" i="93"/>
  <c r="L26" i="93"/>
  <c r="R26" i="93"/>
  <c r="W26" i="93"/>
  <c r="V26" i="93"/>
  <c r="AB26" i="93"/>
  <c r="AA26" i="93"/>
  <c r="AF26" i="93"/>
  <c r="M114" i="93" l="1"/>
  <c r="AK61" i="93"/>
  <c r="AA114" i="93"/>
  <c r="L114" i="93"/>
  <c r="AF114" i="93"/>
  <c r="W114" i="93"/>
  <c r="AL61" i="93"/>
  <c r="Q114" i="93"/>
  <c r="R114" i="93"/>
  <c r="AL94" i="93"/>
  <c r="AK94" i="93"/>
  <c r="AL76" i="93"/>
  <c r="AQ43" i="93"/>
  <c r="AG26" i="93" l="1"/>
  <c r="AG114" i="93" s="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4" i="93" s="1"/>
  <c r="AL26" i="93"/>
  <c r="AL114"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4" i="93" l="1"/>
</calcChain>
</file>

<file path=xl/comments1.xml><?xml version="1.0" encoding="utf-8"?>
<comments xmlns="http://schemas.openxmlformats.org/spreadsheetml/2006/main">
  <authors>
    <author>Adriana Gomez Martinez</author>
  </authors>
  <commentList>
    <comment ref="AI58" authorId="0" shapeId="0">
      <text>
        <r>
          <rPr>
            <b/>
            <sz val="9"/>
            <color indexed="81"/>
            <rFont val="Tahoma"/>
            <family val="2"/>
          </rPr>
          <t>Creciente</t>
        </r>
        <r>
          <rPr>
            <sz val="9"/>
            <color indexed="81"/>
            <rFont val="Tahoma"/>
            <family val="2"/>
          </rPr>
          <t xml:space="preserve">
</t>
        </r>
      </text>
    </comment>
    <comment ref="AJ58" authorId="0" shapeId="0">
      <text>
        <r>
          <rPr>
            <b/>
            <sz val="9"/>
            <color indexed="81"/>
            <rFont val="Tahoma"/>
            <family val="2"/>
          </rPr>
          <t>Creciente</t>
        </r>
        <r>
          <rPr>
            <sz val="9"/>
            <color indexed="81"/>
            <rFont val="Tahoma"/>
            <family val="2"/>
          </rPr>
          <t xml:space="preserve">
</t>
        </r>
      </text>
    </comment>
    <comment ref="AI75"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<sst xmlns="http://schemas.openxmlformats.org/spreadsheetml/2006/main" count="536" uniqueCount="187">
  <si>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</si>
  <si>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</si>
  <si>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</si>
  <si>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</si>
  <si>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</si>
  <si>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</si>
  <si>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</si>
  <si>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</si>
  <si>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</si>
  <si>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</si>
  <si>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</si>
  <si>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</si>
  <si>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</si>
  <si>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</si>
  <si>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</si>
  <si>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</si>
  <si>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</si>
  <si>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</si>
  <si>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</si>
  <si>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</si>
  <si>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</si>
  <si>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</si>
  <si>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</si>
  <si>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</si>
  <si>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</si>
  <si>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</si>
  <si>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</si>
  <si>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</si>
  <si>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</si>
  <si>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</si>
  <si>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</si>
  <si>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</si>
  <si>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</si>
  <si>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</si>
  <si>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</si>
  <si>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</si>
  <si>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</si>
  <si>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</si>
  <si>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</si>
  <si>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</si>
  <si>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</si>
  <si>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</si>
  <si>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</si>
  <si>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</si>
  <si>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</si>
  <si>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</si>
  <si>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</si>
  <si>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</si>
  <si>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</si>
  <si>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</si>
  <si>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</si>
  <si>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</si>
  <si>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</si>
  <si>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</si>
  <si>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</si>
  <si>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</si>
  <si>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</si>
  <si>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</si>
  <si>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</si>
  <si>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</si>
  <si>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</si>
  <si>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</si>
  <si>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</si>
  <si>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</si>
  <si>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</si>
  <si>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</si>
  <si>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</si>
  <si>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</si>
  <si>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</si>
  <si>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</si>
  <si>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</si>
  <si>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</si>
  <si>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</si>
  <si>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</si>
  <si>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</si>
  <si>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</si>
  <si>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</si>
  <si>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</si>
  <si>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</si>
  <si>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</si>
  <si>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</si>
  <si>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</si>
  <si>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</si>
  <si>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</si>
  <si>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</si>
  <si>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</si>
  <si>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</si>
  <si>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</si>
  <si>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</si>
  <si>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</si>
  <si>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</si>
  <si>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</si>
  <si>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</si>
  <si>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</si>
  <si>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</si>
  <si>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</si>
  <si>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</si>
  <si>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</si>
  <si>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</si>
  <si>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</si>
  <si>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</si>
  <si>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</si>
  <si>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</si>
  <si>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</si>
  <si>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</si>
  <si>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</si>
  <si>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</si>
  <si>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</si>
  <si>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</si>
  <si>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</si>
  <si>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</si>
  <si>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</si>
  <si>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</si>
  <si>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</si>
  <si>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</si>
  <si>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</si>
  <si>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</si>
  <si>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</si>
  <si>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</si>
  <si>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</si>
  <si>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</si>
  <si>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</si>
  <si>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</si>
  <si>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</si>
  <si>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</si>
  <si>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</si>
  <si>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</si>
  <si>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</si>
  <si>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</si>
  <si>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</si>
  <si>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</si>
  <si>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</si>
  <si>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</si>
  <si>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</si>
  <si>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</si>
  <si>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</si>
  <si>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</si>
  <si>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</si>
  <si>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</si>
  <si>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</si>
  <si>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</si>
  <si>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</si>
  <si>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</si>
  <si>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</si>
  <si>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</si>
  <si>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</si>
  <si>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</si>
  <si>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</si>
  <si>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</si>
  <si>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</si>
  <si>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</si>
  <si>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</si>
  <si>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</si>
  <si>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</si>
  <si>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</si>
  <si>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</si>
  <si>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</si>
  <si>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</si>
  <si>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</si>
  <si>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</si>
  <si>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</si>
  <si>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</si>
  <si>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</si>
  <si>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</si>
  <si>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</si>
  <si>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</si>
  <si>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</si>
  <si>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</si>
  <si>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</si>
  <si>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</si>
  <si>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</si>
  <si>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</si>
  <si>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</si>
  <si>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</si>
  <si>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</si>
  <si>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</si>
  <si>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</si>
  <si>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</si>
  <si>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</si>
  <si>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</si>
  <si>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</si>
  <si>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ok</t>
  </si>
  <si>
    <t>metas</t>
  </si>
  <si>
    <t>valores</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</si>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</sst>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b/>
      <sz val="10"/>
      <color theme="2"/>
      <name val="Arial Narrow"/>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74">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190" fontId="35" fillId="0" borderId="3" xfId="3516" applyNumberFormat="1" applyFont="1" applyFill="1" applyBorder="1" applyAlignment="1">
      <alignment horizontal="center" vertical="center"/>
    </xf>
    <xf numFmtId="0" fontId="41" fillId="0" borderId="3" xfId="128" applyFont="1" applyFill="1" applyBorder="1" applyAlignment="1" applyProtection="1">
      <alignment horizontal="justify" vertical="center" wrapText="1"/>
    </xf>
    <xf numFmtId="0" fontId="0" fillId="0" borderId="0" xfId="128" applyFont="1"/>
    <xf numFmtId="3" fontId="0" fillId="0" borderId="0" xfId="128" applyNumberFormat="1" applyFont="1"/>
    <xf numFmtId="171" fontId="0" fillId="0" borderId="0" xfId="128" applyNumberFormat="1" applyFont="1"/>
    <xf numFmtId="0" fontId="26" fillId="0" borderId="2" xfId="128" applyFont="1" applyFill="1" applyBorder="1" applyAlignment="1" applyProtection="1">
      <alignment horizontal="center" vertical="center" wrapText="1"/>
    </xf>
    <xf numFmtId="0" fontId="26" fillId="0" borderId="3" xfId="128" applyFont="1" applyFill="1" applyBorder="1" applyAlignment="1" applyProtection="1">
      <alignment horizontal="left" vertical="center" wrapText="1"/>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0" fontId="24" fillId="0" borderId="5"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25"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6" fillId="12" borderId="0" xfId="106" applyFont="1" applyFill="1" applyBorder="1" applyAlignment="1">
      <alignment horizontal="center" vertical="center"/>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4" fillId="0" borderId="4"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25" fillId="8" borderId="2" xfId="128" applyFont="1" applyFill="1" applyBorder="1" applyAlignment="1">
      <alignment horizontal="center" vertical="center" wrapText="1"/>
    </xf>
    <xf numFmtId="0" fontId="20" fillId="8" borderId="3" xfId="128" applyFont="1" applyFill="1" applyBorder="1" applyAlignment="1">
      <alignment horizontal="center" vertical="center" wrapText="1"/>
    </xf>
    <xf numFmtId="0" fontId="28" fillId="0" borderId="0" xfId="128" applyFont="1" applyAlignment="1">
      <alignment horizontal="left" vertical="center" wrapText="1"/>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19" t="s">
        <v>0</v>
      </c>
      <c r="B3" s="220"/>
      <c r="C3" s="220"/>
      <c r="D3" s="221"/>
      <c r="E3" s="1"/>
      <c r="F3" s="2"/>
      <c r="G3" s="2"/>
      <c r="H3" s="2"/>
      <c r="I3" s="2"/>
      <c r="J3" s="2"/>
      <c r="K3" s="2"/>
      <c r="M3" s="2"/>
      <c r="O3" s="2"/>
      <c r="Q3" s="2"/>
    </row>
    <row r="4" spans="1:18" s="3" customFormat="1" ht="12.75" x14ac:dyDescent="0.2">
      <c r="A4" s="219" t="s">
        <v>14</v>
      </c>
      <c r="B4" s="220"/>
      <c r="C4" s="220"/>
      <c r="D4" s="221"/>
      <c r="E4" s="1"/>
      <c r="F4" s="2"/>
      <c r="G4" s="2"/>
      <c r="H4" s="2"/>
      <c r="I4" s="2"/>
      <c r="J4" s="2"/>
      <c r="K4" s="2"/>
      <c r="M4" s="2"/>
      <c r="O4" s="2"/>
      <c r="Q4" s="2"/>
    </row>
    <row r="5" spans="1:18" s="3" customFormat="1" ht="12.75" x14ac:dyDescent="0.2">
      <c r="A5" s="219" t="s">
        <v>0</v>
      </c>
      <c r="B5" s="220"/>
      <c r="C5" s="220"/>
      <c r="D5" s="221"/>
      <c r="E5" s="1"/>
      <c r="F5" s="2"/>
      <c r="G5" s="2"/>
      <c r="H5" s="2"/>
      <c r="I5" s="2"/>
      <c r="J5" s="2"/>
      <c r="K5" s="2"/>
      <c r="M5" s="2"/>
      <c r="O5" s="2"/>
      <c r="Q5" s="2"/>
    </row>
    <row r="6" spans="1:18" s="3" customFormat="1" ht="12.75" x14ac:dyDescent="0.2">
      <c r="A6" s="219" t="s">
        <v>15</v>
      </c>
      <c r="B6" s="220"/>
      <c r="C6" s="220"/>
      <c r="D6" s="221"/>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1" t="s">
        <v>85</v>
      </c>
      <c r="B8" s="232"/>
      <c r="C8" s="232"/>
      <c r="D8" s="232"/>
    </row>
    <row r="9" spans="1:18" s="3" customFormat="1" ht="12.75" x14ac:dyDescent="0.2">
      <c r="A9" s="4"/>
      <c r="B9" s="4"/>
      <c r="C9" s="4"/>
      <c r="D9" s="4"/>
      <c r="E9" s="2"/>
      <c r="F9" s="2"/>
      <c r="G9" s="2"/>
      <c r="H9" s="2"/>
      <c r="I9" s="2"/>
      <c r="J9" s="2"/>
      <c r="K9" s="2"/>
      <c r="M9" s="2"/>
      <c r="O9" s="2"/>
      <c r="Q9" s="2"/>
    </row>
    <row r="10" spans="1:18" ht="34.5" customHeight="1" x14ac:dyDescent="0.25">
      <c r="A10" s="33" t="s">
        <v>1</v>
      </c>
      <c r="B10" s="233" t="s">
        <v>16</v>
      </c>
      <c r="C10" s="233"/>
      <c r="D10" s="23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8" t="s">
        <v>2</v>
      </c>
      <c r="B13" s="222" t="s">
        <v>3</v>
      </c>
      <c r="C13" s="222" t="s">
        <v>67</v>
      </c>
      <c r="D13" s="225" t="s">
        <v>19</v>
      </c>
      <c r="E13" s="10"/>
      <c r="F13" s="67">
        <v>2016</v>
      </c>
      <c r="G13" s="10"/>
      <c r="H13" s="239">
        <v>2017</v>
      </c>
      <c r="I13" s="240"/>
      <c r="J13" s="241"/>
      <c r="K13" s="239">
        <v>2018</v>
      </c>
      <c r="L13" s="241"/>
      <c r="M13" s="239">
        <v>2019</v>
      </c>
      <c r="N13" s="241"/>
      <c r="O13" s="239">
        <v>2020</v>
      </c>
      <c r="P13" s="240"/>
      <c r="Q13" s="240" t="s">
        <v>78</v>
      </c>
      <c r="R13" s="240"/>
    </row>
    <row r="14" spans="1:18" s="11" customFormat="1" ht="15" customHeight="1" x14ac:dyDescent="0.25">
      <c r="A14" s="229"/>
      <c r="B14" s="223"/>
      <c r="C14" s="223"/>
      <c r="D14" s="226"/>
      <c r="E14" s="10"/>
      <c r="F14" s="217" t="s">
        <v>8</v>
      </c>
      <c r="G14" s="10"/>
      <c r="H14" s="217" t="s">
        <v>8</v>
      </c>
      <c r="I14" s="217" t="s">
        <v>84</v>
      </c>
      <c r="J14" s="217" t="s">
        <v>80</v>
      </c>
      <c r="K14" s="217" t="s">
        <v>8</v>
      </c>
      <c r="L14" s="217" t="s">
        <v>79</v>
      </c>
      <c r="M14" s="217" t="s">
        <v>8</v>
      </c>
      <c r="N14" s="217" t="s">
        <v>79</v>
      </c>
      <c r="O14" s="255" t="s">
        <v>8</v>
      </c>
      <c r="P14" s="217" t="s">
        <v>79</v>
      </c>
      <c r="Q14" s="255" t="s">
        <v>8</v>
      </c>
      <c r="R14" s="217" t="s">
        <v>79</v>
      </c>
    </row>
    <row r="15" spans="1:18" s="11" customFormat="1" ht="47.25" customHeight="1" x14ac:dyDescent="0.25">
      <c r="A15" s="230"/>
      <c r="B15" s="224"/>
      <c r="C15" s="224"/>
      <c r="D15" s="227"/>
      <c r="E15" s="12"/>
      <c r="F15" s="217"/>
      <c r="G15" s="12"/>
      <c r="H15" s="217"/>
      <c r="I15" s="217"/>
      <c r="J15" s="217"/>
      <c r="K15" s="217"/>
      <c r="L15" s="217"/>
      <c r="M15" s="217"/>
      <c r="N15" s="217"/>
      <c r="O15" s="256"/>
      <c r="P15" s="217"/>
      <c r="Q15" s="256"/>
      <c r="R15" s="217"/>
    </row>
    <row r="16" spans="1:18" ht="60" customHeight="1" x14ac:dyDescent="0.25">
      <c r="A16" s="237" t="s">
        <v>11</v>
      </c>
      <c r="B16" s="234" t="s">
        <v>12</v>
      </c>
      <c r="C16" s="234"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8"/>
      <c r="B17" s="235"/>
      <c r="C17" s="235"/>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8"/>
      <c r="B18" s="235"/>
      <c r="C18" s="235"/>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8"/>
      <c r="B19" s="235"/>
      <c r="C19" s="235"/>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8"/>
      <c r="B20" s="236"/>
      <c r="C20" s="236"/>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8" t="s">
        <v>2</v>
      </c>
      <c r="B26" s="218" t="s">
        <v>3</v>
      </c>
      <c r="C26" s="222" t="s">
        <v>67</v>
      </c>
      <c r="D26" s="218" t="s">
        <v>19</v>
      </c>
      <c r="E26" s="10"/>
      <c r="F26" s="71">
        <v>2016</v>
      </c>
      <c r="G26" s="79"/>
      <c r="H26" s="218">
        <v>2017</v>
      </c>
      <c r="I26" s="218"/>
      <c r="J26" s="218"/>
      <c r="K26" s="218">
        <v>2018</v>
      </c>
      <c r="L26" s="218"/>
      <c r="M26" s="218">
        <v>2019</v>
      </c>
      <c r="N26" s="218"/>
      <c r="O26" s="218">
        <v>2020</v>
      </c>
      <c r="P26" s="218"/>
      <c r="Q26" s="218" t="s">
        <v>78</v>
      </c>
      <c r="R26" s="218"/>
    </row>
    <row r="27" spans="1:20" s="11" customFormat="1" ht="15" customHeight="1" x14ac:dyDescent="0.25">
      <c r="A27" s="218"/>
      <c r="B27" s="218"/>
      <c r="C27" s="223"/>
      <c r="D27" s="218"/>
      <c r="E27" s="10"/>
      <c r="F27" s="217" t="s">
        <v>8</v>
      </c>
      <c r="G27" s="79"/>
      <c r="H27" s="217" t="s">
        <v>8</v>
      </c>
      <c r="I27" s="217" t="s">
        <v>84</v>
      </c>
      <c r="J27" s="217" t="s">
        <v>80</v>
      </c>
      <c r="K27" s="217" t="s">
        <v>8</v>
      </c>
      <c r="L27" s="217" t="s">
        <v>79</v>
      </c>
      <c r="M27" s="217" t="s">
        <v>8</v>
      </c>
      <c r="N27" s="217" t="s">
        <v>79</v>
      </c>
      <c r="O27" s="217" t="s">
        <v>8</v>
      </c>
      <c r="P27" s="217" t="s">
        <v>79</v>
      </c>
      <c r="Q27" s="217" t="s">
        <v>8</v>
      </c>
      <c r="R27" s="217" t="s">
        <v>79</v>
      </c>
    </row>
    <row r="28" spans="1:20" s="11" customFormat="1" ht="47.25" customHeight="1" x14ac:dyDescent="0.25">
      <c r="A28" s="218"/>
      <c r="B28" s="218"/>
      <c r="C28" s="224"/>
      <c r="D28" s="218"/>
      <c r="E28" s="12"/>
      <c r="F28" s="217"/>
      <c r="G28" s="80"/>
      <c r="H28" s="217"/>
      <c r="I28" s="217"/>
      <c r="J28" s="217"/>
      <c r="K28" s="217"/>
      <c r="L28" s="217"/>
      <c r="M28" s="217"/>
      <c r="N28" s="217"/>
      <c r="O28" s="217"/>
      <c r="P28" s="217"/>
      <c r="Q28" s="217"/>
      <c r="R28" s="217"/>
    </row>
    <row r="29" spans="1:20" ht="51" hidden="1" customHeight="1" x14ac:dyDescent="0.25">
      <c r="A29" s="251" t="s">
        <v>24</v>
      </c>
      <c r="B29" s="252" t="s">
        <v>25</v>
      </c>
      <c r="C29" s="68"/>
      <c r="D29" s="18" t="s">
        <v>9</v>
      </c>
      <c r="E29" s="14"/>
      <c r="F29" s="28"/>
      <c r="G29" s="81"/>
      <c r="H29" s="28"/>
      <c r="I29" s="81"/>
      <c r="J29" s="81"/>
      <c r="K29" s="29"/>
      <c r="L29" s="82"/>
      <c r="M29" s="20"/>
      <c r="N29" s="82"/>
      <c r="O29" s="20"/>
      <c r="P29" s="82"/>
      <c r="Q29" s="15"/>
      <c r="R29" s="82"/>
    </row>
    <row r="30" spans="1:20" ht="95.25" customHeight="1" x14ac:dyDescent="0.25">
      <c r="A30" s="251"/>
      <c r="B30" s="252"/>
      <c r="C30" s="252"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1"/>
      <c r="B31" s="252"/>
      <c r="C31" s="252"/>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45" t="s">
        <v>10</v>
      </c>
      <c r="B33" s="248" t="s">
        <v>26</v>
      </c>
      <c r="C33" s="248"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6"/>
      <c r="B34" s="249"/>
      <c r="C34" s="249"/>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7"/>
      <c r="B35" s="250"/>
      <c r="C35" s="250"/>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42" t="s">
        <v>27</v>
      </c>
      <c r="B37" s="234" t="s">
        <v>28</v>
      </c>
      <c r="C37" s="234"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3"/>
      <c r="B38" s="235"/>
      <c r="C38" s="235"/>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44"/>
      <c r="B39" s="236"/>
      <c r="C39" s="236"/>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8" t="s">
        <v>2</v>
      </c>
      <c r="B45" s="218" t="s">
        <v>3</v>
      </c>
      <c r="C45" s="222" t="s">
        <v>67</v>
      </c>
      <c r="D45" s="218" t="s">
        <v>19</v>
      </c>
      <c r="E45" s="10"/>
      <c r="F45" s="71">
        <v>2016</v>
      </c>
      <c r="G45" s="79"/>
      <c r="H45" s="218">
        <v>2017</v>
      </c>
      <c r="I45" s="218"/>
      <c r="J45" s="218"/>
      <c r="K45" s="218">
        <v>2018</v>
      </c>
      <c r="L45" s="218"/>
      <c r="M45" s="218">
        <v>2019</v>
      </c>
      <c r="N45" s="218"/>
      <c r="O45" s="218">
        <v>2020</v>
      </c>
      <c r="P45" s="218"/>
      <c r="Q45" s="218" t="s">
        <v>78</v>
      </c>
      <c r="R45" s="218"/>
    </row>
    <row r="46" spans="1:20" s="11" customFormat="1" ht="15" customHeight="1" x14ac:dyDescent="0.25">
      <c r="A46" s="218"/>
      <c r="B46" s="218"/>
      <c r="C46" s="223"/>
      <c r="D46" s="218"/>
      <c r="E46" s="10"/>
      <c r="F46" s="255" t="s">
        <v>8</v>
      </c>
      <c r="G46" s="79"/>
      <c r="H46" s="255" t="s">
        <v>8</v>
      </c>
      <c r="I46" s="217" t="s">
        <v>84</v>
      </c>
      <c r="J46" s="217" t="s">
        <v>80</v>
      </c>
      <c r="K46" s="255" t="s">
        <v>8</v>
      </c>
      <c r="L46" s="217" t="s">
        <v>79</v>
      </c>
      <c r="M46" s="255" t="s">
        <v>8</v>
      </c>
      <c r="N46" s="217" t="s">
        <v>79</v>
      </c>
      <c r="O46" s="217" t="s">
        <v>8</v>
      </c>
      <c r="P46" s="217" t="s">
        <v>79</v>
      </c>
      <c r="Q46" s="255" t="s">
        <v>8</v>
      </c>
      <c r="R46" s="217" t="s">
        <v>79</v>
      </c>
    </row>
    <row r="47" spans="1:20" s="11" customFormat="1" ht="47.25" customHeight="1" x14ac:dyDescent="0.25">
      <c r="A47" s="218"/>
      <c r="B47" s="218"/>
      <c r="C47" s="224"/>
      <c r="D47" s="218"/>
      <c r="E47" s="12"/>
      <c r="F47" s="256"/>
      <c r="G47" s="80"/>
      <c r="H47" s="256"/>
      <c r="I47" s="217"/>
      <c r="J47" s="217"/>
      <c r="K47" s="256"/>
      <c r="L47" s="217"/>
      <c r="M47" s="256"/>
      <c r="N47" s="217"/>
      <c r="O47" s="217"/>
      <c r="P47" s="217"/>
      <c r="Q47" s="256"/>
      <c r="R47" s="217"/>
    </row>
    <row r="48" spans="1:20" ht="60" customHeight="1" x14ac:dyDescent="0.25">
      <c r="A48" s="253" t="s">
        <v>35</v>
      </c>
      <c r="B48" s="234" t="s">
        <v>36</v>
      </c>
      <c r="C48" s="234"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54"/>
      <c r="B49" s="236"/>
      <c r="C49" s="236"/>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8" t="s">
        <v>2</v>
      </c>
      <c r="B54" s="218" t="s">
        <v>3</v>
      </c>
      <c r="C54" s="222" t="s">
        <v>67</v>
      </c>
      <c r="D54" s="218" t="s">
        <v>19</v>
      </c>
      <c r="E54" s="10"/>
      <c r="F54" s="71">
        <v>2016</v>
      </c>
      <c r="G54" s="79"/>
      <c r="H54" s="218">
        <v>2017</v>
      </c>
      <c r="I54" s="218"/>
      <c r="J54" s="218"/>
      <c r="K54" s="218">
        <v>2018</v>
      </c>
      <c r="L54" s="218"/>
      <c r="M54" s="218">
        <v>2019</v>
      </c>
      <c r="N54" s="218"/>
      <c r="O54" s="218">
        <v>2020</v>
      </c>
      <c r="P54" s="218"/>
      <c r="Q54" s="218" t="s">
        <v>78</v>
      </c>
      <c r="R54" s="218"/>
    </row>
    <row r="55" spans="1:20" s="11" customFormat="1" ht="15" customHeight="1" x14ac:dyDescent="0.25">
      <c r="A55" s="218"/>
      <c r="B55" s="218"/>
      <c r="C55" s="223"/>
      <c r="D55" s="218"/>
      <c r="E55" s="10"/>
      <c r="F55" s="217" t="s">
        <v>8</v>
      </c>
      <c r="G55" s="79"/>
      <c r="H55" s="217" t="s">
        <v>8</v>
      </c>
      <c r="I55" s="217" t="s">
        <v>84</v>
      </c>
      <c r="J55" s="217" t="s">
        <v>80</v>
      </c>
      <c r="K55" s="217" t="s">
        <v>8</v>
      </c>
      <c r="L55" s="217" t="s">
        <v>79</v>
      </c>
      <c r="M55" s="217" t="s">
        <v>8</v>
      </c>
      <c r="N55" s="217" t="s">
        <v>79</v>
      </c>
      <c r="O55" s="217" t="s">
        <v>8</v>
      </c>
      <c r="P55" s="217" t="s">
        <v>79</v>
      </c>
      <c r="Q55" s="217" t="s">
        <v>8</v>
      </c>
      <c r="R55" s="217" t="s">
        <v>79</v>
      </c>
    </row>
    <row r="56" spans="1:20" s="11" customFormat="1" ht="47.25" customHeight="1" x14ac:dyDescent="0.25">
      <c r="A56" s="218"/>
      <c r="B56" s="218"/>
      <c r="C56" s="224"/>
      <c r="D56" s="218"/>
      <c r="E56" s="12"/>
      <c r="F56" s="217"/>
      <c r="G56" s="80"/>
      <c r="H56" s="217"/>
      <c r="I56" s="217"/>
      <c r="J56" s="217"/>
      <c r="K56" s="217"/>
      <c r="L56" s="217"/>
      <c r="M56" s="217"/>
      <c r="N56" s="217"/>
      <c r="O56" s="217"/>
      <c r="P56" s="217"/>
      <c r="Q56" s="217"/>
      <c r="R56" s="217"/>
    </row>
    <row r="57" spans="1:20" ht="88.5" customHeight="1" x14ac:dyDescent="0.25">
      <c r="A57" s="253" t="s">
        <v>39</v>
      </c>
      <c r="B57" s="234" t="s">
        <v>13</v>
      </c>
      <c r="C57" s="234"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54"/>
      <c r="B58" s="236"/>
      <c r="C58" s="236"/>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8" t="s">
        <v>2</v>
      </c>
      <c r="B63" s="218" t="s">
        <v>3</v>
      </c>
      <c r="C63" s="222" t="s">
        <v>67</v>
      </c>
      <c r="D63" s="218" t="s">
        <v>19</v>
      </c>
      <c r="E63" s="10"/>
      <c r="F63" s="71">
        <v>2016</v>
      </c>
      <c r="G63" s="79"/>
      <c r="H63" s="218">
        <v>2017</v>
      </c>
      <c r="I63" s="218"/>
      <c r="J63" s="218"/>
      <c r="K63" s="218">
        <v>2018</v>
      </c>
      <c r="L63" s="218"/>
      <c r="M63" s="218">
        <v>2019</v>
      </c>
      <c r="N63" s="218"/>
      <c r="O63" s="218">
        <v>2020</v>
      </c>
      <c r="P63" s="218"/>
      <c r="Q63" s="218" t="s">
        <v>78</v>
      </c>
      <c r="R63" s="218"/>
    </row>
    <row r="64" spans="1:20" s="11" customFormat="1" ht="15" customHeight="1" x14ac:dyDescent="0.25">
      <c r="A64" s="218"/>
      <c r="B64" s="218"/>
      <c r="C64" s="223"/>
      <c r="D64" s="218"/>
      <c r="E64" s="10"/>
      <c r="F64" s="217" t="s">
        <v>8</v>
      </c>
      <c r="G64" s="79"/>
      <c r="H64" s="217" t="s">
        <v>8</v>
      </c>
      <c r="I64" s="217" t="s">
        <v>84</v>
      </c>
      <c r="J64" s="217" t="s">
        <v>80</v>
      </c>
      <c r="K64" s="217" t="s">
        <v>8</v>
      </c>
      <c r="L64" s="217" t="s">
        <v>79</v>
      </c>
      <c r="M64" s="217" t="s">
        <v>8</v>
      </c>
      <c r="N64" s="217" t="s">
        <v>79</v>
      </c>
      <c r="O64" s="217" t="s">
        <v>8</v>
      </c>
      <c r="P64" s="217" t="s">
        <v>79</v>
      </c>
      <c r="Q64" s="217" t="s">
        <v>8</v>
      </c>
      <c r="R64" s="217" t="s">
        <v>79</v>
      </c>
    </row>
    <row r="65" spans="1:20" s="11" customFormat="1" ht="47.25" customHeight="1" x14ac:dyDescent="0.25">
      <c r="A65" s="218"/>
      <c r="B65" s="218"/>
      <c r="C65" s="224"/>
      <c r="D65" s="218"/>
      <c r="E65" s="12"/>
      <c r="F65" s="217"/>
      <c r="G65" s="80"/>
      <c r="H65" s="217"/>
      <c r="I65" s="217"/>
      <c r="J65" s="217"/>
      <c r="K65" s="217"/>
      <c r="L65" s="217"/>
      <c r="M65" s="217"/>
      <c r="N65" s="217"/>
      <c r="O65" s="217"/>
      <c r="P65" s="217"/>
      <c r="Q65" s="217"/>
      <c r="R65" s="217"/>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14"/>
  <sheetViews>
    <sheetView tabSelected="1" topLeftCell="A2" zoomScale="78" zoomScaleNormal="78" workbookViewId="0">
      <pane xSplit="6" ySplit="15" topLeftCell="V17" activePane="bottomRight" state="frozen"/>
      <selection activeCell="A2" sqref="A2"/>
      <selection pane="topRight" activeCell="G2" sqref="G2"/>
      <selection pane="bottomLeft" activeCell="A17" sqref="A17"/>
      <selection pane="bottomRight" activeCell="F17" sqref="F17"/>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39.42578125" style="8" hidden="1" customWidth="1"/>
    <col min="5" max="5" width="47.85546875" style="8" hidden="1"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5" style="92" customWidth="1"/>
    <col min="38" max="38" width="20.85546875" style="92" customWidth="1"/>
    <col min="39" max="39" width="11.42578125" style="92" hidden="1" customWidth="1"/>
    <col min="40" max="40" width="14.7109375" style="8" hidden="1" customWidth="1"/>
    <col min="41" max="44" width="0" style="8" hidden="1" customWidth="1"/>
    <col min="45" max="16384" width="11.42578125" style="8"/>
  </cols>
  <sheetData>
    <row r="1" spans="1:40" hidden="1" x14ac:dyDescent="0.25">
      <c r="A1" s="8"/>
      <c r="L1" s="163">
        <v>1000000</v>
      </c>
    </row>
    <row r="2" spans="1:40" s="3" customFormat="1" x14ac:dyDescent="0.25">
      <c r="A2" s="258" t="s">
        <v>0</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60"/>
      <c r="AM2" s="93"/>
    </row>
    <row r="3" spans="1:40" s="3" customFormat="1" x14ac:dyDescent="0.25">
      <c r="A3" s="258" t="s">
        <v>92</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60"/>
      <c r="AM3" s="93"/>
    </row>
    <row r="4" spans="1:40" s="3" customFormat="1" x14ac:dyDescent="0.25">
      <c r="A4" s="258" t="s">
        <v>0</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60"/>
      <c r="AM4" s="93"/>
    </row>
    <row r="5" spans="1:40" s="3" customFormat="1" x14ac:dyDescent="0.25">
      <c r="A5" s="258" t="s">
        <v>93</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60"/>
      <c r="AM5" s="93"/>
    </row>
    <row r="6" spans="1:40" s="3" customFormat="1" x14ac:dyDescent="0.25">
      <c r="A6" s="258"/>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60"/>
      <c r="AM6" s="93"/>
    </row>
    <row r="7" spans="1:40" s="5" customFormat="1" ht="15.75" customHeight="1" x14ac:dyDescent="0.2">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57" t="s">
        <v>97</v>
      </c>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row>
    <row r="10" spans="1:40" hidden="1" x14ac:dyDescent="0.25">
      <c r="A10" s="141">
        <v>8</v>
      </c>
      <c r="B10" s="6" t="s">
        <v>157</v>
      </c>
      <c r="C10" s="257" t="s">
        <v>158</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row>
    <row r="11" spans="1:40" hidden="1" x14ac:dyDescent="0.25">
      <c r="A11" s="141">
        <v>19</v>
      </c>
      <c r="B11" s="6" t="s">
        <v>95</v>
      </c>
      <c r="C11" s="257" t="s">
        <v>156</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row>
    <row r="12" spans="1:40" ht="30" hidden="1" x14ac:dyDescent="0.25">
      <c r="A12" s="141">
        <v>3</v>
      </c>
      <c r="B12" s="123" t="s">
        <v>98</v>
      </c>
      <c r="C12" s="257" t="s">
        <v>96</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28" t="s">
        <v>2</v>
      </c>
      <c r="B14" s="222" t="s">
        <v>3</v>
      </c>
      <c r="C14" s="261" t="s">
        <v>87</v>
      </c>
      <c r="D14" s="222" t="s">
        <v>67</v>
      </c>
      <c r="E14" s="261" t="s">
        <v>170</v>
      </c>
      <c r="F14" s="225" t="s">
        <v>101</v>
      </c>
      <c r="G14" s="269" t="s">
        <v>90</v>
      </c>
      <c r="H14" s="218" t="s">
        <v>171</v>
      </c>
      <c r="I14" s="10"/>
      <c r="J14" s="218">
        <v>2020</v>
      </c>
      <c r="K14" s="218"/>
      <c r="L14" s="218"/>
      <c r="M14" s="218"/>
      <c r="N14" s="10"/>
      <c r="O14" s="218">
        <v>2021</v>
      </c>
      <c r="P14" s="218"/>
      <c r="Q14" s="218"/>
      <c r="R14" s="218"/>
      <c r="T14" s="218">
        <v>2022</v>
      </c>
      <c r="U14" s="218"/>
      <c r="V14" s="218"/>
      <c r="W14" s="218"/>
      <c r="Y14" s="218">
        <v>2023</v>
      </c>
      <c r="Z14" s="218"/>
      <c r="AA14" s="218"/>
      <c r="AB14" s="218"/>
      <c r="AD14" s="239">
        <v>2024</v>
      </c>
      <c r="AE14" s="240"/>
      <c r="AF14" s="240"/>
      <c r="AG14" s="240"/>
      <c r="AI14" s="270" t="s">
        <v>102</v>
      </c>
      <c r="AJ14" s="270"/>
      <c r="AK14" s="270"/>
      <c r="AL14" s="270"/>
      <c r="AM14" s="98"/>
    </row>
    <row r="15" spans="1:40" s="11" customFormat="1" ht="16.5" customHeight="1" x14ac:dyDescent="0.25">
      <c r="A15" s="229"/>
      <c r="B15" s="223"/>
      <c r="C15" s="226"/>
      <c r="D15" s="223"/>
      <c r="E15" s="226"/>
      <c r="F15" s="226"/>
      <c r="G15" s="269"/>
      <c r="H15" s="218"/>
      <c r="I15" s="10"/>
      <c r="J15" s="217" t="s">
        <v>4</v>
      </c>
      <c r="K15" s="217"/>
      <c r="L15" s="217" t="s">
        <v>61</v>
      </c>
      <c r="M15" s="217"/>
      <c r="N15" s="10"/>
      <c r="O15" s="217" t="s">
        <v>6</v>
      </c>
      <c r="P15" s="217"/>
      <c r="Q15" s="217" t="s">
        <v>8</v>
      </c>
      <c r="R15" s="217"/>
      <c r="S15" s="10"/>
      <c r="T15" s="217" t="s">
        <v>7</v>
      </c>
      <c r="U15" s="217"/>
      <c r="V15" s="217" t="s">
        <v>8</v>
      </c>
      <c r="W15" s="217"/>
      <c r="Y15" s="217" t="s">
        <v>7</v>
      </c>
      <c r="Z15" s="217"/>
      <c r="AA15" s="217" t="s">
        <v>8</v>
      </c>
      <c r="AB15" s="217"/>
      <c r="AD15" s="217" t="s">
        <v>7</v>
      </c>
      <c r="AE15" s="217"/>
      <c r="AF15" s="217" t="s">
        <v>8</v>
      </c>
      <c r="AG15" s="217"/>
      <c r="AI15" s="255" t="s">
        <v>4</v>
      </c>
      <c r="AJ15" s="255" t="s">
        <v>66</v>
      </c>
      <c r="AK15" s="255" t="s">
        <v>8</v>
      </c>
      <c r="AL15" s="255" t="s">
        <v>5</v>
      </c>
      <c r="AM15" s="98"/>
    </row>
    <row r="16" spans="1:40" s="11" customFormat="1" ht="33" x14ac:dyDescent="0.25">
      <c r="A16" s="230"/>
      <c r="B16" s="224"/>
      <c r="C16" s="262"/>
      <c r="D16" s="224"/>
      <c r="E16" s="262"/>
      <c r="F16" s="227"/>
      <c r="G16" s="269"/>
      <c r="H16" s="218"/>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56"/>
      <c r="AJ16" s="256"/>
      <c r="AK16" s="256"/>
      <c r="AL16" s="256"/>
      <c r="AM16" s="98" t="s">
        <v>182</v>
      </c>
      <c r="AN16" s="98" t="s">
        <v>183</v>
      </c>
    </row>
    <row r="17" spans="1:41" s="100" customFormat="1" ht="75.75" customHeight="1" x14ac:dyDescent="0.25">
      <c r="A17" s="237" t="s">
        <v>99</v>
      </c>
      <c r="B17" s="234" t="s">
        <v>100</v>
      </c>
      <c r="C17" s="234" t="s">
        <v>89</v>
      </c>
      <c r="D17" s="234" t="s">
        <v>151</v>
      </c>
      <c r="E17" s="264" t="str">
        <f>C10</f>
        <v xml:space="preserve">Aumentar el acceso a vivienda digna, espacio público y equipamientos de la población vulnerable en suelo urbano y rural </v>
      </c>
      <c r="F17" s="138" t="s">
        <v>160</v>
      </c>
      <c r="G17" s="138" t="s">
        <v>104</v>
      </c>
      <c r="H17" s="267" t="str">
        <f>C12</f>
        <v>Sistema Distrital de Cuidado</v>
      </c>
      <c r="I17" s="14"/>
      <c r="J17" s="126">
        <v>0.05</v>
      </c>
      <c r="K17" s="126">
        <v>0.05</v>
      </c>
      <c r="L17" s="158"/>
      <c r="M17" s="128"/>
      <c r="N17" s="23"/>
      <c r="O17" s="130">
        <v>0.3</v>
      </c>
      <c r="P17" s="203" t="s">
        <v>179</v>
      </c>
      <c r="Q17" s="128"/>
      <c r="R17" s="128"/>
      <c r="T17" s="132">
        <v>0.65</v>
      </c>
      <c r="U17" s="205">
        <v>0.4768</v>
      </c>
      <c r="V17" s="133"/>
      <c r="W17" s="134"/>
      <c r="X17" s="101"/>
      <c r="Y17" s="132">
        <v>0.95</v>
      </c>
      <c r="Z17" s="132">
        <v>0</v>
      </c>
      <c r="AA17" s="133"/>
      <c r="AB17" s="134"/>
      <c r="AC17" s="101"/>
      <c r="AD17" s="136">
        <v>1</v>
      </c>
      <c r="AE17" s="136">
        <v>0</v>
      </c>
      <c r="AF17" s="133"/>
      <c r="AG17" s="134"/>
      <c r="AI17" s="136">
        <f>AD17</f>
        <v>1</v>
      </c>
      <c r="AJ17" s="186">
        <f>+U17</f>
        <v>0.4768</v>
      </c>
      <c r="AK17" s="137">
        <f>L17+Q17+V17+AA17+AF17</f>
        <v>0</v>
      </c>
      <c r="AL17" s="137">
        <f>M17+R17+W17+AB17+AG17</f>
        <v>0</v>
      </c>
      <c r="AM17" s="125" t="s">
        <v>181</v>
      </c>
      <c r="AO17" s="206"/>
    </row>
    <row r="18" spans="1:41" ht="90" x14ac:dyDescent="0.25">
      <c r="A18" s="238"/>
      <c r="B18" s="235"/>
      <c r="C18" s="235"/>
      <c r="D18" s="235"/>
      <c r="E18" s="265"/>
      <c r="F18" s="13" t="s">
        <v>105</v>
      </c>
      <c r="G18" s="13" t="s">
        <v>172</v>
      </c>
      <c r="H18" s="268"/>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365</v>
      </c>
      <c r="V18" s="104">
        <f>5400553459/L1</f>
        <v>5400.5534589999997</v>
      </c>
      <c r="W18" s="105">
        <f>1645795264/L1</f>
        <v>1645.7952640000001</v>
      </c>
      <c r="X18" s="101"/>
      <c r="Y18" s="90">
        <v>290</v>
      </c>
      <c r="Z18" s="103">
        <v>0</v>
      </c>
      <c r="AA18" s="104">
        <f>4117000000/L1</f>
        <v>4117</v>
      </c>
      <c r="AB18" s="105"/>
      <c r="AC18" s="101"/>
      <c r="AD18" s="90">
        <v>10</v>
      </c>
      <c r="AE18" s="90">
        <v>0</v>
      </c>
      <c r="AF18" s="104">
        <f>269733265/L1</f>
        <v>269.73326500000002</v>
      </c>
      <c r="AG18" s="105"/>
      <c r="AH18" s="100"/>
      <c r="AI18" s="90">
        <f>J18+O18+T18+Y18+AD18</f>
        <v>1250</v>
      </c>
      <c r="AJ18" s="90">
        <f t="shared" ref="AJ18:AJ19" si="0">K18+P18+U18+Z18+AE18</f>
        <v>665</v>
      </c>
      <c r="AK18" s="62">
        <f t="shared" ref="AK18" si="1">L18+Q18+V18+AA18+AF18</f>
        <v>16029.610268999999</v>
      </c>
      <c r="AL18" s="62">
        <f t="shared" ref="AL18" si="2">M18+R18+W18+AB18+AG18</f>
        <v>7263.3770519999998</v>
      </c>
      <c r="AM18" s="99" t="s">
        <v>181</v>
      </c>
      <c r="AN18" s="212"/>
    </row>
    <row r="19" spans="1:41" ht="75" x14ac:dyDescent="0.25">
      <c r="A19" s="238"/>
      <c r="B19" s="235"/>
      <c r="C19" s="235"/>
      <c r="D19" s="235"/>
      <c r="E19" s="265"/>
      <c r="F19" s="13" t="s">
        <v>106</v>
      </c>
      <c r="G19" s="13" t="s">
        <v>107</v>
      </c>
      <c r="H19" s="268"/>
      <c r="I19" s="14"/>
      <c r="J19" s="15">
        <v>0</v>
      </c>
      <c r="K19" s="15">
        <v>0</v>
      </c>
      <c r="L19" s="159">
        <v>0</v>
      </c>
      <c r="M19" s="29"/>
      <c r="N19" s="23"/>
      <c r="O19" s="90">
        <v>0</v>
      </c>
      <c r="P19" s="15">
        <v>0</v>
      </c>
      <c r="Q19" s="29">
        <f>1456900000/L1</f>
        <v>1456.9</v>
      </c>
      <c r="R19" s="29">
        <f>1454454730/L1</f>
        <v>1454.4547299999999</v>
      </c>
      <c r="S19" s="100"/>
      <c r="T19" s="90">
        <v>60</v>
      </c>
      <c r="U19" s="103">
        <v>4</v>
      </c>
      <c r="V19" s="104">
        <f>5299280628/1000000</f>
        <v>5299.2806280000004</v>
      </c>
      <c r="W19" s="106">
        <f>4770763861/L1</f>
        <v>4770.7638610000004</v>
      </c>
      <c r="X19" s="101"/>
      <c r="Y19" s="90">
        <v>851</v>
      </c>
      <c r="Z19" s="103">
        <v>0</v>
      </c>
      <c r="AA19" s="104">
        <v>1082</v>
      </c>
      <c r="AB19" s="105"/>
      <c r="AC19" s="101"/>
      <c r="AD19" s="90">
        <v>339</v>
      </c>
      <c r="AE19" s="90">
        <v>0</v>
      </c>
      <c r="AF19" s="104">
        <v>1235</v>
      </c>
      <c r="AG19" s="106"/>
      <c r="AH19" s="100"/>
      <c r="AI19" s="90">
        <f>J19+O19+T19+Y19+AD19</f>
        <v>1250</v>
      </c>
      <c r="AJ19" s="90">
        <f t="shared" si="0"/>
        <v>4</v>
      </c>
      <c r="AK19" s="62">
        <f t="shared" ref="AK19" si="3">L19+Q19+V19+AA19+AF19</f>
        <v>9073.1806280000001</v>
      </c>
      <c r="AL19" s="62">
        <f t="shared" ref="AL19" si="4">M19+R19+W19+AB19+AG19</f>
        <v>6225.2185910000007</v>
      </c>
      <c r="AM19" s="198" t="s">
        <v>181</v>
      </c>
      <c r="AN19" s="212"/>
    </row>
    <row r="20" spans="1:41" ht="49.5" customHeight="1" x14ac:dyDescent="0.25">
      <c r="A20" s="238"/>
      <c r="B20" s="235"/>
      <c r="C20" s="235"/>
      <c r="D20" s="235"/>
      <c r="E20" s="265"/>
      <c r="F20" s="13" t="s">
        <v>178</v>
      </c>
      <c r="G20" s="13" t="s">
        <v>107</v>
      </c>
      <c r="H20" s="268"/>
      <c r="I20" s="14"/>
      <c r="J20" s="15">
        <v>0</v>
      </c>
      <c r="K20" s="15">
        <v>0</v>
      </c>
      <c r="L20" s="159">
        <v>0</v>
      </c>
      <c r="M20" s="29"/>
      <c r="N20" s="23"/>
      <c r="O20" s="90">
        <v>406</v>
      </c>
      <c r="P20" s="90">
        <v>406</v>
      </c>
      <c r="Q20" s="29">
        <f>165096800/L1</f>
        <v>165.0968</v>
      </c>
      <c r="R20" s="29">
        <f>123822600/L1</f>
        <v>123.82259999999999</v>
      </c>
      <c r="S20" s="100"/>
      <c r="T20" s="90">
        <v>743</v>
      </c>
      <c r="U20" s="103">
        <v>752</v>
      </c>
      <c r="V20" s="104">
        <f>546379292/1000000</f>
        <v>546.37929199999996</v>
      </c>
      <c r="W20" s="106">
        <f>46379292/L1</f>
        <v>46.379292</v>
      </c>
      <c r="X20" s="101"/>
      <c r="Y20" s="90">
        <v>3600</v>
      </c>
      <c r="Z20" s="103">
        <v>0</v>
      </c>
      <c r="AA20" s="104">
        <v>870</v>
      </c>
      <c r="AB20" s="105"/>
      <c r="AC20" s="101"/>
      <c r="AD20" s="90">
        <v>251</v>
      </c>
      <c r="AE20" s="90">
        <v>0</v>
      </c>
      <c r="AF20" s="104">
        <v>266</v>
      </c>
      <c r="AG20" s="106"/>
      <c r="AH20" s="100"/>
      <c r="AI20" s="90">
        <f>J20+O20+T20+Y20+AD20</f>
        <v>5000</v>
      </c>
      <c r="AJ20" s="90">
        <f t="shared" ref="AJ20" si="5">K20+P20+U20+Z20+AE20</f>
        <v>1158</v>
      </c>
      <c r="AK20" s="62">
        <f t="shared" ref="AK20" si="6">L20+Q20+V20+AA20+AF20</f>
        <v>1847.4760919999999</v>
      </c>
      <c r="AL20" s="62">
        <f t="shared" ref="AL20" si="7">M20+R20+W20+AB20+AG20</f>
        <v>170.20189199999999</v>
      </c>
      <c r="AM20" s="199" t="s">
        <v>181</v>
      </c>
      <c r="AN20" s="212"/>
    </row>
    <row r="21" spans="1:41" s="100" customFormat="1" ht="75.75" customHeight="1" x14ac:dyDescent="0.25">
      <c r="A21" s="238"/>
      <c r="B21" s="235"/>
      <c r="C21" s="235"/>
      <c r="D21" s="235"/>
      <c r="E21" s="265"/>
      <c r="F21" s="138" t="s">
        <v>159</v>
      </c>
      <c r="G21" s="138" t="s">
        <v>108</v>
      </c>
      <c r="H21" s="268"/>
      <c r="I21" s="14"/>
      <c r="J21" s="126">
        <v>0.3</v>
      </c>
      <c r="K21" s="126">
        <v>0.3</v>
      </c>
      <c r="L21" s="158"/>
      <c r="M21" s="128"/>
      <c r="N21" s="129"/>
      <c r="O21" s="130">
        <v>0.7</v>
      </c>
      <c r="P21" s="172">
        <v>0.67200000000000004</v>
      </c>
      <c r="Q21" s="128"/>
      <c r="R21" s="128"/>
      <c r="S21" s="131"/>
      <c r="T21" s="132">
        <v>0.9</v>
      </c>
      <c r="U21" s="132">
        <v>0.80879999999999996</v>
      </c>
      <c r="V21" s="133"/>
      <c r="W21" s="134"/>
      <c r="X21" s="135"/>
      <c r="Y21" s="132">
        <v>1</v>
      </c>
      <c r="Z21" s="132">
        <v>0</v>
      </c>
      <c r="AA21" s="133"/>
      <c r="AB21" s="134"/>
      <c r="AC21" s="135"/>
      <c r="AD21" s="136">
        <v>1</v>
      </c>
      <c r="AE21" s="136">
        <v>0</v>
      </c>
      <c r="AF21" s="133"/>
      <c r="AG21" s="134"/>
      <c r="AH21" s="131"/>
      <c r="AI21" s="136">
        <f>AD21</f>
        <v>1</v>
      </c>
      <c r="AJ21" s="186">
        <f>U21</f>
        <v>0.80879999999999996</v>
      </c>
      <c r="AK21" s="137">
        <f t="shared" ref="AJ21:AL22" si="8">L21+Q21+V21+AA21+AF21</f>
        <v>0</v>
      </c>
      <c r="AL21" s="137">
        <f t="shared" si="8"/>
        <v>0</v>
      </c>
      <c r="AM21" s="125" t="s">
        <v>181</v>
      </c>
    </row>
    <row r="22" spans="1:41" s="100" customFormat="1" ht="75.75" customHeight="1" x14ac:dyDescent="0.25">
      <c r="A22" s="238"/>
      <c r="B22" s="235"/>
      <c r="C22" s="235"/>
      <c r="D22" s="235"/>
      <c r="E22" s="265"/>
      <c r="F22" s="138" t="s">
        <v>159</v>
      </c>
      <c r="G22" s="138" t="s">
        <v>173</v>
      </c>
      <c r="H22" s="268"/>
      <c r="I22" s="14"/>
      <c r="J22" s="126">
        <v>1</v>
      </c>
      <c r="K22" s="126">
        <v>1</v>
      </c>
      <c r="L22" s="158"/>
      <c r="M22" s="128"/>
      <c r="N22" s="129"/>
      <c r="O22" s="136">
        <v>0</v>
      </c>
      <c r="P22" s="186">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8"/>
        <v>1</v>
      </c>
      <c r="AK22" s="137">
        <f t="shared" si="8"/>
        <v>0</v>
      </c>
      <c r="AL22" s="137">
        <f t="shared" si="8"/>
        <v>0</v>
      </c>
      <c r="AM22" s="125"/>
    </row>
    <row r="23" spans="1:41" ht="60" x14ac:dyDescent="0.25">
      <c r="A23" s="238"/>
      <c r="B23" s="235"/>
      <c r="C23" s="235"/>
      <c r="D23" s="235"/>
      <c r="E23" s="265"/>
      <c r="F23" s="13" t="s">
        <v>109</v>
      </c>
      <c r="G23" s="13" t="s">
        <v>110</v>
      </c>
      <c r="H23" s="268"/>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300</v>
      </c>
      <c r="V23" s="104">
        <f>2895131398/L1</f>
        <v>2895.131398</v>
      </c>
      <c r="W23" s="106">
        <f>1038775362/L1</f>
        <v>1038.7753620000001</v>
      </c>
      <c r="X23" s="101"/>
      <c r="Y23" s="90">
        <v>550</v>
      </c>
      <c r="Z23" s="103">
        <v>0</v>
      </c>
      <c r="AA23" s="104">
        <v>5050</v>
      </c>
      <c r="AB23" s="106"/>
      <c r="AC23" s="101"/>
      <c r="AD23" s="90">
        <v>50</v>
      </c>
      <c r="AE23" s="90">
        <v>0</v>
      </c>
      <c r="AF23" s="104">
        <v>1000</v>
      </c>
      <c r="AG23" s="106"/>
      <c r="AH23" s="100"/>
      <c r="AI23" s="90">
        <f>J23+O23+T23+Y23+AD23</f>
        <v>1500</v>
      </c>
      <c r="AJ23" s="90">
        <f t="shared" ref="AJ23" si="9">K23+P23+U23+Z23+AE23</f>
        <v>600</v>
      </c>
      <c r="AK23" s="62">
        <f t="shared" ref="AK23" si="10">L23+Q23+V23+AA23+AF23</f>
        <v>15980.677787999999</v>
      </c>
      <c r="AL23" s="62">
        <f t="shared" ref="AL23" si="11">M23+R23+W23+AB23+AG23</f>
        <v>7758.2684470000004</v>
      </c>
      <c r="AM23" s="92" t="s">
        <v>181</v>
      </c>
      <c r="AN23" s="212"/>
    </row>
    <row r="24" spans="1:41" s="100" customFormat="1" ht="75.75" customHeight="1" x14ac:dyDescent="0.25">
      <c r="A24" s="238"/>
      <c r="B24" s="235"/>
      <c r="C24" s="235"/>
      <c r="D24" s="235"/>
      <c r="E24" s="265"/>
      <c r="F24" s="138" t="s">
        <v>161</v>
      </c>
      <c r="G24" s="138" t="s">
        <v>111</v>
      </c>
      <c r="H24" s="268"/>
      <c r="I24" s="14"/>
      <c r="J24" s="126">
        <v>0.2</v>
      </c>
      <c r="K24" s="126">
        <v>0.2</v>
      </c>
      <c r="L24" s="158"/>
      <c r="M24" s="128"/>
      <c r="N24" s="129"/>
      <c r="O24" s="130">
        <v>0.45</v>
      </c>
      <c r="P24" s="204">
        <v>0.40749999999999997</v>
      </c>
      <c r="Q24" s="128"/>
      <c r="R24" s="128"/>
      <c r="S24" s="131"/>
      <c r="T24" s="132">
        <v>0.8</v>
      </c>
      <c r="U24" s="132">
        <v>0.53700000000000003</v>
      </c>
      <c r="V24" s="133"/>
      <c r="W24" s="134"/>
      <c r="X24" s="135"/>
      <c r="Y24" s="132">
        <v>1</v>
      </c>
      <c r="Z24" s="132">
        <v>0</v>
      </c>
      <c r="AA24" s="133"/>
      <c r="AB24" s="134"/>
      <c r="AC24" s="135"/>
      <c r="AD24" s="136">
        <v>1</v>
      </c>
      <c r="AE24" s="136">
        <v>0</v>
      </c>
      <c r="AF24" s="133"/>
      <c r="AG24" s="134"/>
      <c r="AH24" s="131"/>
      <c r="AI24" s="136">
        <f>+AD24</f>
        <v>1</v>
      </c>
      <c r="AJ24" s="186">
        <f>+U24</f>
        <v>0.53700000000000003</v>
      </c>
      <c r="AK24" s="137">
        <f>L24+Q24+V24+AA24+AF24</f>
        <v>0</v>
      </c>
      <c r="AL24" s="137">
        <f>M24+R24+W24+AB24+AG24</f>
        <v>0</v>
      </c>
      <c r="AM24" s="125" t="s">
        <v>181</v>
      </c>
    </row>
    <row r="25" spans="1:41" s="100" customFormat="1" ht="75" x14ac:dyDescent="0.25">
      <c r="A25" s="238"/>
      <c r="B25" s="236"/>
      <c r="C25" s="236"/>
      <c r="D25" s="236"/>
      <c r="E25" s="266"/>
      <c r="F25" s="13" t="s">
        <v>112</v>
      </c>
      <c r="G25" s="13" t="s">
        <v>111</v>
      </c>
      <c r="H25" s="268"/>
      <c r="I25" s="14"/>
      <c r="J25" s="26">
        <v>0.2</v>
      </c>
      <c r="K25" s="111">
        <v>0.2</v>
      </c>
      <c r="L25" s="159">
        <f>80000000/L1</f>
        <v>80</v>
      </c>
      <c r="M25" s="29">
        <v>37.799999999999997</v>
      </c>
      <c r="N25" s="23"/>
      <c r="O25" s="26">
        <v>0.45</v>
      </c>
      <c r="P25" s="189">
        <v>0.40749999999999997</v>
      </c>
      <c r="Q25" s="29">
        <f>2986400000/L1</f>
        <v>2986.4</v>
      </c>
      <c r="R25" s="29">
        <f>2978800000/L1</f>
        <v>2978.8</v>
      </c>
      <c r="T25" s="124">
        <v>0.8</v>
      </c>
      <c r="U25" s="124">
        <v>0.53700000000000003</v>
      </c>
      <c r="V25" s="104">
        <f>858655223/L1</f>
        <v>858.65522299999998</v>
      </c>
      <c r="W25" s="196">
        <f>734840000/L1</f>
        <v>734.84</v>
      </c>
      <c r="X25" s="101"/>
      <c r="Y25" s="124">
        <v>1</v>
      </c>
      <c r="Z25" s="124">
        <v>0</v>
      </c>
      <c r="AA25" s="104">
        <f>6188000000/L1</f>
        <v>6188</v>
      </c>
      <c r="AB25" s="105"/>
      <c r="AC25" s="101"/>
      <c r="AD25" s="111">
        <v>1</v>
      </c>
      <c r="AE25" s="111">
        <v>0</v>
      </c>
      <c r="AF25" s="104">
        <f>70000000/L1</f>
        <v>70</v>
      </c>
      <c r="AG25" s="105"/>
      <c r="AI25" s="111">
        <f>AD25</f>
        <v>1</v>
      </c>
      <c r="AJ25" s="149">
        <f>+U25</f>
        <v>0.53700000000000003</v>
      </c>
      <c r="AK25" s="62">
        <f t="shared" ref="AK25" si="12">L25+Q25+V25+AA25+AF25</f>
        <v>10183.055222999999</v>
      </c>
      <c r="AL25" s="62">
        <f t="shared" ref="AL25" si="13">M25+R25+W25+AB25+AG25</f>
        <v>3751.4400000000005</v>
      </c>
      <c r="AM25" s="125" t="s">
        <v>181</v>
      </c>
      <c r="AN25" s="206"/>
    </row>
    <row r="26" spans="1:41"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14999.999999999998</v>
      </c>
      <c r="W26" s="42">
        <f>SUM(W17:W25)</f>
        <v>8236.5537789999998</v>
      </c>
      <c r="Y26" s="41"/>
      <c r="Z26" s="41"/>
      <c r="AA26" s="42">
        <f>SUM(AA17:AA25)</f>
        <v>17307</v>
      </c>
      <c r="AB26" s="42">
        <f>SUM(AB17:AB25)</f>
        <v>0</v>
      </c>
      <c r="AC26" s="112"/>
      <c r="AD26" s="41"/>
      <c r="AE26" s="42"/>
      <c r="AF26" s="42">
        <f>SUM(AF17:AF25)</f>
        <v>2840.7332649999998</v>
      </c>
      <c r="AG26" s="42">
        <f>SUM(AG17:AG25)</f>
        <v>0</v>
      </c>
      <c r="AI26" s="96"/>
      <c r="AJ26" s="96"/>
      <c r="AK26" s="64">
        <f>SUM(AK17:AK25)</f>
        <v>53114</v>
      </c>
      <c r="AL26" s="64">
        <f>SUM(AL17:AL25)</f>
        <v>25168.505982000002</v>
      </c>
      <c r="AM26" s="98"/>
      <c r="AN26" s="25" t="s">
        <v>181</v>
      </c>
    </row>
    <row r="27" spans="1:41"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41" s="5" customFormat="1" ht="15.75" customHeight="1" x14ac:dyDescent="0.2">
      <c r="A28" s="263"/>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94"/>
    </row>
    <row r="29" spans="1:41"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41" x14ac:dyDescent="0.25">
      <c r="A30" s="142">
        <v>1</v>
      </c>
      <c r="B30" s="122" t="s">
        <v>94</v>
      </c>
      <c r="C30" s="257" t="s">
        <v>113</v>
      </c>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row>
    <row r="31" spans="1:41" x14ac:dyDescent="0.25">
      <c r="A31" s="141">
        <v>8</v>
      </c>
      <c r="B31" s="6" t="s">
        <v>157</v>
      </c>
      <c r="C31" s="257" t="s">
        <v>158</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row>
    <row r="32" spans="1:41" x14ac:dyDescent="0.25">
      <c r="A32" s="141">
        <v>19</v>
      </c>
      <c r="B32" s="6" t="s">
        <v>95</v>
      </c>
      <c r="C32" s="257" t="s">
        <v>156</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row>
    <row r="33" spans="1:43" ht="30" x14ac:dyDescent="0.25">
      <c r="A33" s="141">
        <v>3</v>
      </c>
      <c r="B33" s="123" t="s">
        <v>98</v>
      </c>
      <c r="C33" s="257" t="s">
        <v>114</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row>
    <row r="34" spans="1:43"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3" s="11" customFormat="1" ht="27" customHeight="1" x14ac:dyDescent="0.25">
      <c r="A35" s="228" t="s">
        <v>2</v>
      </c>
      <c r="B35" s="222" t="s">
        <v>3</v>
      </c>
      <c r="C35" s="261" t="s">
        <v>87</v>
      </c>
      <c r="D35" s="222" t="s">
        <v>67</v>
      </c>
      <c r="E35" s="261" t="s">
        <v>170</v>
      </c>
      <c r="F35" s="225" t="s">
        <v>101</v>
      </c>
      <c r="G35" s="269" t="s">
        <v>90</v>
      </c>
      <c r="H35" s="218" t="s">
        <v>171</v>
      </c>
      <c r="I35" s="10"/>
      <c r="J35" s="218">
        <v>2020</v>
      </c>
      <c r="K35" s="218"/>
      <c r="L35" s="218"/>
      <c r="M35" s="218"/>
      <c r="N35" s="10"/>
      <c r="O35" s="218">
        <v>2021</v>
      </c>
      <c r="P35" s="218"/>
      <c r="Q35" s="218"/>
      <c r="R35" s="218"/>
      <c r="T35" s="218">
        <v>2022</v>
      </c>
      <c r="U35" s="218"/>
      <c r="V35" s="218"/>
      <c r="W35" s="218"/>
      <c r="Y35" s="218">
        <v>2023</v>
      </c>
      <c r="Z35" s="218"/>
      <c r="AA35" s="218"/>
      <c r="AB35" s="218"/>
      <c r="AD35" s="239">
        <v>2024</v>
      </c>
      <c r="AE35" s="240"/>
      <c r="AF35" s="240"/>
      <c r="AG35" s="240"/>
      <c r="AI35" s="270" t="s">
        <v>102</v>
      </c>
      <c r="AJ35" s="270"/>
      <c r="AK35" s="270"/>
      <c r="AL35" s="270"/>
      <c r="AM35" s="98"/>
    </row>
    <row r="36" spans="1:43" s="11" customFormat="1" ht="16.5" customHeight="1" x14ac:dyDescent="0.25">
      <c r="A36" s="229"/>
      <c r="B36" s="223"/>
      <c r="C36" s="226"/>
      <c r="D36" s="223"/>
      <c r="E36" s="226"/>
      <c r="F36" s="226"/>
      <c r="G36" s="269"/>
      <c r="H36" s="218"/>
      <c r="I36" s="10"/>
      <c r="J36" s="217" t="s">
        <v>4</v>
      </c>
      <c r="K36" s="217"/>
      <c r="L36" s="217" t="s">
        <v>61</v>
      </c>
      <c r="M36" s="217"/>
      <c r="N36" s="10"/>
      <c r="O36" s="217" t="s">
        <v>6</v>
      </c>
      <c r="P36" s="217"/>
      <c r="Q36" s="217" t="s">
        <v>8</v>
      </c>
      <c r="R36" s="217"/>
      <c r="S36" s="10"/>
      <c r="T36" s="217" t="s">
        <v>7</v>
      </c>
      <c r="U36" s="217"/>
      <c r="V36" s="217" t="s">
        <v>8</v>
      </c>
      <c r="W36" s="217"/>
      <c r="Y36" s="217" t="s">
        <v>7</v>
      </c>
      <c r="Z36" s="217"/>
      <c r="AA36" s="217" t="s">
        <v>8</v>
      </c>
      <c r="AB36" s="217"/>
      <c r="AD36" s="217" t="s">
        <v>7</v>
      </c>
      <c r="AE36" s="217"/>
      <c r="AF36" s="217" t="s">
        <v>8</v>
      </c>
      <c r="AG36" s="217"/>
      <c r="AI36" s="255" t="s">
        <v>4</v>
      </c>
      <c r="AJ36" s="255" t="s">
        <v>66</v>
      </c>
      <c r="AK36" s="255" t="s">
        <v>8</v>
      </c>
      <c r="AL36" s="255" t="s">
        <v>5</v>
      </c>
      <c r="AM36" s="98"/>
    </row>
    <row r="37" spans="1:43" s="11" customFormat="1" ht="33" x14ac:dyDescent="0.25">
      <c r="A37" s="230"/>
      <c r="B37" s="224"/>
      <c r="C37" s="262"/>
      <c r="D37" s="224"/>
      <c r="E37" s="262"/>
      <c r="F37" s="227"/>
      <c r="G37" s="269"/>
      <c r="H37" s="218"/>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56"/>
      <c r="AJ37" s="256"/>
      <c r="AK37" s="256"/>
      <c r="AL37" s="256"/>
      <c r="AM37" s="98"/>
    </row>
    <row r="38" spans="1:43" ht="75.75" customHeight="1" x14ac:dyDescent="0.25">
      <c r="A38" s="237" t="s">
        <v>115</v>
      </c>
      <c r="B38" s="234" t="s">
        <v>116</v>
      </c>
      <c r="C38" s="234" t="s">
        <v>117</v>
      </c>
      <c r="D38" s="234" t="s">
        <v>152</v>
      </c>
      <c r="E38" s="234" t="str">
        <f>C31</f>
        <v xml:space="preserve">Aumentar el acceso a vivienda digna, espacio público y equipamientos de la población vulnerable en suelo urbano y rural </v>
      </c>
      <c r="F38" s="138" t="s">
        <v>162</v>
      </c>
      <c r="G38" s="138" t="s">
        <v>91</v>
      </c>
      <c r="H38" s="267" t="str">
        <f>C33</f>
        <v>Sistema Distrital de cuidado</v>
      </c>
      <c r="I38" s="14"/>
      <c r="J38" s="127">
        <v>433</v>
      </c>
      <c r="K38" s="127">
        <v>433</v>
      </c>
      <c r="L38" s="158"/>
      <c r="M38" s="128"/>
      <c r="N38" s="129"/>
      <c r="O38" s="144">
        <v>1005</v>
      </c>
      <c r="P38" s="144">
        <v>1005</v>
      </c>
      <c r="Q38" s="128"/>
      <c r="R38" s="128"/>
      <c r="S38" s="131"/>
      <c r="T38" s="145">
        <v>702</v>
      </c>
      <c r="U38" s="145">
        <v>663</v>
      </c>
      <c r="V38" s="133"/>
      <c r="W38" s="134"/>
      <c r="X38" s="135"/>
      <c r="Y38" s="145">
        <v>160</v>
      </c>
      <c r="Z38" s="145">
        <v>0</v>
      </c>
      <c r="AA38" s="133"/>
      <c r="AB38" s="134"/>
      <c r="AC38" s="135"/>
      <c r="AD38" s="146">
        <v>100</v>
      </c>
      <c r="AE38" s="146">
        <v>0</v>
      </c>
      <c r="AF38" s="133"/>
      <c r="AG38" s="134"/>
      <c r="AH38" s="131"/>
      <c r="AI38" s="146">
        <f t="shared" ref="AI38:AL41" si="14">J38+O38+T38+Y38+AD38</f>
        <v>2400</v>
      </c>
      <c r="AJ38" s="146">
        <f t="shared" si="14"/>
        <v>2101</v>
      </c>
      <c r="AK38" s="137">
        <f t="shared" si="14"/>
        <v>0</v>
      </c>
      <c r="AL38" s="137">
        <f t="shared" si="14"/>
        <v>0</v>
      </c>
      <c r="AM38" s="99" t="s">
        <v>181</v>
      </c>
      <c r="AN38" s="212"/>
    </row>
    <row r="39" spans="1:43" ht="75.75" customHeight="1" x14ac:dyDescent="0.25">
      <c r="A39" s="238"/>
      <c r="B39" s="235"/>
      <c r="C39" s="235"/>
      <c r="D39" s="235"/>
      <c r="E39" s="235"/>
      <c r="F39" s="13" t="s">
        <v>118</v>
      </c>
      <c r="G39" s="13" t="s">
        <v>91</v>
      </c>
      <c r="H39" s="268"/>
      <c r="I39" s="14"/>
      <c r="J39" s="107">
        <v>433</v>
      </c>
      <c r="K39" s="107">
        <v>433</v>
      </c>
      <c r="L39" s="161">
        <v>2485.9104860000002</v>
      </c>
      <c r="M39" s="29">
        <v>2462.6375039999998</v>
      </c>
      <c r="N39" s="23"/>
      <c r="O39" s="15">
        <v>1005</v>
      </c>
      <c r="P39" s="15">
        <v>1005</v>
      </c>
      <c r="Q39" s="63">
        <f>3174460251/L1</f>
        <v>3174.460251</v>
      </c>
      <c r="R39" s="29">
        <f>3173790307/L1</f>
        <v>3173.7903070000002</v>
      </c>
      <c r="S39" s="100"/>
      <c r="T39" s="200">
        <v>702</v>
      </c>
      <c r="U39" s="103">
        <v>663</v>
      </c>
      <c r="V39" s="63">
        <f>5850414112/L1</f>
        <v>5850.4141120000004</v>
      </c>
      <c r="W39" s="105">
        <f>1686104028/L1</f>
        <v>1686.104028</v>
      </c>
      <c r="X39" s="101"/>
      <c r="Y39" s="103">
        <v>160</v>
      </c>
      <c r="Z39" s="103">
        <v>0</v>
      </c>
      <c r="AA39" s="63">
        <v>1168</v>
      </c>
      <c r="AB39" s="105"/>
      <c r="AC39" s="101"/>
      <c r="AD39" s="90">
        <v>100</v>
      </c>
      <c r="AE39" s="90">
        <v>0</v>
      </c>
      <c r="AF39" s="104">
        <v>760</v>
      </c>
      <c r="AG39" s="105"/>
      <c r="AH39" s="100"/>
      <c r="AI39" s="90">
        <f t="shared" si="14"/>
        <v>2400</v>
      </c>
      <c r="AJ39" s="90">
        <f t="shared" si="14"/>
        <v>2101</v>
      </c>
      <c r="AK39" s="62">
        <f t="shared" si="14"/>
        <v>13438.784849</v>
      </c>
      <c r="AL39" s="62">
        <f t="shared" si="14"/>
        <v>7322.5318389999993</v>
      </c>
      <c r="AM39" s="99" t="s">
        <v>181</v>
      </c>
      <c r="AN39" s="213"/>
      <c r="AP39" s="8">
        <f>2650-2674</f>
        <v>-24</v>
      </c>
    </row>
    <row r="40" spans="1:43" ht="43.5" customHeight="1" x14ac:dyDescent="0.25">
      <c r="A40" s="238"/>
      <c r="B40" s="235"/>
      <c r="C40" s="235"/>
      <c r="D40" s="235"/>
      <c r="E40" s="235"/>
      <c r="F40" s="13" t="s">
        <v>121</v>
      </c>
      <c r="G40" s="13" t="s">
        <v>122</v>
      </c>
      <c r="H40" s="268"/>
      <c r="I40" s="14"/>
      <c r="J40" s="15">
        <v>1</v>
      </c>
      <c r="K40" s="15">
        <v>1</v>
      </c>
      <c r="L40" s="159">
        <v>3933.2635260000002</v>
      </c>
      <c r="M40" s="29">
        <v>3919.824286</v>
      </c>
      <c r="N40" s="23"/>
      <c r="O40" s="19">
        <v>0.35</v>
      </c>
      <c r="P40" s="195">
        <v>0.35</v>
      </c>
      <c r="Q40" s="63">
        <f>785812430/L1</f>
        <v>785.81242999999995</v>
      </c>
      <c r="R40" s="29">
        <f>783562430/L1</f>
        <v>783.56242999999995</v>
      </c>
      <c r="S40" s="100"/>
      <c r="T40" s="190">
        <v>0.52</v>
      </c>
      <c r="U40" s="103">
        <v>0</v>
      </c>
      <c r="V40" s="63">
        <f>678458888/L1</f>
        <v>678.458888</v>
      </c>
      <c r="W40" s="106">
        <f>287992005/L1</f>
        <v>287.99200500000001</v>
      </c>
      <c r="X40" s="101"/>
      <c r="Y40" s="190">
        <v>0.13</v>
      </c>
      <c r="Z40" s="103">
        <v>0</v>
      </c>
      <c r="AA40" s="104">
        <v>16</v>
      </c>
      <c r="AB40" s="104"/>
      <c r="AC40" s="101"/>
      <c r="AD40" s="90">
        <v>0</v>
      </c>
      <c r="AE40" s="90">
        <v>0</v>
      </c>
      <c r="AF40" s="104">
        <v>0</v>
      </c>
      <c r="AG40" s="104"/>
      <c r="AH40" s="100"/>
      <c r="AI40" s="90">
        <f>J40+O40+T40+Y40+AD40</f>
        <v>2</v>
      </c>
      <c r="AJ40" s="195">
        <f t="shared" si="14"/>
        <v>1.35</v>
      </c>
      <c r="AK40" s="62">
        <f t="shared" ref="AK40" si="15">L40+Q40+V40+AA40+AF40</f>
        <v>5413.5348440000007</v>
      </c>
      <c r="AL40" s="62">
        <f t="shared" si="14"/>
        <v>4991.378721</v>
      </c>
      <c r="AM40" s="99" t="s">
        <v>181</v>
      </c>
      <c r="AN40" s="214"/>
    </row>
    <row r="41" spans="1:43" ht="39.75" customHeight="1" x14ac:dyDescent="0.25">
      <c r="A41" s="238"/>
      <c r="B41" s="235"/>
      <c r="C41" s="235"/>
      <c r="D41" s="235"/>
      <c r="E41" s="235"/>
      <c r="F41" s="13" t="s">
        <v>119</v>
      </c>
      <c r="G41" s="13" t="s">
        <v>120</v>
      </c>
      <c r="H41" s="268"/>
      <c r="I41" s="14"/>
      <c r="J41" s="15">
        <v>1</v>
      </c>
      <c r="K41" s="15">
        <v>1</v>
      </c>
      <c r="L41" s="167">
        <v>1.1481950000000001</v>
      </c>
      <c r="M41" s="168">
        <v>1.1481950000000001</v>
      </c>
      <c r="N41" s="23"/>
      <c r="O41" s="15">
        <v>1</v>
      </c>
      <c r="P41" s="15">
        <v>1</v>
      </c>
      <c r="Q41" s="63">
        <f>704512319/L1</f>
        <v>704.51231900000005</v>
      </c>
      <c r="R41" s="29">
        <f>700993442/L1</f>
        <v>700.99344199999996</v>
      </c>
      <c r="S41" s="100"/>
      <c r="T41" s="103">
        <v>1</v>
      </c>
      <c r="U41" s="103">
        <v>0</v>
      </c>
      <c r="V41" s="104">
        <f>665300000/L1</f>
        <v>665.3</v>
      </c>
      <c r="W41" s="104">
        <f>507180000/L1</f>
        <v>507.18</v>
      </c>
      <c r="X41" s="101"/>
      <c r="Y41" s="103">
        <v>1</v>
      </c>
      <c r="Z41" s="103">
        <v>0</v>
      </c>
      <c r="AA41" s="104">
        <v>54</v>
      </c>
      <c r="AB41" s="106"/>
      <c r="AC41" s="101"/>
      <c r="AD41" s="90">
        <v>0</v>
      </c>
      <c r="AE41" s="90">
        <v>0</v>
      </c>
      <c r="AF41" s="104">
        <v>0</v>
      </c>
      <c r="AG41" s="106"/>
      <c r="AH41" s="100"/>
      <c r="AI41" s="90">
        <f>J41+O41+T41+Y41+AD41</f>
        <v>4</v>
      </c>
      <c r="AJ41" s="90">
        <f t="shared" ref="AJ41" si="16">K41+P41+U41+Z41+AE41</f>
        <v>2</v>
      </c>
      <c r="AK41" s="62">
        <f t="shared" si="14"/>
        <v>1424.9605139999999</v>
      </c>
      <c r="AL41" s="62">
        <f t="shared" ref="AL41" si="17">M41+R41+W41+AB41+AG41</f>
        <v>1209.321637</v>
      </c>
      <c r="AM41" s="198" t="s">
        <v>181</v>
      </c>
      <c r="AN41" s="212"/>
    </row>
    <row r="42" spans="1:43" ht="39.75" customHeight="1" x14ac:dyDescent="0.25">
      <c r="A42" s="152"/>
      <c r="B42" s="236"/>
      <c r="C42" s="236"/>
      <c r="D42" s="236"/>
      <c r="E42" s="236"/>
      <c r="F42" s="13" t="s">
        <v>185</v>
      </c>
      <c r="G42" s="216" t="s">
        <v>186</v>
      </c>
      <c r="H42" s="215"/>
      <c r="I42" s="14"/>
      <c r="J42" s="15">
        <v>0</v>
      </c>
      <c r="K42" s="15">
        <v>0</v>
      </c>
      <c r="L42" s="167"/>
      <c r="M42" s="168"/>
      <c r="N42" s="23"/>
      <c r="O42" s="15">
        <v>0</v>
      </c>
      <c r="P42" s="15">
        <v>0</v>
      </c>
      <c r="Q42" s="63"/>
      <c r="R42" s="29"/>
      <c r="S42" s="100"/>
      <c r="T42" s="124">
        <v>1</v>
      </c>
      <c r="U42" s="124">
        <v>0.31</v>
      </c>
      <c r="V42" s="104">
        <f>1655828000/L1</f>
        <v>1655.828</v>
      </c>
      <c r="W42" s="104">
        <f>69750000/L1</f>
        <v>69.75</v>
      </c>
      <c r="X42" s="101"/>
      <c r="Y42" s="124">
        <v>1</v>
      </c>
      <c r="Z42" s="103">
        <v>0</v>
      </c>
      <c r="AA42" s="104">
        <v>1506</v>
      </c>
      <c r="AB42" s="106"/>
      <c r="AC42" s="101"/>
      <c r="AD42" s="124">
        <v>1</v>
      </c>
      <c r="AE42" s="90">
        <v>0</v>
      </c>
      <c r="AF42" s="104">
        <v>1149</v>
      </c>
      <c r="AG42" s="106"/>
      <c r="AH42" s="100"/>
      <c r="AI42" s="111">
        <f>AD42</f>
        <v>1</v>
      </c>
      <c r="AJ42" s="149">
        <f>+U42</f>
        <v>0.31</v>
      </c>
      <c r="AK42" s="62">
        <f t="shared" ref="AK42" si="18">L42+Q42+V42+AA42+AF42</f>
        <v>4310.8279999999995</v>
      </c>
      <c r="AL42" s="62">
        <f t="shared" ref="AL42" si="19">M42+R42+W42+AB42+AG42</f>
        <v>69.75</v>
      </c>
      <c r="AM42" s="198" t="s">
        <v>181</v>
      </c>
      <c r="AN42" s="212"/>
    </row>
    <row r="43" spans="1:43" s="6" customFormat="1" ht="15.75" x14ac:dyDescent="0.25">
      <c r="A43" s="17"/>
      <c r="B43" s="118" t="s">
        <v>103</v>
      </c>
      <c r="C43" s="118"/>
      <c r="D43" s="118"/>
      <c r="E43" s="118"/>
      <c r="F43" s="39"/>
      <c r="G43" s="39"/>
      <c r="H43" s="39"/>
      <c r="I43" s="40"/>
      <c r="J43" s="41"/>
      <c r="K43" s="41"/>
      <c r="L43" s="160">
        <f>SUM(L38:L42)</f>
        <v>6420.3222070000002</v>
      </c>
      <c r="M43" s="160">
        <f>SUM(M38:M42)</f>
        <v>6383.6099849999991</v>
      </c>
      <c r="N43" s="51"/>
      <c r="O43" s="41"/>
      <c r="P43" s="41"/>
      <c r="Q43" s="160">
        <f>SUM(Q38:Q42)</f>
        <v>4664.7849999999999</v>
      </c>
      <c r="R43" s="160">
        <f>SUM(R38:R42)</f>
        <v>4658.3461790000001</v>
      </c>
      <c r="T43" s="41"/>
      <c r="U43" s="41"/>
      <c r="V43" s="160">
        <f>SUM(V38:V42)</f>
        <v>8850.0010000000002</v>
      </c>
      <c r="W43" s="160">
        <f>SUM(W38:W42)</f>
        <v>2551.0260330000001</v>
      </c>
      <c r="Y43" s="41"/>
      <c r="Z43" s="41"/>
      <c r="AA43" s="160">
        <f>SUM(AA38:AA42)</f>
        <v>2744</v>
      </c>
      <c r="AB43" s="42">
        <f>SUM(AB38:AB41)</f>
        <v>0</v>
      </c>
      <c r="AC43" s="112"/>
      <c r="AD43" s="41"/>
      <c r="AE43" s="42"/>
      <c r="AF43" s="160">
        <f>SUM(AF38:AF42)</f>
        <v>1909</v>
      </c>
      <c r="AG43" s="160">
        <f>SUM(AG38:AG42)</f>
        <v>0</v>
      </c>
      <c r="AI43" s="96"/>
      <c r="AJ43" s="96"/>
      <c r="AK43" s="160">
        <f>SUM(AK38:AK42)</f>
        <v>24588.108206999997</v>
      </c>
      <c r="AL43" s="160">
        <f>SUM(AL38:AL42)</f>
        <v>13592.982197000001</v>
      </c>
      <c r="AM43" s="98"/>
      <c r="AN43" s="25" t="s">
        <v>181</v>
      </c>
      <c r="AP43" s="6">
        <v>24587</v>
      </c>
      <c r="AQ43" s="25">
        <f>+AP43-AK43</f>
        <v>-1.1082069999974919</v>
      </c>
    </row>
    <row r="44" spans="1:43" x14ac:dyDescent="0.25">
      <c r="AN44" s="89"/>
    </row>
    <row r="45" spans="1:43" s="5" customFormat="1" ht="15.75" customHeight="1" x14ac:dyDescent="0.2">
      <c r="A45" s="263"/>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94"/>
    </row>
    <row r="46" spans="1:43" s="3" customFormat="1" ht="12.75" x14ac:dyDescent="0.2">
      <c r="A46" s="140"/>
      <c r="B46" s="4"/>
      <c r="C46" s="4"/>
      <c r="D46" s="4"/>
      <c r="E46" s="4"/>
      <c r="F46" s="4"/>
      <c r="G46" s="4"/>
      <c r="H46" s="4"/>
      <c r="I46" s="2"/>
      <c r="J46" s="140"/>
      <c r="K46" s="2"/>
      <c r="L46" s="155"/>
      <c r="M46" s="2"/>
      <c r="N46" s="2"/>
      <c r="O46" s="2"/>
      <c r="P46" s="2"/>
      <c r="Q46" s="2"/>
      <c r="R46" s="2"/>
      <c r="T46" s="102"/>
      <c r="U46" s="102"/>
      <c r="V46" s="102"/>
      <c r="W46" s="102"/>
      <c r="Y46" s="102"/>
      <c r="Z46" s="102"/>
      <c r="AA46" s="102"/>
      <c r="AB46" s="102"/>
      <c r="AD46" s="2"/>
      <c r="AE46" s="2"/>
      <c r="AF46" s="102"/>
      <c r="AG46" s="102"/>
      <c r="AI46" s="109"/>
      <c r="AJ46" s="109"/>
      <c r="AK46" s="109"/>
      <c r="AL46" s="110"/>
      <c r="AM46" s="93"/>
    </row>
    <row r="47" spans="1:43" x14ac:dyDescent="0.25">
      <c r="A47" s="142">
        <v>2</v>
      </c>
      <c r="B47" s="122" t="s">
        <v>94</v>
      </c>
      <c r="C47" s="257" t="s">
        <v>163</v>
      </c>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row>
    <row r="48" spans="1:43" ht="15.75" x14ac:dyDescent="0.25">
      <c r="A48" s="141">
        <v>15</v>
      </c>
      <c r="B48" s="6" t="s">
        <v>157</v>
      </c>
      <c r="C48" s="271" t="s">
        <v>164</v>
      </c>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row>
    <row r="49" spans="1:41" x14ac:dyDescent="0.25">
      <c r="A49" s="141">
        <v>29</v>
      </c>
      <c r="B49" s="6" t="s">
        <v>95</v>
      </c>
      <c r="C49" s="257" t="s">
        <v>165</v>
      </c>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row>
    <row r="50" spans="1:41" ht="30" x14ac:dyDescent="0.25">
      <c r="A50" s="141">
        <v>3</v>
      </c>
      <c r="B50" s="123" t="s">
        <v>98</v>
      </c>
      <c r="C50" s="257" t="s">
        <v>114</v>
      </c>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row>
    <row r="52" spans="1:41" s="11" customFormat="1" ht="27" customHeight="1" x14ac:dyDescent="0.25">
      <c r="A52" s="228" t="s">
        <v>2</v>
      </c>
      <c r="B52" s="222" t="s">
        <v>3</v>
      </c>
      <c r="C52" s="261" t="s">
        <v>87</v>
      </c>
      <c r="D52" s="222" t="s">
        <v>67</v>
      </c>
      <c r="E52" s="261" t="s">
        <v>170</v>
      </c>
      <c r="F52" s="225" t="s">
        <v>101</v>
      </c>
      <c r="G52" s="269" t="s">
        <v>90</v>
      </c>
      <c r="H52" s="218" t="s">
        <v>171</v>
      </c>
      <c r="I52" s="10"/>
      <c r="J52" s="218">
        <v>2020</v>
      </c>
      <c r="K52" s="218"/>
      <c r="L52" s="218"/>
      <c r="M52" s="218"/>
      <c r="N52" s="10"/>
      <c r="O52" s="218">
        <v>2021</v>
      </c>
      <c r="P52" s="218"/>
      <c r="Q52" s="218"/>
      <c r="R52" s="218"/>
      <c r="T52" s="218">
        <v>2022</v>
      </c>
      <c r="U52" s="218"/>
      <c r="V52" s="218"/>
      <c r="W52" s="218"/>
      <c r="Y52" s="218">
        <v>2023</v>
      </c>
      <c r="Z52" s="218"/>
      <c r="AA52" s="218"/>
      <c r="AB52" s="218"/>
      <c r="AD52" s="239">
        <v>2024</v>
      </c>
      <c r="AE52" s="240"/>
      <c r="AF52" s="240"/>
      <c r="AG52" s="240"/>
      <c r="AI52" s="270" t="s">
        <v>102</v>
      </c>
      <c r="AJ52" s="270"/>
      <c r="AK52" s="270"/>
      <c r="AL52" s="270"/>
      <c r="AM52" s="98"/>
    </row>
    <row r="53" spans="1:41" s="11" customFormat="1" ht="16.5" customHeight="1" x14ac:dyDescent="0.25">
      <c r="A53" s="229"/>
      <c r="B53" s="223"/>
      <c r="C53" s="226"/>
      <c r="D53" s="223"/>
      <c r="E53" s="226"/>
      <c r="F53" s="226"/>
      <c r="G53" s="269"/>
      <c r="H53" s="218"/>
      <c r="I53" s="10"/>
      <c r="J53" s="217" t="s">
        <v>4</v>
      </c>
      <c r="K53" s="217"/>
      <c r="L53" s="217" t="s">
        <v>61</v>
      </c>
      <c r="M53" s="217"/>
      <c r="N53" s="10"/>
      <c r="O53" s="217" t="s">
        <v>6</v>
      </c>
      <c r="P53" s="217"/>
      <c r="Q53" s="217" t="s">
        <v>8</v>
      </c>
      <c r="R53" s="217"/>
      <c r="S53" s="10"/>
      <c r="T53" s="217" t="s">
        <v>7</v>
      </c>
      <c r="U53" s="217"/>
      <c r="V53" s="217" t="s">
        <v>8</v>
      </c>
      <c r="W53" s="217"/>
      <c r="Y53" s="217" t="s">
        <v>7</v>
      </c>
      <c r="Z53" s="217"/>
      <c r="AA53" s="217" t="s">
        <v>8</v>
      </c>
      <c r="AB53" s="217"/>
      <c r="AD53" s="217" t="s">
        <v>7</v>
      </c>
      <c r="AE53" s="217"/>
      <c r="AF53" s="217" t="s">
        <v>8</v>
      </c>
      <c r="AG53" s="217"/>
      <c r="AI53" s="255" t="s">
        <v>4</v>
      </c>
      <c r="AJ53" s="255" t="s">
        <v>66</v>
      </c>
      <c r="AK53" s="255" t="s">
        <v>8</v>
      </c>
      <c r="AL53" s="255" t="s">
        <v>5</v>
      </c>
      <c r="AM53" s="98"/>
    </row>
    <row r="54" spans="1:41" s="11" customFormat="1" ht="33" x14ac:dyDescent="0.25">
      <c r="A54" s="230"/>
      <c r="B54" s="224"/>
      <c r="C54" s="262"/>
      <c r="D54" s="224"/>
      <c r="E54" s="262"/>
      <c r="F54" s="227"/>
      <c r="G54" s="269"/>
      <c r="H54" s="218"/>
      <c r="I54" s="12"/>
      <c r="J54" s="153" t="s">
        <v>59</v>
      </c>
      <c r="K54" s="116" t="s">
        <v>60</v>
      </c>
      <c r="L54" s="157" t="s">
        <v>64</v>
      </c>
      <c r="M54" s="116" t="s">
        <v>63</v>
      </c>
      <c r="N54" s="12"/>
      <c r="O54" s="61" t="s">
        <v>59</v>
      </c>
      <c r="P54" s="116" t="s">
        <v>60</v>
      </c>
      <c r="Q54" s="61" t="s">
        <v>62</v>
      </c>
      <c r="R54" s="116" t="s">
        <v>63</v>
      </c>
      <c r="S54" s="10"/>
      <c r="T54" s="61" t="s">
        <v>59</v>
      </c>
      <c r="U54" s="116" t="s">
        <v>60</v>
      </c>
      <c r="V54" s="116" t="s">
        <v>62</v>
      </c>
      <c r="W54" s="116" t="s">
        <v>63</v>
      </c>
      <c r="Y54" s="116" t="s">
        <v>59</v>
      </c>
      <c r="Z54" s="116" t="s">
        <v>60</v>
      </c>
      <c r="AA54" s="116" t="s">
        <v>64</v>
      </c>
      <c r="AB54" s="116" t="s">
        <v>63</v>
      </c>
      <c r="AD54" s="116" t="s">
        <v>59</v>
      </c>
      <c r="AE54" s="116" t="s">
        <v>60</v>
      </c>
      <c r="AF54" s="116" t="s">
        <v>64</v>
      </c>
      <c r="AG54" s="116" t="s">
        <v>63</v>
      </c>
      <c r="AI54" s="256"/>
      <c r="AJ54" s="256"/>
      <c r="AK54" s="256"/>
      <c r="AL54" s="256"/>
      <c r="AM54" s="98"/>
    </row>
    <row r="55" spans="1:41" ht="75.75" customHeight="1" x14ac:dyDescent="0.25">
      <c r="A55" s="237" t="s">
        <v>123</v>
      </c>
      <c r="B55" s="234" t="s">
        <v>125</v>
      </c>
      <c r="C55" s="234" t="s">
        <v>124</v>
      </c>
      <c r="D55" s="234" t="s">
        <v>153</v>
      </c>
      <c r="E55" s="234" t="str">
        <f>C48</f>
        <v xml:space="preserve">Intervenir integralmente áreas estratégicas de Bogotá teniendo en cuenta las dinámicas patrimoniales, ambientales, sociales y culturales  
</v>
      </c>
      <c r="F55" s="138" t="s">
        <v>126</v>
      </c>
      <c r="G55" s="138" t="s">
        <v>127</v>
      </c>
      <c r="H55" s="267" t="str">
        <f>C50</f>
        <v>Sistema Distrital de cuidado</v>
      </c>
      <c r="I55" s="14"/>
      <c r="J55" s="127">
        <v>410</v>
      </c>
      <c r="K55" s="127">
        <v>410</v>
      </c>
      <c r="L55" s="158"/>
      <c r="M55" s="128"/>
      <c r="N55" s="129"/>
      <c r="O55" s="146">
        <v>526</v>
      </c>
      <c r="P55" s="144">
        <v>526</v>
      </c>
      <c r="Q55" s="128"/>
      <c r="R55" s="128"/>
      <c r="S55" s="131"/>
      <c r="T55" s="145">
        <v>764</v>
      </c>
      <c r="U55" s="145">
        <v>370</v>
      </c>
      <c r="V55" s="133"/>
      <c r="W55" s="134"/>
      <c r="X55" s="135"/>
      <c r="Y55" s="145">
        <v>361</v>
      </c>
      <c r="Z55" s="145">
        <v>0</v>
      </c>
      <c r="AA55" s="133"/>
      <c r="AB55" s="134"/>
      <c r="AC55" s="135"/>
      <c r="AD55" s="146">
        <v>89</v>
      </c>
      <c r="AE55" s="146">
        <v>0</v>
      </c>
      <c r="AF55" s="133"/>
      <c r="AG55" s="134"/>
      <c r="AH55" s="131"/>
      <c r="AI55" s="146">
        <f>J55+O55+T55+Y55+AD55</f>
        <v>2150</v>
      </c>
      <c r="AJ55" s="146">
        <f>K55+P55+U55+Z55+AE55</f>
        <v>1306</v>
      </c>
      <c r="AK55" s="137">
        <f>L55+Q55+V55+AA55+AF55</f>
        <v>0</v>
      </c>
      <c r="AL55" s="137">
        <f>M55+R55+W55+AB55+AG55</f>
        <v>0</v>
      </c>
      <c r="AM55" s="99" t="s">
        <v>181</v>
      </c>
    </row>
    <row r="56" spans="1:41" ht="71.25" customHeight="1" x14ac:dyDescent="0.25">
      <c r="A56" s="238"/>
      <c r="B56" s="235"/>
      <c r="C56" s="235"/>
      <c r="D56" s="235"/>
      <c r="E56" s="235"/>
      <c r="F56" s="13" t="s">
        <v>128</v>
      </c>
      <c r="G56" s="13" t="s">
        <v>129</v>
      </c>
      <c r="H56" s="268"/>
      <c r="I56" s="14"/>
      <c r="J56" s="15">
        <v>54</v>
      </c>
      <c r="K56" s="90">
        <v>55</v>
      </c>
      <c r="L56" s="159">
        <v>5071.6473960000003</v>
      </c>
      <c r="M56" s="29">
        <v>4319.8978859999997</v>
      </c>
      <c r="N56" s="23"/>
      <c r="O56" s="15">
        <v>207</v>
      </c>
      <c r="P56" s="15">
        <v>207</v>
      </c>
      <c r="Q56" s="63">
        <f>10671009470/L1</f>
        <v>10671.009470000001</v>
      </c>
      <c r="R56" s="29">
        <f>10624208143/L1</f>
        <v>10624.208143</v>
      </c>
      <c r="S56" s="100"/>
      <c r="T56" s="103">
        <v>640</v>
      </c>
      <c r="U56" s="113">
        <v>101</v>
      </c>
      <c r="V56" s="104">
        <f>19267530000/L1</f>
        <v>19267.53</v>
      </c>
      <c r="W56" s="105">
        <f>11477786169/L1</f>
        <v>11477.786169000001</v>
      </c>
      <c r="X56" s="101"/>
      <c r="Y56" s="103">
        <v>225</v>
      </c>
      <c r="Z56" s="113">
        <v>0</v>
      </c>
      <c r="AA56" s="104">
        <v>17450</v>
      </c>
      <c r="AB56" s="105"/>
      <c r="AC56" s="101"/>
      <c r="AD56" s="90">
        <v>97</v>
      </c>
      <c r="AE56" s="90">
        <v>0</v>
      </c>
      <c r="AF56" s="104">
        <v>7077</v>
      </c>
      <c r="AG56" s="105"/>
      <c r="AH56" s="100"/>
      <c r="AI56" s="90">
        <f>J56+O56+T56+Y56+AD56</f>
        <v>1223</v>
      </c>
      <c r="AJ56" s="90">
        <f t="shared" ref="AJ56:AJ59" si="20">K56+P56+U56+Z56+AE56</f>
        <v>363</v>
      </c>
      <c r="AK56" s="62">
        <f t="shared" ref="AK56:AK60" si="21">L56+Q56+V56+AA56+AF56</f>
        <v>59537.186866000004</v>
      </c>
      <c r="AL56" s="62">
        <f t="shared" ref="AL56:AL60" si="22">M56+R56+W56+AB56+AG56</f>
        <v>26421.892198000001</v>
      </c>
      <c r="AM56" s="99" t="s">
        <v>181</v>
      </c>
      <c r="AN56" s="212"/>
    </row>
    <row r="57" spans="1:41" ht="66.75" customHeight="1" x14ac:dyDescent="0.25">
      <c r="A57" s="238"/>
      <c r="B57" s="235"/>
      <c r="C57" s="235"/>
      <c r="D57" s="235"/>
      <c r="E57" s="235"/>
      <c r="F57" s="13" t="s">
        <v>130</v>
      </c>
      <c r="G57" s="13" t="s">
        <v>131</v>
      </c>
      <c r="H57" s="268"/>
      <c r="I57" s="14"/>
      <c r="J57" s="15">
        <v>28</v>
      </c>
      <c r="K57" s="15">
        <v>27</v>
      </c>
      <c r="L57" s="159">
        <v>2969.3287610000002</v>
      </c>
      <c r="M57" s="29">
        <v>2928.9973829999999</v>
      </c>
      <c r="N57" s="23"/>
      <c r="O57" s="90">
        <v>37</v>
      </c>
      <c r="P57" s="90">
        <v>37</v>
      </c>
      <c r="Q57" s="63">
        <f>2731695509/L1</f>
        <v>2731.6955090000001</v>
      </c>
      <c r="R57" s="29">
        <f>2708768098/L1</f>
        <v>2708.768098</v>
      </c>
      <c r="S57" s="100"/>
      <c r="T57" s="103">
        <v>30</v>
      </c>
      <c r="U57" s="103">
        <v>25</v>
      </c>
      <c r="V57" s="104">
        <f>1899030920/L1</f>
        <v>1899.0309199999999</v>
      </c>
      <c r="W57" s="106">
        <f>1427117085/L1</f>
        <v>1427.1170850000001</v>
      </c>
      <c r="X57" s="101"/>
      <c r="Y57" s="103">
        <v>15</v>
      </c>
      <c r="Z57" s="103">
        <v>0</v>
      </c>
      <c r="AA57" s="104">
        <v>1125</v>
      </c>
      <c r="AB57" s="106"/>
      <c r="AC57" s="101"/>
      <c r="AD57" s="90">
        <v>6</v>
      </c>
      <c r="AE57" s="90">
        <v>0</v>
      </c>
      <c r="AF57" s="104">
        <v>540</v>
      </c>
      <c r="AG57" s="106"/>
      <c r="AH57" s="100"/>
      <c r="AI57" s="90">
        <f>J57+O57+T57+Y57+AD57</f>
        <v>116</v>
      </c>
      <c r="AJ57" s="90">
        <f t="shared" si="20"/>
        <v>89</v>
      </c>
      <c r="AK57" s="62">
        <f t="shared" si="21"/>
        <v>9265.0551899999991</v>
      </c>
      <c r="AL57" s="62">
        <f t="shared" si="22"/>
        <v>7064.8825660000002</v>
      </c>
      <c r="AM57" s="92" t="s">
        <v>181</v>
      </c>
      <c r="AN57" s="212"/>
    </row>
    <row r="58" spans="1:41" ht="58.5" customHeight="1" x14ac:dyDescent="0.25">
      <c r="A58" s="238"/>
      <c r="B58" s="235"/>
      <c r="C58" s="235"/>
      <c r="D58" s="235"/>
      <c r="E58" s="235"/>
      <c r="F58" s="13" t="s">
        <v>177</v>
      </c>
      <c r="G58" s="13" t="s">
        <v>132</v>
      </c>
      <c r="H58" s="268"/>
      <c r="I58" s="14"/>
      <c r="J58" s="15">
        <v>1497</v>
      </c>
      <c r="K58" s="15">
        <v>1484</v>
      </c>
      <c r="L58" s="159">
        <v>3667.6184499999999</v>
      </c>
      <c r="M58" s="29">
        <v>3203.0383700000002</v>
      </c>
      <c r="N58" s="23"/>
      <c r="O58" s="90">
        <v>1598</v>
      </c>
      <c r="P58" s="15">
        <v>1588</v>
      </c>
      <c r="Q58" s="29">
        <f>5904783901/L1</f>
        <v>5904.7839009999998</v>
      </c>
      <c r="R58" s="63">
        <f>5824458558/L1</f>
        <v>5824.4585580000003</v>
      </c>
      <c r="S58" s="100"/>
      <c r="T58" s="15">
        <v>1732</v>
      </c>
      <c r="U58" s="15">
        <v>1668</v>
      </c>
      <c r="V58" s="104">
        <f>5259734580/1000000</f>
        <v>5259.7345800000003</v>
      </c>
      <c r="W58" s="104">
        <f>2690744485/L1</f>
        <v>2690.7444850000002</v>
      </c>
      <c r="X58" s="101"/>
      <c r="Y58" s="200">
        <v>1812</v>
      </c>
      <c r="Z58" s="103">
        <v>0</v>
      </c>
      <c r="AA58" s="104">
        <v>4950</v>
      </c>
      <c r="AB58" s="104"/>
      <c r="AC58" s="101"/>
      <c r="AD58" s="90">
        <v>1850</v>
      </c>
      <c r="AE58" s="90">
        <v>0</v>
      </c>
      <c r="AF58" s="104">
        <v>2436</v>
      </c>
      <c r="AG58" s="104"/>
      <c r="AH58" s="100"/>
      <c r="AI58" s="90">
        <f>AD58</f>
        <v>1850</v>
      </c>
      <c r="AJ58" s="90">
        <f>+U58</f>
        <v>1668</v>
      </c>
      <c r="AK58" s="62">
        <f t="shared" si="21"/>
        <v>22218.136931000001</v>
      </c>
      <c r="AL58" s="62">
        <f t="shared" si="22"/>
        <v>11718.241413</v>
      </c>
      <c r="AM58" s="99" t="s">
        <v>181</v>
      </c>
      <c r="AN58" s="212"/>
    </row>
    <row r="59" spans="1:41" ht="43.5" customHeight="1" x14ac:dyDescent="0.25">
      <c r="A59" s="152"/>
      <c r="B59" s="235"/>
      <c r="C59" s="235"/>
      <c r="D59" s="235"/>
      <c r="E59" s="235"/>
      <c r="F59" s="211" t="s">
        <v>180</v>
      </c>
      <c r="G59" s="13" t="s">
        <v>132</v>
      </c>
      <c r="H59" s="187"/>
      <c r="I59" s="14"/>
      <c r="J59" s="15">
        <v>0</v>
      </c>
      <c r="K59" s="15">
        <v>0</v>
      </c>
      <c r="L59" s="159"/>
      <c r="M59" s="29"/>
      <c r="N59" s="23"/>
      <c r="O59" s="90">
        <v>797</v>
      </c>
      <c r="P59" s="90">
        <v>797</v>
      </c>
      <c r="Q59" s="63">
        <f>279171937/L1</f>
        <v>279.17193700000001</v>
      </c>
      <c r="R59" s="29">
        <f>279171937/L1</f>
        <v>279.17193700000001</v>
      </c>
      <c r="S59" s="100"/>
      <c r="T59" s="103">
        <v>620</v>
      </c>
      <c r="U59" s="103">
        <v>290</v>
      </c>
      <c r="V59" s="104">
        <f>550452000/1000000</f>
        <v>550.452</v>
      </c>
      <c r="W59" s="104">
        <f>312541480/L1</f>
        <v>312.54147999999998</v>
      </c>
      <c r="X59" s="101"/>
      <c r="Y59" s="200">
        <v>281</v>
      </c>
      <c r="Z59" s="103">
        <v>0</v>
      </c>
      <c r="AA59" s="104">
        <v>581</v>
      </c>
      <c r="AB59" s="104"/>
      <c r="AC59" s="101"/>
      <c r="AD59" s="90">
        <v>51</v>
      </c>
      <c r="AE59" s="90">
        <v>0</v>
      </c>
      <c r="AF59" s="104">
        <v>452</v>
      </c>
      <c r="AG59" s="104"/>
      <c r="AH59" s="100"/>
      <c r="AI59" s="90">
        <f t="shared" ref="AI59" si="23">J59+O59+T59+Y59+AD59</f>
        <v>1749</v>
      </c>
      <c r="AJ59" s="90">
        <f t="shared" si="20"/>
        <v>1087</v>
      </c>
      <c r="AK59" s="62">
        <f t="shared" si="21"/>
        <v>1862.6239370000001</v>
      </c>
      <c r="AL59" s="62">
        <f t="shared" si="22"/>
        <v>591.71341699999994</v>
      </c>
      <c r="AM59" s="99" t="s">
        <v>181</v>
      </c>
      <c r="AN59" s="212"/>
    </row>
    <row r="60" spans="1:41" ht="109.5" customHeight="1" x14ac:dyDescent="0.25">
      <c r="A60" s="152"/>
      <c r="B60" s="236"/>
      <c r="C60" s="236"/>
      <c r="D60" s="236"/>
      <c r="E60" s="236"/>
      <c r="F60" s="13" t="s">
        <v>176</v>
      </c>
      <c r="G60" s="13" t="s">
        <v>132</v>
      </c>
      <c r="H60" s="187"/>
      <c r="I60" s="14"/>
      <c r="J60" s="15">
        <v>0</v>
      </c>
      <c r="K60" s="15">
        <v>0</v>
      </c>
      <c r="L60" s="159"/>
      <c r="M60" s="29"/>
      <c r="N60" s="23"/>
      <c r="O60" s="26">
        <v>1</v>
      </c>
      <c r="P60" s="188">
        <v>1</v>
      </c>
      <c r="Q60" s="63">
        <f>4077434183/L1</f>
        <v>4077.4341829999998</v>
      </c>
      <c r="R60" s="29">
        <f>4077434183/L1</f>
        <v>4077.4341829999998</v>
      </c>
      <c r="S60" s="100"/>
      <c r="T60" s="26">
        <v>1</v>
      </c>
      <c r="U60" s="188">
        <v>1</v>
      </c>
      <c r="V60" s="104">
        <f>6639674500/L1</f>
        <v>6639.6745000000001</v>
      </c>
      <c r="W60" s="104">
        <f>3405182186/L1</f>
        <v>3405.182186</v>
      </c>
      <c r="X60" s="101"/>
      <c r="Y60" s="26">
        <v>1</v>
      </c>
      <c r="Z60" s="103">
        <v>0</v>
      </c>
      <c r="AA60" s="104">
        <v>8033</v>
      </c>
      <c r="AB60" s="104"/>
      <c r="AC60" s="101"/>
      <c r="AD60" s="26">
        <v>1</v>
      </c>
      <c r="AE60" s="90"/>
      <c r="AF60" s="104">
        <v>6251</v>
      </c>
      <c r="AG60" s="104"/>
      <c r="AH60" s="100"/>
      <c r="AI60" s="111">
        <f>AD60</f>
        <v>1</v>
      </c>
      <c r="AJ60" s="188">
        <f>(P60+U60+Z60+AE60)/2</f>
        <v>1</v>
      </c>
      <c r="AK60" s="62">
        <f t="shared" si="21"/>
        <v>25001.108682999999</v>
      </c>
      <c r="AL60" s="62">
        <f t="shared" si="22"/>
        <v>7482.6163689999994</v>
      </c>
      <c r="AM60" s="99" t="s">
        <v>181</v>
      </c>
      <c r="AN60" s="212"/>
    </row>
    <row r="61" spans="1:41" s="6" customFormat="1" ht="15.75" x14ac:dyDescent="0.25">
      <c r="A61" s="17"/>
      <c r="B61" s="118" t="s">
        <v>103</v>
      </c>
      <c r="C61" s="118"/>
      <c r="D61" s="118"/>
      <c r="E61" s="118"/>
      <c r="F61" s="39"/>
      <c r="G61" s="39"/>
      <c r="H61" s="39"/>
      <c r="I61" s="40"/>
      <c r="J61" s="41"/>
      <c r="K61" s="41"/>
      <c r="L61" s="160">
        <f>SUM(L55:L60)</f>
        <v>11708.594607000001</v>
      </c>
      <c r="M61" s="160">
        <f>SUM(M55:M60)</f>
        <v>10451.933638999999</v>
      </c>
      <c r="N61" s="51"/>
      <c r="O61" s="41"/>
      <c r="P61" s="41"/>
      <c r="Q61" s="160">
        <f>SUM(Q55:Q60)</f>
        <v>23664.095000000001</v>
      </c>
      <c r="R61" s="160">
        <f>SUM(R55:R60)</f>
        <v>23514.040919000003</v>
      </c>
      <c r="T61" s="41"/>
      <c r="U61" s="41"/>
      <c r="V61" s="160">
        <f>SUM(V55:V60)</f>
        <v>33616.421999999999</v>
      </c>
      <c r="W61" s="42">
        <f>SUM(W55:W60)</f>
        <v>19313.371404999998</v>
      </c>
      <c r="Y61" s="41"/>
      <c r="Z61" s="41"/>
      <c r="AA61" s="160">
        <f>SUM(AA55:AA60)</f>
        <v>32139</v>
      </c>
      <c r="AB61" s="42">
        <f>SUM(AB55:AB58)</f>
        <v>0</v>
      </c>
      <c r="AC61" s="112"/>
      <c r="AD61" s="41"/>
      <c r="AE61" s="42"/>
      <c r="AF61" s="160">
        <f>SUM(AF55:AF60)</f>
        <v>16756</v>
      </c>
      <c r="AG61" s="42">
        <f>SUM(AG55:AG58)</f>
        <v>0</v>
      </c>
      <c r="AI61" s="96"/>
      <c r="AJ61" s="96"/>
      <c r="AK61" s="160">
        <f>SUM(AK55:AK60)</f>
        <v>117884.111607</v>
      </c>
      <c r="AL61" s="160">
        <f>SUM(AL55:AL60)</f>
        <v>53279.345963</v>
      </c>
      <c r="AM61" s="98"/>
      <c r="AN61" s="212" t="s">
        <v>181</v>
      </c>
      <c r="AO61" s="191"/>
    </row>
    <row r="62" spans="1:41" x14ac:dyDescent="0.25">
      <c r="AO62" s="192"/>
    </row>
    <row r="63" spans="1:41" s="5" customFormat="1" ht="15.75" customHeight="1" x14ac:dyDescent="0.2">
      <c r="A63" s="263"/>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94"/>
    </row>
    <row r="64" spans="1:41" s="3" customFormat="1" ht="12.75" x14ac:dyDescent="0.2">
      <c r="A64" s="140"/>
      <c r="B64" s="4"/>
      <c r="C64" s="4"/>
      <c r="D64" s="4"/>
      <c r="E64" s="4"/>
      <c r="F64" s="4"/>
      <c r="G64" s="4"/>
      <c r="H64" s="4"/>
      <c r="I64" s="2"/>
      <c r="J64" s="140"/>
      <c r="K64" s="2"/>
      <c r="L64" s="155"/>
      <c r="M64" s="2"/>
      <c r="N64" s="2"/>
      <c r="O64" s="2"/>
      <c r="P64" s="2"/>
      <c r="Q64" s="2"/>
      <c r="R64" s="2"/>
      <c r="T64" s="102"/>
      <c r="U64" s="102"/>
      <c r="V64" s="102"/>
      <c r="W64" s="102"/>
      <c r="Y64" s="102"/>
      <c r="Z64" s="102"/>
      <c r="AA64" s="102"/>
      <c r="AB64" s="102"/>
      <c r="AD64" s="2"/>
      <c r="AE64" s="2"/>
      <c r="AF64" s="102"/>
      <c r="AG64" s="102"/>
      <c r="AI64" s="109"/>
      <c r="AJ64" s="109"/>
      <c r="AK64" s="109"/>
      <c r="AL64" s="110"/>
      <c r="AM64" s="93"/>
    </row>
    <row r="65" spans="1:40" x14ac:dyDescent="0.25">
      <c r="A65" s="142">
        <v>1</v>
      </c>
      <c r="B65" s="122" t="s">
        <v>94</v>
      </c>
      <c r="C65" s="257" t="s">
        <v>113</v>
      </c>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row>
    <row r="66" spans="1:40" x14ac:dyDescent="0.25">
      <c r="A66" s="141">
        <v>8</v>
      </c>
      <c r="B66" s="6" t="s">
        <v>157</v>
      </c>
      <c r="C66" s="257" t="s">
        <v>158</v>
      </c>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row>
    <row r="67" spans="1:40" x14ac:dyDescent="0.25">
      <c r="A67" s="141">
        <v>19</v>
      </c>
      <c r="B67" s="6" t="s">
        <v>95</v>
      </c>
      <c r="C67" s="257" t="s">
        <v>156</v>
      </c>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row>
    <row r="68" spans="1:40" ht="30" x14ac:dyDescent="0.25">
      <c r="A68" s="141">
        <v>3</v>
      </c>
      <c r="B68" s="123" t="s">
        <v>98</v>
      </c>
      <c r="C68" s="257" t="s">
        <v>114</v>
      </c>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row>
    <row r="70" spans="1:40" s="11" customFormat="1" ht="27" customHeight="1" x14ac:dyDescent="0.25">
      <c r="A70" s="228" t="s">
        <v>2</v>
      </c>
      <c r="B70" s="222" t="s">
        <v>3</v>
      </c>
      <c r="C70" s="261" t="s">
        <v>87</v>
      </c>
      <c r="D70" s="222" t="s">
        <v>67</v>
      </c>
      <c r="E70" s="261" t="s">
        <v>170</v>
      </c>
      <c r="F70" s="225" t="s">
        <v>101</v>
      </c>
      <c r="G70" s="269" t="s">
        <v>90</v>
      </c>
      <c r="H70" s="218" t="s">
        <v>171</v>
      </c>
      <c r="I70" s="10"/>
      <c r="J70" s="218">
        <v>2020</v>
      </c>
      <c r="K70" s="218"/>
      <c r="L70" s="218"/>
      <c r="M70" s="218"/>
      <c r="N70" s="10"/>
      <c r="O70" s="218">
        <v>2021</v>
      </c>
      <c r="P70" s="218"/>
      <c r="Q70" s="218"/>
      <c r="R70" s="218"/>
      <c r="T70" s="218">
        <v>2022</v>
      </c>
      <c r="U70" s="218"/>
      <c r="V70" s="218"/>
      <c r="W70" s="218"/>
      <c r="Y70" s="218">
        <v>2023</v>
      </c>
      <c r="Z70" s="218"/>
      <c r="AA70" s="218"/>
      <c r="AB70" s="218"/>
      <c r="AD70" s="239">
        <v>2024</v>
      </c>
      <c r="AE70" s="240"/>
      <c r="AF70" s="240"/>
      <c r="AG70" s="240"/>
      <c r="AI70" s="270" t="s">
        <v>102</v>
      </c>
      <c r="AJ70" s="270"/>
      <c r="AK70" s="270"/>
      <c r="AL70" s="270"/>
      <c r="AM70" s="98"/>
    </row>
    <row r="71" spans="1:40" s="11" customFormat="1" ht="16.5" customHeight="1" x14ac:dyDescent="0.25">
      <c r="A71" s="229"/>
      <c r="B71" s="223"/>
      <c r="C71" s="226"/>
      <c r="D71" s="223"/>
      <c r="E71" s="226"/>
      <c r="F71" s="226"/>
      <c r="G71" s="269"/>
      <c r="H71" s="218"/>
      <c r="I71" s="10"/>
      <c r="J71" s="217" t="s">
        <v>4</v>
      </c>
      <c r="K71" s="217"/>
      <c r="L71" s="217" t="s">
        <v>61</v>
      </c>
      <c r="M71" s="217"/>
      <c r="N71" s="10"/>
      <c r="O71" s="217" t="s">
        <v>6</v>
      </c>
      <c r="P71" s="217"/>
      <c r="Q71" s="217" t="s">
        <v>8</v>
      </c>
      <c r="R71" s="217"/>
      <c r="S71" s="10"/>
      <c r="T71" s="217" t="s">
        <v>7</v>
      </c>
      <c r="U71" s="217"/>
      <c r="V71" s="217" t="s">
        <v>8</v>
      </c>
      <c r="W71" s="217"/>
      <c r="Y71" s="217" t="s">
        <v>7</v>
      </c>
      <c r="Z71" s="217"/>
      <c r="AA71" s="217" t="s">
        <v>8</v>
      </c>
      <c r="AB71" s="217"/>
      <c r="AD71" s="217" t="s">
        <v>7</v>
      </c>
      <c r="AE71" s="217"/>
      <c r="AF71" s="217" t="s">
        <v>8</v>
      </c>
      <c r="AG71" s="217"/>
      <c r="AI71" s="255" t="s">
        <v>4</v>
      </c>
      <c r="AJ71" s="255" t="s">
        <v>66</v>
      </c>
      <c r="AK71" s="255" t="s">
        <v>8</v>
      </c>
      <c r="AL71" s="255" t="s">
        <v>5</v>
      </c>
      <c r="AM71" s="98"/>
    </row>
    <row r="72" spans="1:40" s="11" customFormat="1" ht="33" x14ac:dyDescent="0.25">
      <c r="A72" s="230"/>
      <c r="B72" s="224"/>
      <c r="C72" s="262"/>
      <c r="D72" s="224"/>
      <c r="E72" s="262"/>
      <c r="F72" s="227"/>
      <c r="G72" s="269"/>
      <c r="H72" s="218"/>
      <c r="I72" s="12"/>
      <c r="J72" s="153" t="s">
        <v>59</v>
      </c>
      <c r="K72" s="116" t="s">
        <v>60</v>
      </c>
      <c r="L72" s="157" t="s">
        <v>64</v>
      </c>
      <c r="M72" s="116" t="s">
        <v>63</v>
      </c>
      <c r="N72" s="12"/>
      <c r="O72" s="61" t="s">
        <v>59</v>
      </c>
      <c r="P72" s="116" t="s">
        <v>60</v>
      </c>
      <c r="Q72" s="61" t="s">
        <v>64</v>
      </c>
      <c r="R72" s="116" t="s">
        <v>63</v>
      </c>
      <c r="S72" s="10"/>
      <c r="T72" s="61" t="s">
        <v>59</v>
      </c>
      <c r="U72" s="116" t="s">
        <v>60</v>
      </c>
      <c r="V72" s="116" t="s">
        <v>64</v>
      </c>
      <c r="W72" s="116" t="s">
        <v>63</v>
      </c>
      <c r="Y72" s="116" t="s">
        <v>59</v>
      </c>
      <c r="Z72" s="116" t="s">
        <v>60</v>
      </c>
      <c r="AA72" s="116" t="s">
        <v>64</v>
      </c>
      <c r="AB72" s="116" t="s">
        <v>63</v>
      </c>
      <c r="AD72" s="116" t="s">
        <v>59</v>
      </c>
      <c r="AE72" s="116" t="s">
        <v>60</v>
      </c>
      <c r="AF72" s="116" t="s">
        <v>64</v>
      </c>
      <c r="AG72" s="116" t="s">
        <v>63</v>
      </c>
      <c r="AI72" s="256"/>
      <c r="AJ72" s="256"/>
      <c r="AK72" s="256"/>
      <c r="AL72" s="256"/>
      <c r="AM72" s="98"/>
    </row>
    <row r="73" spans="1:40" ht="75.75" customHeight="1" x14ac:dyDescent="0.25">
      <c r="A73" s="237" t="s">
        <v>133</v>
      </c>
      <c r="B73" s="234" t="s">
        <v>134</v>
      </c>
      <c r="C73" s="234" t="s">
        <v>88</v>
      </c>
      <c r="D73" s="234" t="s">
        <v>154</v>
      </c>
      <c r="E73" s="264" t="str">
        <f>C66</f>
        <v xml:space="preserve">Aumentar el acceso a vivienda digna, espacio público y equipamientos de la población vulnerable en suelo urbano y rural </v>
      </c>
      <c r="F73" s="138" t="s">
        <v>167</v>
      </c>
      <c r="G73" s="138" t="s">
        <v>175</v>
      </c>
      <c r="H73" s="267" t="str">
        <f>C68</f>
        <v>Sistema Distrital de cuidado</v>
      </c>
      <c r="I73" s="14"/>
      <c r="J73" s="148">
        <v>17305.599999999999</v>
      </c>
      <c r="K73" s="127">
        <v>17000</v>
      </c>
      <c r="L73" s="158"/>
      <c r="M73" s="128"/>
      <c r="N73" s="129"/>
      <c r="O73" s="148">
        <v>14571.12</v>
      </c>
      <c r="P73" s="148">
        <v>14571.12</v>
      </c>
      <c r="Q73" s="128"/>
      <c r="R73" s="128"/>
      <c r="S73" s="131"/>
      <c r="T73" s="144">
        <v>44428.88</v>
      </c>
      <c r="U73" s="144">
        <v>21266</v>
      </c>
      <c r="V73" s="133"/>
      <c r="W73" s="134"/>
      <c r="X73" s="135"/>
      <c r="Y73" s="144">
        <v>23750</v>
      </c>
      <c r="Z73" s="145">
        <v>0</v>
      </c>
      <c r="AA73" s="133"/>
      <c r="AB73" s="134"/>
      <c r="AC73" s="135"/>
      <c r="AD73" s="193">
        <v>6944.4</v>
      </c>
      <c r="AE73" s="146">
        <v>0</v>
      </c>
      <c r="AF73" s="133"/>
      <c r="AG73" s="134"/>
      <c r="AH73" s="131"/>
      <c r="AI73" s="146">
        <f>J73+O73+T73+Y73+AD73</f>
        <v>107000</v>
      </c>
      <c r="AJ73" s="146">
        <f>K73+P73+U73+Z73+AE73</f>
        <v>52837.120000000003</v>
      </c>
      <c r="AK73" s="137">
        <f>L73+Q73+V73+AA73+AF73</f>
        <v>0</v>
      </c>
      <c r="AL73" s="137">
        <f>M73+R73+W73+AB73+AG73</f>
        <v>0</v>
      </c>
      <c r="AM73" s="99" t="s">
        <v>181</v>
      </c>
    </row>
    <row r="74" spans="1:40" ht="43.5" customHeight="1" x14ac:dyDescent="0.25">
      <c r="A74" s="238"/>
      <c r="B74" s="235"/>
      <c r="C74" s="235"/>
      <c r="D74" s="235"/>
      <c r="E74" s="265"/>
      <c r="F74" s="13" t="s">
        <v>174</v>
      </c>
      <c r="G74" s="13" t="s">
        <v>135</v>
      </c>
      <c r="H74" s="268"/>
      <c r="I74" s="14"/>
      <c r="J74" s="147">
        <v>17305.599999999999</v>
      </c>
      <c r="K74" s="107">
        <v>17000</v>
      </c>
      <c r="L74" s="161">
        <f>3602795429/L1</f>
        <v>3602.7954289999998</v>
      </c>
      <c r="M74" s="29">
        <v>3501.5279959999998</v>
      </c>
      <c r="N74" s="23"/>
      <c r="O74" s="107">
        <v>14571.12</v>
      </c>
      <c r="P74" s="107">
        <v>14571.12</v>
      </c>
      <c r="Q74" s="63">
        <v>61555</v>
      </c>
      <c r="R74" s="63">
        <v>56013</v>
      </c>
      <c r="S74" s="100"/>
      <c r="T74" s="90">
        <v>44428.88</v>
      </c>
      <c r="U74" s="90">
        <v>21266</v>
      </c>
      <c r="V74" s="104">
        <f>18764000000/L1</f>
        <v>18764</v>
      </c>
      <c r="W74" s="105">
        <f>1171406912/L1</f>
        <v>1171.4069119999999</v>
      </c>
      <c r="X74" s="101"/>
      <c r="Y74" s="90">
        <v>23750</v>
      </c>
      <c r="Z74" s="103">
        <v>0</v>
      </c>
      <c r="AA74" s="104">
        <v>17113</v>
      </c>
      <c r="AB74" s="105"/>
      <c r="AC74" s="101"/>
      <c r="AD74" s="194">
        <v>6944.4</v>
      </c>
      <c r="AE74" s="90">
        <v>0</v>
      </c>
      <c r="AF74" s="104">
        <f>7304686059/L1</f>
        <v>7304.6860589999997</v>
      </c>
      <c r="AG74" s="105"/>
      <c r="AH74" s="100"/>
      <c r="AI74" s="90">
        <f>J74+O74+T74+Y74+AD74</f>
        <v>107000</v>
      </c>
      <c r="AJ74" s="90">
        <f>K74+P74+U74+Z74+AE74</f>
        <v>52837.120000000003</v>
      </c>
      <c r="AK74" s="62">
        <f t="shared" ref="AK74" si="24">L74+Q74+V74+AA74+AF74</f>
        <v>108339.48148799999</v>
      </c>
      <c r="AL74" s="62">
        <f t="shared" ref="AL74:AL75" si="25">M74+R74+W74+AB74+AG74</f>
        <v>60685.934907999996</v>
      </c>
      <c r="AM74" s="99" t="s">
        <v>181</v>
      </c>
      <c r="AN74" s="212"/>
    </row>
    <row r="75" spans="1:40" ht="30" x14ac:dyDescent="0.25">
      <c r="A75" s="238"/>
      <c r="B75" s="235"/>
      <c r="C75" s="235"/>
      <c r="D75" s="235"/>
      <c r="E75" s="265"/>
      <c r="F75" s="13" t="s">
        <v>136</v>
      </c>
      <c r="G75" s="13" t="s">
        <v>135</v>
      </c>
      <c r="H75" s="268"/>
      <c r="I75" s="14"/>
      <c r="J75" s="26">
        <v>1</v>
      </c>
      <c r="K75" s="149">
        <v>0.96689999999999998</v>
      </c>
      <c r="L75" s="159">
        <f>1600000000/L1</f>
        <v>1600</v>
      </c>
      <c r="M75" s="29">
        <v>1435.632384</v>
      </c>
      <c r="N75" s="23"/>
      <c r="O75" s="26">
        <v>1</v>
      </c>
      <c r="P75" s="149">
        <v>0.97250000000000003</v>
      </c>
      <c r="Q75" s="63">
        <v>5840</v>
      </c>
      <c r="R75" s="63">
        <v>5444</v>
      </c>
      <c r="S75" s="100"/>
      <c r="T75" s="139">
        <v>1</v>
      </c>
      <c r="U75" s="175">
        <v>0.90569999999999995</v>
      </c>
      <c r="V75" s="104">
        <f>5333230000/L1</f>
        <v>5333.23</v>
      </c>
      <c r="W75" s="105">
        <f>1848922373/L1</f>
        <v>1848.9223730000001</v>
      </c>
      <c r="X75" s="101"/>
      <c r="Y75" s="139">
        <v>1</v>
      </c>
      <c r="Z75" s="124">
        <v>0</v>
      </c>
      <c r="AA75" s="104">
        <v>4000</v>
      </c>
      <c r="AB75" s="105"/>
      <c r="AC75" s="101"/>
      <c r="AD75" s="111">
        <v>1</v>
      </c>
      <c r="AE75" s="111">
        <v>0</v>
      </c>
      <c r="AF75" s="104">
        <f>1500000000/L1</f>
        <v>1500</v>
      </c>
      <c r="AG75" s="105"/>
      <c r="AH75" s="100"/>
      <c r="AI75" s="111">
        <f>AD75</f>
        <v>1</v>
      </c>
      <c r="AJ75" s="149">
        <f>(K75+P75+U75+Z75+AE75)/3</f>
        <v>0.94836666666666669</v>
      </c>
      <c r="AK75" s="62">
        <f>L75+Q75+V75+AA75+AF75</f>
        <v>18273.23</v>
      </c>
      <c r="AL75" s="62">
        <f t="shared" si="25"/>
        <v>8728.5547569999999</v>
      </c>
      <c r="AM75" s="99" t="s">
        <v>181</v>
      </c>
      <c r="AN75" s="212"/>
    </row>
    <row r="76" spans="1:40" s="6" customFormat="1" ht="15.75" x14ac:dyDescent="0.25">
      <c r="A76" s="17"/>
      <c r="B76" s="118" t="s">
        <v>103</v>
      </c>
      <c r="C76" s="118"/>
      <c r="D76" s="118"/>
      <c r="E76" s="118"/>
      <c r="F76" s="39"/>
      <c r="G76" s="39"/>
      <c r="H76" s="39"/>
      <c r="I76" s="40"/>
      <c r="J76" s="41"/>
      <c r="K76" s="41"/>
      <c r="L76" s="160">
        <f>SUM(L73:L75)</f>
        <v>5202.7954289999998</v>
      </c>
      <c r="M76" s="42">
        <f>SUM(M73:M75)</f>
        <v>4937.1603799999993</v>
      </c>
      <c r="N76" s="51"/>
      <c r="O76" s="41"/>
      <c r="P76" s="41"/>
      <c r="Q76" s="42">
        <f>SUM(Q73:Q75)</f>
        <v>67395</v>
      </c>
      <c r="R76" s="42">
        <f>SUM(R73:R75)</f>
        <v>61457</v>
      </c>
      <c r="T76" s="41"/>
      <c r="U76" s="41"/>
      <c r="V76" s="42">
        <f>SUM(V73:V75)</f>
        <v>24097.23</v>
      </c>
      <c r="W76" s="42">
        <f>SUM(W73:W75)</f>
        <v>3020.3292849999998</v>
      </c>
      <c r="Y76" s="41"/>
      <c r="Z76" s="41"/>
      <c r="AA76" s="42">
        <f>SUM(AA73:AA75)</f>
        <v>21113</v>
      </c>
      <c r="AB76" s="42">
        <f>SUM(AB73:AB75)</f>
        <v>0</v>
      </c>
      <c r="AC76" s="112"/>
      <c r="AD76" s="41"/>
      <c r="AE76" s="42"/>
      <c r="AF76" s="42">
        <f>SUM(AF73:AF75)</f>
        <v>8804.6860589999997</v>
      </c>
      <c r="AG76" s="42">
        <f>SUM(AG73:AG75)</f>
        <v>0</v>
      </c>
      <c r="AI76" s="96"/>
      <c r="AJ76" s="96"/>
      <c r="AK76" s="64">
        <f>SUM(AK73:AK75)</f>
        <v>126612.71148799999</v>
      </c>
      <c r="AL76" s="64">
        <f>SUM(AL73:AL75)</f>
        <v>69414.489665000001</v>
      </c>
      <c r="AM76" s="98"/>
      <c r="AN76" s="6" t="s">
        <v>181</v>
      </c>
    </row>
    <row r="78" spans="1:40" s="5" customFormat="1" ht="15.75" customHeight="1" x14ac:dyDescent="0.2">
      <c r="A78" s="263"/>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94"/>
    </row>
    <row r="79" spans="1:40" s="3" customFormat="1" ht="12.75" x14ac:dyDescent="0.2">
      <c r="A79" s="140"/>
      <c r="B79" s="4"/>
      <c r="C79" s="4"/>
      <c r="D79" s="4"/>
      <c r="E79" s="4"/>
      <c r="F79" s="4"/>
      <c r="G79" s="4"/>
      <c r="H79" s="4"/>
      <c r="I79" s="2"/>
      <c r="J79" s="140"/>
      <c r="K79" s="2"/>
      <c r="L79" s="155"/>
      <c r="M79" s="2"/>
      <c r="N79" s="2"/>
      <c r="O79" s="2"/>
      <c r="P79" s="2"/>
      <c r="Q79" s="2"/>
      <c r="R79" s="2"/>
      <c r="T79" s="102"/>
      <c r="U79" s="102"/>
      <c r="V79" s="102"/>
      <c r="W79" s="102"/>
      <c r="Y79" s="102"/>
      <c r="Z79" s="102"/>
      <c r="AA79" s="102"/>
      <c r="AB79" s="102"/>
      <c r="AD79" s="2"/>
      <c r="AE79" s="2"/>
      <c r="AF79" s="102"/>
      <c r="AG79" s="102"/>
      <c r="AI79" s="109"/>
      <c r="AJ79" s="109"/>
      <c r="AK79" s="109"/>
      <c r="AL79" s="110"/>
      <c r="AM79" s="93"/>
    </row>
    <row r="80" spans="1:40" x14ac:dyDescent="0.25">
      <c r="A80" s="142">
        <v>5</v>
      </c>
      <c r="B80" s="122" t="s">
        <v>94</v>
      </c>
      <c r="C80" s="257" t="s">
        <v>166</v>
      </c>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row>
    <row r="81" spans="1:40" x14ac:dyDescent="0.25">
      <c r="A81" s="141">
        <v>30</v>
      </c>
      <c r="B81" s="6" t="s">
        <v>157</v>
      </c>
      <c r="C81" s="257" t="s">
        <v>184</v>
      </c>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row>
    <row r="82" spans="1:40" x14ac:dyDescent="0.25">
      <c r="A82" s="141">
        <v>56</v>
      </c>
      <c r="B82" s="6" t="s">
        <v>95</v>
      </c>
      <c r="C82" s="257" t="s">
        <v>137</v>
      </c>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row>
    <row r="83" spans="1:40" ht="30" x14ac:dyDescent="0.25">
      <c r="A83" s="141"/>
      <c r="B83" s="123" t="s">
        <v>98</v>
      </c>
      <c r="C83" s="257" t="s">
        <v>138</v>
      </c>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row>
    <row r="85" spans="1:40" s="11" customFormat="1" ht="27" customHeight="1" x14ac:dyDescent="0.25">
      <c r="A85" s="228" t="s">
        <v>2</v>
      </c>
      <c r="B85" s="222" t="s">
        <v>3</v>
      </c>
      <c r="C85" s="261" t="s">
        <v>87</v>
      </c>
      <c r="D85" s="222" t="s">
        <v>67</v>
      </c>
      <c r="E85" s="261" t="s">
        <v>170</v>
      </c>
      <c r="F85" s="225" t="s">
        <v>101</v>
      </c>
      <c r="G85" s="269" t="s">
        <v>90</v>
      </c>
      <c r="H85" s="218" t="s">
        <v>171</v>
      </c>
      <c r="I85" s="10"/>
      <c r="J85" s="218">
        <v>2020</v>
      </c>
      <c r="K85" s="218"/>
      <c r="L85" s="218"/>
      <c r="M85" s="218"/>
      <c r="N85" s="10"/>
      <c r="O85" s="218">
        <v>2021</v>
      </c>
      <c r="P85" s="218"/>
      <c r="Q85" s="218"/>
      <c r="R85" s="218"/>
      <c r="T85" s="218">
        <v>2022</v>
      </c>
      <c r="U85" s="218"/>
      <c r="V85" s="218"/>
      <c r="W85" s="218"/>
      <c r="Y85" s="218">
        <v>2023</v>
      </c>
      <c r="Z85" s="218"/>
      <c r="AA85" s="218"/>
      <c r="AB85" s="218"/>
      <c r="AD85" s="239">
        <v>2024</v>
      </c>
      <c r="AE85" s="240"/>
      <c r="AF85" s="240"/>
      <c r="AG85" s="240"/>
      <c r="AI85" s="270" t="s">
        <v>102</v>
      </c>
      <c r="AJ85" s="270"/>
      <c r="AK85" s="270"/>
      <c r="AL85" s="270"/>
      <c r="AM85" s="98"/>
    </row>
    <row r="86" spans="1:40" s="11" customFormat="1" ht="16.5" customHeight="1" x14ac:dyDescent="0.25">
      <c r="A86" s="229"/>
      <c r="B86" s="223"/>
      <c r="C86" s="226"/>
      <c r="D86" s="223"/>
      <c r="E86" s="226"/>
      <c r="F86" s="226"/>
      <c r="G86" s="269"/>
      <c r="H86" s="218"/>
      <c r="I86" s="10"/>
      <c r="J86" s="217" t="s">
        <v>4</v>
      </c>
      <c r="K86" s="217"/>
      <c r="L86" s="217" t="s">
        <v>61</v>
      </c>
      <c r="M86" s="217"/>
      <c r="N86" s="10"/>
      <c r="O86" s="217" t="s">
        <v>6</v>
      </c>
      <c r="P86" s="217"/>
      <c r="Q86" s="217" t="s">
        <v>8</v>
      </c>
      <c r="R86" s="217"/>
      <c r="S86" s="10"/>
      <c r="T86" s="217" t="s">
        <v>7</v>
      </c>
      <c r="U86" s="217"/>
      <c r="V86" s="217" t="s">
        <v>8</v>
      </c>
      <c r="W86" s="217"/>
      <c r="Y86" s="217" t="s">
        <v>7</v>
      </c>
      <c r="Z86" s="217"/>
      <c r="AA86" s="217" t="s">
        <v>8</v>
      </c>
      <c r="AB86" s="217"/>
      <c r="AD86" s="217" t="s">
        <v>7</v>
      </c>
      <c r="AE86" s="217"/>
      <c r="AF86" s="217" t="s">
        <v>8</v>
      </c>
      <c r="AG86" s="217"/>
      <c r="AI86" s="255" t="s">
        <v>4</v>
      </c>
      <c r="AJ86" s="255" t="s">
        <v>66</v>
      </c>
      <c r="AK86" s="272" t="s">
        <v>8</v>
      </c>
      <c r="AL86" s="255" t="s">
        <v>5</v>
      </c>
      <c r="AM86" s="98"/>
    </row>
    <row r="87" spans="1:40" s="11" customFormat="1" ht="33" x14ac:dyDescent="0.25">
      <c r="A87" s="230"/>
      <c r="B87" s="224"/>
      <c r="C87" s="262"/>
      <c r="D87" s="224"/>
      <c r="E87" s="262"/>
      <c r="F87" s="227"/>
      <c r="G87" s="269"/>
      <c r="H87" s="218"/>
      <c r="I87" s="12"/>
      <c r="J87" s="153" t="s">
        <v>59</v>
      </c>
      <c r="K87" s="116" t="s">
        <v>60</v>
      </c>
      <c r="L87" s="157" t="s">
        <v>64</v>
      </c>
      <c r="M87" s="116" t="s">
        <v>63</v>
      </c>
      <c r="N87" s="12"/>
      <c r="O87" s="61" t="s">
        <v>59</v>
      </c>
      <c r="P87" s="116" t="s">
        <v>60</v>
      </c>
      <c r="Q87" s="61" t="s">
        <v>62</v>
      </c>
      <c r="R87" s="116" t="s">
        <v>63</v>
      </c>
      <c r="S87" s="10"/>
      <c r="T87" s="61" t="s">
        <v>59</v>
      </c>
      <c r="U87" s="116" t="s">
        <v>60</v>
      </c>
      <c r="V87" s="116" t="s">
        <v>62</v>
      </c>
      <c r="W87" s="116" t="s">
        <v>63</v>
      </c>
      <c r="Y87" s="116" t="s">
        <v>59</v>
      </c>
      <c r="Z87" s="116" t="s">
        <v>60</v>
      </c>
      <c r="AA87" s="116" t="s">
        <v>64</v>
      </c>
      <c r="AB87" s="116" t="s">
        <v>63</v>
      </c>
      <c r="AD87" s="116" t="s">
        <v>59</v>
      </c>
      <c r="AE87" s="116" t="s">
        <v>60</v>
      </c>
      <c r="AF87" s="116" t="s">
        <v>64</v>
      </c>
      <c r="AG87" s="116" t="s">
        <v>63</v>
      </c>
      <c r="AI87" s="256"/>
      <c r="AJ87" s="256"/>
      <c r="AK87" s="273"/>
      <c r="AL87" s="256"/>
      <c r="AM87" s="98"/>
    </row>
    <row r="88" spans="1:40" ht="45" x14ac:dyDescent="0.25">
      <c r="A88" s="237" t="s">
        <v>139</v>
      </c>
      <c r="B88" s="234" t="s">
        <v>140</v>
      </c>
      <c r="C88" s="234" t="s">
        <v>141</v>
      </c>
      <c r="D88" s="234" t="s">
        <v>155</v>
      </c>
      <c r="E88" s="264" t="str">
        <f>C81</f>
        <v xml:space="preserve"> Incrementar la efectividad de la gestión pública distrital y local. </v>
      </c>
      <c r="F88" s="138" t="s">
        <v>168</v>
      </c>
      <c r="G88" s="138" t="s">
        <v>142</v>
      </c>
      <c r="H88" s="267" t="str">
        <f>C83</f>
        <v>Gestión pública efectiva, abierta y transparente</v>
      </c>
      <c r="I88" s="14"/>
      <c r="J88" s="176">
        <v>0.1</v>
      </c>
      <c r="K88" s="177">
        <v>0.1</v>
      </c>
      <c r="L88" s="162"/>
      <c r="M88" s="128"/>
      <c r="N88" s="129"/>
      <c r="O88" s="176">
        <v>0.25</v>
      </c>
      <c r="P88" s="201">
        <v>0.25</v>
      </c>
      <c r="Q88" s="128"/>
      <c r="R88" s="128"/>
      <c r="S88" s="131"/>
      <c r="T88" s="179">
        <v>0.3</v>
      </c>
      <c r="U88" s="208">
        <v>0.19400000000000001</v>
      </c>
      <c r="V88" s="133"/>
      <c r="W88" s="134"/>
      <c r="X88" s="135"/>
      <c r="Y88" s="179">
        <v>0.25</v>
      </c>
      <c r="Z88" s="132">
        <v>0</v>
      </c>
      <c r="AA88" s="133"/>
      <c r="AB88" s="134"/>
      <c r="AC88" s="135"/>
      <c r="AD88" s="181">
        <v>0.1</v>
      </c>
      <c r="AE88" s="179">
        <v>0</v>
      </c>
      <c r="AF88" s="133"/>
      <c r="AG88" s="134"/>
      <c r="AH88" s="131"/>
      <c r="AI88" s="181">
        <f>J88+O88+T88+Y88+AD88</f>
        <v>0.99999999999999989</v>
      </c>
      <c r="AJ88" s="177">
        <f t="shared" ref="AJ88:AJ90" si="26">K88+P88+U88+Z88+AE88</f>
        <v>0.54400000000000004</v>
      </c>
      <c r="AK88" s="137">
        <f t="shared" ref="AK88:AK89" si="27">L88+Q88+V88+AA88+AF88</f>
        <v>0</v>
      </c>
      <c r="AL88" s="137">
        <f t="shared" ref="AL88:AL89" si="28">M88+R88+W88+AB88+AG88</f>
        <v>0</v>
      </c>
      <c r="AM88" s="99" t="s">
        <v>181</v>
      </c>
      <c r="AN88" s="212"/>
    </row>
    <row r="89" spans="1:40" ht="45" x14ac:dyDescent="0.25">
      <c r="A89" s="238"/>
      <c r="B89" s="235"/>
      <c r="C89" s="235"/>
      <c r="D89" s="235"/>
      <c r="E89" s="265"/>
      <c r="F89" s="150" t="s">
        <v>143</v>
      </c>
      <c r="G89" s="150" t="s">
        <v>144</v>
      </c>
      <c r="H89" s="268"/>
      <c r="I89" s="14"/>
      <c r="J89" s="178">
        <v>0.1</v>
      </c>
      <c r="K89" s="185">
        <v>0.1</v>
      </c>
      <c r="L89" s="159">
        <v>3048.153773</v>
      </c>
      <c r="M89" s="29">
        <v>2948.422376</v>
      </c>
      <c r="N89" s="23"/>
      <c r="O89" s="178">
        <v>0.25</v>
      </c>
      <c r="P89" s="202">
        <v>0.25</v>
      </c>
      <c r="Q89" s="63">
        <f>3679264491/L1</f>
        <v>3679.2644909999999</v>
      </c>
      <c r="R89" s="29">
        <f>3664659327/L1</f>
        <v>3664.6593269999998</v>
      </c>
      <c r="S89" s="100"/>
      <c r="T89" s="180">
        <v>0.3</v>
      </c>
      <c r="U89" s="207">
        <v>0.16700000000000001</v>
      </c>
      <c r="V89" s="63">
        <f>4398952645/L1</f>
        <v>4398.9526450000003</v>
      </c>
      <c r="W89" s="105">
        <f>2748719515/L1</f>
        <v>2748.7195149999998</v>
      </c>
      <c r="X89" s="101"/>
      <c r="Y89" s="180">
        <v>0.25</v>
      </c>
      <c r="Z89" s="124">
        <v>0</v>
      </c>
      <c r="AA89" s="63">
        <f xml:space="preserve"> 7805715000 /L1</f>
        <v>7805.7150000000001</v>
      </c>
      <c r="AB89" s="105"/>
      <c r="AC89" s="101"/>
      <c r="AD89" s="182">
        <v>0.1</v>
      </c>
      <c r="AE89" s="184">
        <v>0</v>
      </c>
      <c r="AF89" s="63">
        <f>7091482781/L1</f>
        <v>7091.4827809999997</v>
      </c>
      <c r="AG89" s="105"/>
      <c r="AH89" s="100"/>
      <c r="AI89" s="182">
        <f>J89+O89+T89+Y89+AD89</f>
        <v>0.99999999999999989</v>
      </c>
      <c r="AJ89" s="188">
        <f t="shared" si="26"/>
        <v>0.51700000000000002</v>
      </c>
      <c r="AK89" s="62">
        <f t="shared" si="27"/>
        <v>26023.56869</v>
      </c>
      <c r="AL89" s="62">
        <f t="shared" si="28"/>
        <v>9361.8012180000005</v>
      </c>
      <c r="AM89" s="99" t="s">
        <v>181</v>
      </c>
      <c r="AN89" s="212"/>
    </row>
    <row r="90" spans="1:40" ht="45" x14ac:dyDescent="0.25">
      <c r="A90" s="238"/>
      <c r="B90" s="235"/>
      <c r="C90" s="235"/>
      <c r="D90" s="235"/>
      <c r="E90" s="265"/>
      <c r="F90" s="150" t="s">
        <v>145</v>
      </c>
      <c r="G90" s="150" t="s">
        <v>146</v>
      </c>
      <c r="H90" s="268"/>
      <c r="I90" s="14"/>
      <c r="J90" s="178">
        <v>0.1</v>
      </c>
      <c r="K90" s="175">
        <v>0.1</v>
      </c>
      <c r="L90" s="159">
        <v>1331.746357</v>
      </c>
      <c r="M90" s="29">
        <v>1314.039006</v>
      </c>
      <c r="N90" s="23"/>
      <c r="O90" s="178">
        <v>0.25</v>
      </c>
      <c r="P90" s="202">
        <v>0.25</v>
      </c>
      <c r="Q90" s="63">
        <f>2926616487/L1</f>
        <v>2926.6164869999998</v>
      </c>
      <c r="R90" s="29">
        <f>2923453407/L1</f>
        <v>2923.453407</v>
      </c>
      <c r="S90" s="100"/>
      <c r="T90" s="180">
        <v>0.3</v>
      </c>
      <c r="U90" s="197">
        <v>0.151</v>
      </c>
      <c r="V90" s="63">
        <f>3246939000/L1</f>
        <v>3246.9389999999999</v>
      </c>
      <c r="W90" s="105">
        <f>2652331673/L1</f>
        <v>2652.3316730000001</v>
      </c>
      <c r="X90" s="101"/>
      <c r="Y90" s="180">
        <v>0.25</v>
      </c>
      <c r="Z90" s="124">
        <v>0</v>
      </c>
      <c r="AA90" s="63">
        <f>3377143000/L1</f>
        <v>3377.143</v>
      </c>
      <c r="AB90" s="105"/>
      <c r="AC90" s="101"/>
      <c r="AD90" s="182">
        <v>0.1</v>
      </c>
      <c r="AE90" s="111">
        <v>0</v>
      </c>
      <c r="AF90" s="63">
        <f>2564850351/L1</f>
        <v>2564.850351</v>
      </c>
      <c r="AG90" s="105"/>
      <c r="AH90" s="100"/>
      <c r="AI90" s="182">
        <f t="shared" ref="AI90" si="29">J90+O90+T90+Y90+AD90</f>
        <v>0.99999999999999989</v>
      </c>
      <c r="AJ90" s="188">
        <f t="shared" si="26"/>
        <v>0.501</v>
      </c>
      <c r="AK90" s="62">
        <f t="shared" ref="AK90:AK92" si="30">L90+Q90+V90+AA90+AF90</f>
        <v>13447.295194999999</v>
      </c>
      <c r="AL90" s="62">
        <f t="shared" ref="AL90:AL92" si="31">M90+R90+W90+AB90+AG90</f>
        <v>6889.8240860000005</v>
      </c>
      <c r="AM90" s="99" t="s">
        <v>181</v>
      </c>
      <c r="AN90" s="212"/>
    </row>
    <row r="91" spans="1:40" ht="75" x14ac:dyDescent="0.25">
      <c r="A91" s="238"/>
      <c r="B91" s="235"/>
      <c r="C91" s="235"/>
      <c r="D91" s="235"/>
      <c r="E91" s="265"/>
      <c r="F91" s="150" t="s">
        <v>147</v>
      </c>
      <c r="G91" s="150" t="s">
        <v>148</v>
      </c>
      <c r="H91" s="268"/>
      <c r="I91" s="14"/>
      <c r="J91" s="165">
        <v>1.5</v>
      </c>
      <c r="K91" s="166">
        <v>1.5</v>
      </c>
      <c r="L91" s="159">
        <v>147.96897799999999</v>
      </c>
      <c r="M91" s="29">
        <v>147.96897799999999</v>
      </c>
      <c r="N91" s="23"/>
      <c r="O91" s="169">
        <v>3.75</v>
      </c>
      <c r="P91" s="169">
        <v>3.75</v>
      </c>
      <c r="Q91" s="63">
        <f>226913453/L1</f>
        <v>226.913453</v>
      </c>
      <c r="R91" s="29">
        <f>226511474/L1</f>
        <v>226.51147399999999</v>
      </c>
      <c r="S91" s="100"/>
      <c r="T91" s="169">
        <v>4.5</v>
      </c>
      <c r="U91" s="169">
        <v>2.62</v>
      </c>
      <c r="V91" s="63">
        <f>227336000/L1</f>
        <v>227.33600000000001</v>
      </c>
      <c r="W91" s="105">
        <f>198432384/L1</f>
        <v>198.43238400000001</v>
      </c>
      <c r="X91" s="101"/>
      <c r="Y91" s="169">
        <v>3.75</v>
      </c>
      <c r="Z91" s="169">
        <v>0</v>
      </c>
      <c r="AA91" s="63">
        <f xml:space="preserve"> 342857000/L1</f>
        <v>342.85700000000003</v>
      </c>
      <c r="AB91" s="105"/>
      <c r="AC91" s="101"/>
      <c r="AD91" s="169">
        <v>1.5</v>
      </c>
      <c r="AE91" s="169">
        <v>0</v>
      </c>
      <c r="AF91" s="63">
        <f xml:space="preserve"> 200000000/L1</f>
        <v>200</v>
      </c>
      <c r="AG91" s="105"/>
      <c r="AH91" s="100"/>
      <c r="AI91" s="170">
        <f t="shared" ref="AI91:AI92" si="32">J91+O91+T91+Y91+AD91</f>
        <v>15</v>
      </c>
      <c r="AJ91" s="210">
        <f>K91+P91+U91+Z91+AE91</f>
        <v>7.87</v>
      </c>
      <c r="AK91" s="62">
        <f t="shared" si="30"/>
        <v>1145.075431</v>
      </c>
      <c r="AL91" s="62">
        <f t="shared" si="31"/>
        <v>572.91283599999997</v>
      </c>
      <c r="AM91" s="209" t="s">
        <v>181</v>
      </c>
      <c r="AN91" s="212"/>
    </row>
    <row r="92" spans="1:40" ht="60" x14ac:dyDescent="0.25">
      <c r="A92" s="238"/>
      <c r="B92" s="235"/>
      <c r="C92" s="235"/>
      <c r="D92" s="235"/>
      <c r="E92" s="265"/>
      <c r="F92" s="150" t="s">
        <v>169</v>
      </c>
      <c r="G92" s="150" t="s">
        <v>150</v>
      </c>
      <c r="H92" s="268"/>
      <c r="I92" s="14"/>
      <c r="J92" s="26">
        <v>0</v>
      </c>
      <c r="K92" s="175">
        <v>0</v>
      </c>
      <c r="L92" s="159">
        <v>0</v>
      </c>
      <c r="M92" s="29">
        <v>0</v>
      </c>
      <c r="N92" s="23"/>
      <c r="O92" s="26">
        <v>0.35</v>
      </c>
      <c r="P92" s="183">
        <v>0.35</v>
      </c>
      <c r="Q92" s="174">
        <f>322206012/L1</f>
        <v>322.20601199999999</v>
      </c>
      <c r="R92" s="29">
        <f>322206012/L1</f>
        <v>322.20601199999999</v>
      </c>
      <c r="S92" s="100"/>
      <c r="T92" s="139">
        <v>0.3</v>
      </c>
      <c r="U92" s="197">
        <v>0.189</v>
      </c>
      <c r="V92" s="63">
        <f>760209578/L1</f>
        <v>760.20957799999996</v>
      </c>
      <c r="W92" s="105">
        <f>558522158/L1</f>
        <v>558.52215799999999</v>
      </c>
      <c r="X92" s="101"/>
      <c r="Y92" s="139">
        <v>0.25</v>
      </c>
      <c r="Z92" s="124">
        <v>0</v>
      </c>
      <c r="AA92" s="63">
        <f>1005714000/L1</f>
        <v>1005.7140000000001</v>
      </c>
      <c r="AB92" s="105"/>
      <c r="AC92" s="101"/>
      <c r="AD92" s="111">
        <v>0.1</v>
      </c>
      <c r="AE92" s="111">
        <v>0</v>
      </c>
      <c r="AF92" s="63">
        <f xml:space="preserve"> 320000000/L1</f>
        <v>320</v>
      </c>
      <c r="AG92" s="105"/>
      <c r="AH92" s="100"/>
      <c r="AI92" s="111">
        <f t="shared" si="32"/>
        <v>0.99999999999999989</v>
      </c>
      <c r="AJ92" s="175">
        <f t="shared" ref="AJ92" si="33">K92+P92+U92+Z92+AE92</f>
        <v>0.53899999999999992</v>
      </c>
      <c r="AK92" s="62">
        <f t="shared" si="30"/>
        <v>2408.12959</v>
      </c>
      <c r="AL92" s="62">
        <f t="shared" si="31"/>
        <v>880.72816999999998</v>
      </c>
      <c r="AM92" s="99" t="s">
        <v>181</v>
      </c>
      <c r="AN92" s="212"/>
    </row>
    <row r="93" spans="1:40" ht="15.75" x14ac:dyDescent="0.25">
      <c r="A93" s="152"/>
      <c r="B93" s="117"/>
      <c r="C93" s="117"/>
      <c r="D93" s="117"/>
      <c r="E93" s="119"/>
      <c r="F93" s="150" t="s">
        <v>149</v>
      </c>
      <c r="G93" s="150" t="s">
        <v>150</v>
      </c>
      <c r="H93" s="120"/>
      <c r="I93" s="14"/>
      <c r="J93" s="26">
        <v>0.05</v>
      </c>
      <c r="K93" s="175">
        <v>0.05</v>
      </c>
      <c r="L93" s="159">
        <v>2200.3575080000001</v>
      </c>
      <c r="M93" s="29">
        <v>1998.231702</v>
      </c>
      <c r="N93" s="23"/>
      <c r="O93" s="173">
        <v>0.125</v>
      </c>
      <c r="P93" s="189">
        <v>0.125</v>
      </c>
      <c r="Q93" s="174">
        <f>2090691557/L1</f>
        <v>2090.6915570000001</v>
      </c>
      <c r="R93" s="29">
        <f>2083805588/L1</f>
        <v>2083.8055880000002</v>
      </c>
      <c r="S93" s="100"/>
      <c r="T93" s="139">
        <v>0.15</v>
      </c>
      <c r="U93" s="197">
        <v>0.14249999999999999</v>
      </c>
      <c r="V93" s="63">
        <f xml:space="preserve"> 3366562777/L1</f>
        <v>3366.5627770000001</v>
      </c>
      <c r="W93" s="105">
        <f>2382176354/L1</f>
        <v>2382.1763540000002</v>
      </c>
      <c r="X93" s="101"/>
      <c r="Y93" s="171">
        <v>0.125</v>
      </c>
      <c r="Z93" s="124">
        <v>0</v>
      </c>
      <c r="AA93" s="63">
        <f xml:space="preserve"> 3468571000/L1</f>
        <v>3468.5709999999999</v>
      </c>
      <c r="AB93" s="105"/>
      <c r="AC93" s="101"/>
      <c r="AD93" s="111">
        <v>0.05</v>
      </c>
      <c r="AE93" s="111">
        <v>0</v>
      </c>
      <c r="AF93" s="63">
        <f>2143231806/L1</f>
        <v>2143.2318059999998</v>
      </c>
      <c r="AG93" s="105"/>
      <c r="AH93" s="100"/>
      <c r="AI93" s="111">
        <f t="shared" ref="AI93" si="34">J93+O93+T93+Y93+AD93</f>
        <v>0.49999999999999994</v>
      </c>
      <c r="AJ93" s="175">
        <f t="shared" ref="AJ93" si="35">K93+P93+U93+Z93+AE93</f>
        <v>0.3175</v>
      </c>
      <c r="AK93" s="62">
        <f t="shared" ref="AK93" si="36">L93+Q93+V93+AA93+AF93</f>
        <v>13269.414648</v>
      </c>
      <c r="AL93" s="62">
        <f t="shared" ref="AL93" si="37">M93+R93+W93+AB93+AG93</f>
        <v>6464.2136440000004</v>
      </c>
      <c r="AM93" s="99" t="s">
        <v>181</v>
      </c>
      <c r="AN93" s="212" t="s">
        <v>181</v>
      </c>
    </row>
    <row r="94" spans="1:40" s="6" customFormat="1" ht="15.75" x14ac:dyDescent="0.25">
      <c r="A94" s="17"/>
      <c r="B94" s="118" t="s">
        <v>103</v>
      </c>
      <c r="C94" s="118"/>
      <c r="D94" s="118"/>
      <c r="E94" s="118"/>
      <c r="F94" s="39"/>
      <c r="G94" s="39"/>
      <c r="H94" s="39"/>
      <c r="I94" s="40"/>
      <c r="J94" s="41"/>
      <c r="K94" s="41"/>
      <c r="L94" s="160">
        <f>SUM(L88:L93)</f>
        <v>6728.2266159999999</v>
      </c>
      <c r="M94" s="151">
        <f>SUM(M88:M93)</f>
        <v>6408.6620619999994</v>
      </c>
      <c r="N94" s="51"/>
      <c r="O94" s="41"/>
      <c r="P94" s="41"/>
      <c r="Q94" s="151">
        <f>SUM(Q88:Q93)</f>
        <v>9245.6919999999991</v>
      </c>
      <c r="R94" s="151">
        <f>SUM(R88:R93)</f>
        <v>9220.6358079999991</v>
      </c>
      <c r="T94" s="41"/>
      <c r="U94" s="41"/>
      <c r="V94" s="151">
        <f>SUM(V88:V93)</f>
        <v>12000</v>
      </c>
      <c r="W94" s="151">
        <f>SUM(W88:W93)</f>
        <v>8540.182084</v>
      </c>
      <c r="Y94" s="41"/>
      <c r="Z94" s="41"/>
      <c r="AA94" s="151">
        <f>SUM(AA88:AA93)</f>
        <v>16000</v>
      </c>
      <c r="AB94" s="151">
        <f>SUM(AB88:AB93)</f>
        <v>0</v>
      </c>
      <c r="AC94" s="112"/>
      <c r="AD94" s="41"/>
      <c r="AE94" s="42"/>
      <c r="AF94" s="151">
        <f>SUM(AF88:AF93)</f>
        <v>12319.564938</v>
      </c>
      <c r="AG94" s="151">
        <f>SUM(AG88:AG93)</f>
        <v>0</v>
      </c>
      <c r="AI94" s="96"/>
      <c r="AJ94" s="96"/>
      <c r="AK94" s="151">
        <f>SUM(AK88:AK93)</f>
        <v>56293.483553999991</v>
      </c>
      <c r="AL94" s="151">
        <f>SUM(AL88:AL93)</f>
        <v>24169.479953999999</v>
      </c>
      <c r="AM94" s="98"/>
      <c r="AN94" s="212"/>
    </row>
    <row r="114" spans="12:38" x14ac:dyDescent="0.25">
      <c r="L114" s="89">
        <f>+L94+L76+L61+L43+L26</f>
        <v>34805.360568000004</v>
      </c>
      <c r="M114" s="89">
        <f>+M94+M76+M61+M43+M26</f>
        <v>32205.852918999997</v>
      </c>
      <c r="Q114" s="25">
        <f>+Q94+Q76+Q61+Q43+Q26</f>
        <v>118190.417026</v>
      </c>
      <c r="R114" s="25">
        <f>+R94+R76+R61+R43+R26</f>
        <v>111757.488256</v>
      </c>
      <c r="V114" s="89">
        <f>+V94+V76+V61+V43+V26</f>
        <v>93563.653000000006</v>
      </c>
      <c r="W114" s="89">
        <f>+W94+W76+W61+W43+W26</f>
        <v>41661.462586000001</v>
      </c>
      <c r="AA114" s="89">
        <f>+AA94+AA76+AA61+AA43+AA26</f>
        <v>89303</v>
      </c>
      <c r="AB114" s="89">
        <f>+AB94+AB76+AB61+AB43+AB26</f>
        <v>0</v>
      </c>
      <c r="AF114" s="89">
        <f>+AF94+AF76+AF61+AF43+AF26</f>
        <v>42629.984261999998</v>
      </c>
      <c r="AG114" s="89">
        <f>+AG94+AG76+AG61+AG43+AG26</f>
        <v>0</v>
      </c>
      <c r="AK114" s="25">
        <f>+AK94+AK76+AK61+AK43+AK26</f>
        <v>378492.41485599999</v>
      </c>
      <c r="AL114" s="25">
        <f>+AL94+AL76+AL61+AL43+AL26</f>
        <v>185624.80376100002</v>
      </c>
    </row>
  </sheetData>
  <mergeCells count="200">
    <mergeCell ref="C55:C60"/>
    <mergeCell ref="D55:D60"/>
    <mergeCell ref="E55:E60"/>
    <mergeCell ref="B73:B75"/>
    <mergeCell ref="C73:C75"/>
    <mergeCell ref="A88:A92"/>
    <mergeCell ref="B88:B92"/>
    <mergeCell ref="C88:C92"/>
    <mergeCell ref="D88:D92"/>
    <mergeCell ref="E88:E92"/>
    <mergeCell ref="A55:A58"/>
    <mergeCell ref="B55:B60"/>
    <mergeCell ref="A70:A72"/>
    <mergeCell ref="B70:B72"/>
    <mergeCell ref="C70:C72"/>
    <mergeCell ref="D70:D72"/>
    <mergeCell ref="E70:E72"/>
    <mergeCell ref="C67:AL67"/>
    <mergeCell ref="AD70:AG70"/>
    <mergeCell ref="AI70:AL70"/>
    <mergeCell ref="AD71:AE71"/>
    <mergeCell ref="AF71:AG71"/>
    <mergeCell ref="AI71:AI72"/>
    <mergeCell ref="AJ71:AJ72"/>
    <mergeCell ref="H88:H92"/>
    <mergeCell ref="A63:AL63"/>
    <mergeCell ref="C65:AL65"/>
    <mergeCell ref="C66:AL66"/>
    <mergeCell ref="C68:AL68"/>
    <mergeCell ref="A78:AL78"/>
    <mergeCell ref="C80:AL80"/>
    <mergeCell ref="C82:AL82"/>
    <mergeCell ref="C83:AL83"/>
    <mergeCell ref="AD85:AG85"/>
    <mergeCell ref="AI85:AL85"/>
    <mergeCell ref="J86:K86"/>
    <mergeCell ref="L86:M86"/>
    <mergeCell ref="O86:P86"/>
    <mergeCell ref="Q86:R86"/>
    <mergeCell ref="T86:U86"/>
    <mergeCell ref="AD86:AE86"/>
    <mergeCell ref="A85:A87"/>
    <mergeCell ref="B85:B87"/>
    <mergeCell ref="AJ86:AJ87"/>
    <mergeCell ref="AK86:AK87"/>
    <mergeCell ref="AL86:AL87"/>
    <mergeCell ref="A73:A75"/>
    <mergeCell ref="F70:F72"/>
    <mergeCell ref="A28:AL28"/>
    <mergeCell ref="C30:AL30"/>
    <mergeCell ref="C32:AL32"/>
    <mergeCell ref="C33:AL33"/>
    <mergeCell ref="A45:AL45"/>
    <mergeCell ref="C47:AL47"/>
    <mergeCell ref="C49:AL49"/>
    <mergeCell ref="C50:AL50"/>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AK71:AK72"/>
    <mergeCell ref="AL71:AL72"/>
    <mergeCell ref="AK53:AK54"/>
    <mergeCell ref="AL53:AL54"/>
    <mergeCell ref="D73:D75"/>
    <mergeCell ref="E73:E75"/>
    <mergeCell ref="H73:H75"/>
    <mergeCell ref="V86:W86"/>
    <mergeCell ref="Y86:Z86"/>
    <mergeCell ref="AA86:AB86"/>
    <mergeCell ref="C81:AL81"/>
    <mergeCell ref="AF86:AG86"/>
    <mergeCell ref="AI86:AI87"/>
    <mergeCell ref="Q53:R53"/>
    <mergeCell ref="T53:U53"/>
    <mergeCell ref="V53:W53"/>
    <mergeCell ref="Y53:Z53"/>
    <mergeCell ref="AA53:AB53"/>
    <mergeCell ref="AD53:AE53"/>
    <mergeCell ref="AF53:AG53"/>
    <mergeCell ref="AI53:AI54"/>
    <mergeCell ref="AJ53:AJ54"/>
    <mergeCell ref="C85:C87"/>
    <mergeCell ref="D85:D87"/>
    <mergeCell ref="E85:E87"/>
    <mergeCell ref="F85:F87"/>
    <mergeCell ref="D35:D37"/>
    <mergeCell ref="E35:E37"/>
    <mergeCell ref="F35:F37"/>
    <mergeCell ref="G35:G37"/>
    <mergeCell ref="H35:H37"/>
    <mergeCell ref="J35:M35"/>
    <mergeCell ref="T36:U36"/>
    <mergeCell ref="G70:G72"/>
    <mergeCell ref="H70:H72"/>
    <mergeCell ref="E38:E42"/>
    <mergeCell ref="D38:D42"/>
    <mergeCell ref="V36:W36"/>
    <mergeCell ref="Y36:Z36"/>
    <mergeCell ref="AA36:AB36"/>
    <mergeCell ref="AD36:AE36"/>
    <mergeCell ref="AF36:AG36"/>
    <mergeCell ref="G85:G87"/>
    <mergeCell ref="H85:H87"/>
    <mergeCell ref="J85:M85"/>
    <mergeCell ref="O85:R85"/>
    <mergeCell ref="T85:W85"/>
    <mergeCell ref="Y85:AB85"/>
    <mergeCell ref="J70:M70"/>
    <mergeCell ref="O70:R70"/>
    <mergeCell ref="T70:W70"/>
    <mergeCell ref="Y70:AB70"/>
    <mergeCell ref="J71:K71"/>
    <mergeCell ref="L71:M71"/>
    <mergeCell ref="O71:P71"/>
    <mergeCell ref="Q71:R71"/>
    <mergeCell ref="T71:U71"/>
    <mergeCell ref="V71:W71"/>
    <mergeCell ref="Y71:Z71"/>
    <mergeCell ref="AA71:AB71"/>
    <mergeCell ref="H55:H58"/>
    <mergeCell ref="A38:A41"/>
    <mergeCell ref="H38:H41"/>
    <mergeCell ref="A52:A54"/>
    <mergeCell ref="B52:B54"/>
    <mergeCell ref="C52:C54"/>
    <mergeCell ref="D52:D54"/>
    <mergeCell ref="E52:E54"/>
    <mergeCell ref="F52:F54"/>
    <mergeCell ref="G52:G54"/>
    <mergeCell ref="H52:H54"/>
    <mergeCell ref="C48:AL48"/>
    <mergeCell ref="J52:M52"/>
    <mergeCell ref="O52:R52"/>
    <mergeCell ref="T52:W52"/>
    <mergeCell ref="Y52:AB52"/>
    <mergeCell ref="AD52:AG52"/>
    <mergeCell ref="AI52:AL52"/>
    <mergeCell ref="J53:K53"/>
    <mergeCell ref="L53:M53"/>
    <mergeCell ref="O53:P53"/>
    <mergeCell ref="C38:C42"/>
    <mergeCell ref="B38:B42"/>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31:AL31"/>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5"/>
    <mergeCell ref="C17:C25"/>
  </mergeCells>
  <printOptions headings="1"/>
  <pageMargins left="0.25" right="0.25" top="0.75" bottom="0.75" header="0.3" footer="0.3"/>
  <pageSetup paperSize="5" scale="31" fitToHeight="2" orientation="landscape" r:id="rId1"/>
  <customProperties>
    <customPr name="EpmWorksheetKeyString_GUID" r:id="rId2"/>
  </customProperties>
  <ignoredErrors>
    <ignoredError sqref="AI2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JULIO 2022</vt:lpstr>
      <vt:lpstr>'JULIO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2022-08-29T16:42:38Z</cp:lastPrinted>
  <dcterms:created xsi:type="dcterms:W3CDTF">2009-07-24T20:19:08Z</dcterms:created>
  <dcterms:modified xsi:type="dcterms:W3CDTF">2022-08-29T16:49:09Z</dcterms:modified>
</cp:coreProperties>
</file>