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6.160.201\planeacion\Oficial\EVIDENCIAS PLANEACION - CONTRATISTAS\2021\2021 - II TRIMESTRE\076-2021 CRISTHIAN CAMILO RODRIGUEZ\JULIO\Plurianual\"/>
    </mc:Choice>
  </mc:AlternateContent>
  <bookViews>
    <workbookView xWindow="0" yWindow="0" windowWidth="14295" windowHeight="5055" tabRatio="553" firstSheet="2" activeTab="2"/>
  </bookViews>
  <sheets>
    <sheet name="DIFERENCIAS" sheetId="52" state="hidden" r:id="rId1"/>
    <sheet name="SOPORTE REPROGRAMACIÓN $ 2017" sheetId="53" state="hidden" r:id="rId2"/>
    <sheet name="Junio 2021"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'Junio 2021'!$A:$AL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1" i="93" l="1"/>
  <c r="Q90" i="93"/>
  <c r="Q89" i="93"/>
  <c r="Q87" i="93"/>
  <c r="AJ58" i="93"/>
  <c r="AI58" i="93"/>
  <c r="AI57" i="93"/>
  <c r="AL58" i="93"/>
  <c r="AL57" i="93"/>
  <c r="AJ57" i="93"/>
  <c r="AF59" i="93"/>
  <c r="AA59" i="93"/>
  <c r="V59" i="93"/>
  <c r="R59" i="93"/>
  <c r="Q59" i="93"/>
  <c r="M59" i="93"/>
  <c r="L59" i="93"/>
  <c r="Q58" i="93"/>
  <c r="AK58" i="93" s="1"/>
  <c r="Q57" i="93"/>
  <c r="AK57" i="93" s="1"/>
  <c r="Q56" i="93"/>
  <c r="Q55" i="93"/>
  <c r="Q54" i="93"/>
  <c r="Q40" i="93" l="1"/>
  <c r="Q39" i="93"/>
  <c r="Q38" i="93"/>
  <c r="AJ24" i="93" l="1"/>
  <c r="AJ23" i="93"/>
  <c r="AJ20" i="93"/>
  <c r="AJ17" i="93"/>
  <c r="AJ73" i="93" l="1"/>
  <c r="AJ88" i="93"/>
  <c r="AJ87" i="93"/>
  <c r="AJ86" i="93"/>
  <c r="AI88" i="93"/>
  <c r="AI87" i="93"/>
  <c r="AI86" i="93"/>
  <c r="V87" i="93" l="1"/>
  <c r="Q88" i="93" l="1"/>
  <c r="Q24" i="93"/>
  <c r="Q19" i="93"/>
  <c r="Q18" i="93"/>
  <c r="AI21" i="93" l="1"/>
  <c r="AL21" i="93"/>
  <c r="AK21" i="93"/>
  <c r="AJ21" i="93"/>
  <c r="Q72" i="93" l="1"/>
  <c r="AF91" i="93" l="1"/>
  <c r="AF90" i="93"/>
  <c r="AF89" i="93"/>
  <c r="AF88" i="93"/>
  <c r="AF87" i="93"/>
  <c r="AA91" i="93"/>
  <c r="AA90" i="93"/>
  <c r="AA89" i="93"/>
  <c r="AA88" i="93"/>
  <c r="AA87" i="93"/>
  <c r="V91" i="93"/>
  <c r="V90" i="93"/>
  <c r="V89" i="93"/>
  <c r="V88" i="93"/>
  <c r="AI90" i="93" l="1"/>
  <c r="AI18" i="93"/>
  <c r="L72" i="93" l="1"/>
  <c r="AJ18" i="93" l="1"/>
  <c r="AF73" i="93" l="1"/>
  <c r="AF72" i="93"/>
  <c r="AA73" i="93"/>
  <c r="AA72" i="93"/>
  <c r="V73" i="93"/>
  <c r="V72" i="93"/>
  <c r="Q73" i="93"/>
  <c r="L73" i="93"/>
  <c r="AF38" i="93"/>
  <c r="AA39" i="93"/>
  <c r="AA38" i="93"/>
  <c r="V39" i="93"/>
  <c r="V38" i="93"/>
  <c r="AF24" i="93"/>
  <c r="AF22" i="93"/>
  <c r="AF19" i="93"/>
  <c r="AF18" i="93"/>
  <c r="AA24" i="93"/>
  <c r="AA22" i="93"/>
  <c r="AA19" i="93"/>
  <c r="AA18" i="93"/>
  <c r="V24" i="93"/>
  <c r="V22" i="93"/>
  <c r="V19" i="93"/>
  <c r="V18" i="93"/>
  <c r="Q22" i="93"/>
  <c r="L24" i="93"/>
  <c r="H86" i="93"/>
  <c r="E86" i="93"/>
  <c r="H71" i="93"/>
  <c r="E71" i="93"/>
  <c r="H53" i="93"/>
  <c r="E53" i="93"/>
  <c r="H37" i="93"/>
  <c r="E37" i="93"/>
  <c r="H17" i="93"/>
  <c r="E17" i="93"/>
  <c r="AG92" i="93" l="1"/>
  <c r="AF92" i="93"/>
  <c r="AB92" i="93"/>
  <c r="AA92" i="93"/>
  <c r="W92" i="93"/>
  <c r="V92" i="93"/>
  <c r="R92" i="93"/>
  <c r="Q92" i="93"/>
  <c r="M92" i="93"/>
  <c r="L92" i="93"/>
  <c r="AL91" i="93"/>
  <c r="AK91" i="93"/>
  <c r="AJ91" i="93"/>
  <c r="AI91" i="93"/>
  <c r="AL90" i="93" l="1"/>
  <c r="AK90" i="93"/>
  <c r="AJ90" i="93"/>
  <c r="AL89" i="93"/>
  <c r="AK89" i="93"/>
  <c r="AJ89" i="93"/>
  <c r="AI89" i="93"/>
  <c r="AL88" i="93"/>
  <c r="AK88" i="93"/>
  <c r="AL87" i="93"/>
  <c r="AK87" i="93"/>
  <c r="AL86" i="93"/>
  <c r="AK86" i="93"/>
  <c r="AL73" i="93"/>
  <c r="AK73" i="93"/>
  <c r="AI73" i="93"/>
  <c r="AJ72" i="93"/>
  <c r="AI72" i="93"/>
  <c r="AI71" i="93"/>
  <c r="AI56" i="93"/>
  <c r="AJ56" i="93"/>
  <c r="AK56" i="93"/>
  <c r="AL56" i="93"/>
  <c r="AI55" i="93"/>
  <c r="AI54" i="93"/>
  <c r="AI53" i="93"/>
  <c r="AI40" i="93"/>
  <c r="AI39" i="93"/>
  <c r="AL38" i="93"/>
  <c r="AK38" i="93"/>
  <c r="AJ38" i="93"/>
  <c r="AI38" i="93"/>
  <c r="AI37" i="93"/>
  <c r="AL24" i="93"/>
  <c r="AK24" i="93"/>
  <c r="AI24" i="93"/>
  <c r="AL23" i="93"/>
  <c r="AK23" i="93"/>
  <c r="AI23" i="93"/>
  <c r="AL22" i="93"/>
  <c r="AK22" i="93"/>
  <c r="AJ22" i="93"/>
  <c r="AI22" i="93"/>
  <c r="AL20" i="93"/>
  <c r="AK20" i="93"/>
  <c r="AI20" i="93"/>
  <c r="AI19" i="93"/>
  <c r="AI17" i="93"/>
  <c r="AG74" i="93"/>
  <c r="AF74" i="93"/>
  <c r="AB74" i="93"/>
  <c r="AA74" i="93"/>
  <c r="W74" i="93"/>
  <c r="V74" i="93"/>
  <c r="R74" i="93"/>
  <c r="Q74" i="93"/>
  <c r="M74" i="93"/>
  <c r="L74" i="93"/>
  <c r="AL72" i="93"/>
  <c r="AK72" i="93"/>
  <c r="AL71" i="93"/>
  <c r="AK71" i="93"/>
  <c r="AJ71" i="93"/>
  <c r="AG59" i="93"/>
  <c r="AB59" i="93"/>
  <c r="W59" i="93"/>
  <c r="AL55" i="93"/>
  <c r="AK55" i="93"/>
  <c r="AJ55" i="93"/>
  <c r="AL54" i="93"/>
  <c r="AK54" i="93"/>
  <c r="AJ54" i="93"/>
  <c r="AL53" i="93"/>
  <c r="AK53" i="93"/>
  <c r="AJ53" i="93"/>
  <c r="AG41" i="93"/>
  <c r="AF41" i="93"/>
  <c r="AB41" i="93"/>
  <c r="AA41" i="93"/>
  <c r="W41" i="93"/>
  <c r="V41" i="93"/>
  <c r="R41" i="93"/>
  <c r="Q41" i="93"/>
  <c r="M41" i="93"/>
  <c r="L41" i="93"/>
  <c r="AL40" i="93"/>
  <c r="AK40" i="93"/>
  <c r="AJ40" i="93"/>
  <c r="AL39" i="93"/>
  <c r="AK39" i="93"/>
  <c r="AJ39" i="93"/>
  <c r="AL37" i="93"/>
  <c r="AK37" i="93"/>
  <c r="AJ37" i="93"/>
  <c r="M25" i="93"/>
  <c r="L25" i="93"/>
  <c r="R25" i="93"/>
  <c r="Q25" i="93"/>
  <c r="W25" i="93"/>
  <c r="V25" i="93"/>
  <c r="AB25" i="93"/>
  <c r="AA25" i="93"/>
  <c r="AF25" i="93"/>
  <c r="AK59" i="93" l="1"/>
  <c r="AL59" i="93"/>
  <c r="Q112" i="93"/>
  <c r="R112" i="93"/>
  <c r="AL92" i="93"/>
  <c r="AK92" i="93"/>
  <c r="AK74" i="93"/>
  <c r="AL74" i="93"/>
  <c r="AK41" i="93"/>
  <c r="AL41" i="93"/>
  <c r="AG25" i="93" l="1"/>
  <c r="AL19" i="93"/>
  <c r="AK19" i="93"/>
  <c r="AJ19" i="93"/>
  <c r="AL17" i="93" l="1"/>
  <c r="AL18" i="93"/>
  <c r="AK18" i="93"/>
  <c r="AK17" i="93"/>
  <c r="F72" i="53"/>
  <c r="O67" i="53"/>
  <c r="M67" i="53"/>
  <c r="K67" i="53"/>
  <c r="I67" i="53"/>
  <c r="J66" i="53"/>
  <c r="N66" i="53" s="1"/>
  <c r="N67" i="53" s="1"/>
  <c r="O59" i="53"/>
  <c r="M59" i="53"/>
  <c r="K59" i="53"/>
  <c r="I59" i="53"/>
  <c r="J57" i="53"/>
  <c r="L57" i="53" s="1"/>
  <c r="J58" i="53"/>
  <c r="N58" i="53" s="1"/>
  <c r="J49" i="53"/>
  <c r="P49" i="53" s="1"/>
  <c r="N49" i="53"/>
  <c r="J48" i="53"/>
  <c r="N48" i="53" s="1"/>
  <c r="I50" i="53"/>
  <c r="I40" i="53"/>
  <c r="J38" i="53"/>
  <c r="L38" i="53" s="1"/>
  <c r="J39" i="53"/>
  <c r="L39" i="53" s="1"/>
  <c r="J37" i="53"/>
  <c r="P37" i="53" s="1"/>
  <c r="O36" i="53"/>
  <c r="J34" i="53"/>
  <c r="N34" i="53" s="1"/>
  <c r="J35" i="53"/>
  <c r="L35" i="53" s="1"/>
  <c r="J33" i="53"/>
  <c r="P33" i="53" s="1"/>
  <c r="I36" i="53"/>
  <c r="J31" i="53"/>
  <c r="P31" i="53" s="1"/>
  <c r="J30" i="53"/>
  <c r="P30" i="53" s="1"/>
  <c r="I32" i="53"/>
  <c r="J17" i="53"/>
  <c r="N17" i="53" s="1"/>
  <c r="J18" i="53"/>
  <c r="L18" i="53" s="1"/>
  <c r="J19" i="53"/>
  <c r="P19" i="53" s="1"/>
  <c r="J20" i="53"/>
  <c r="N20" i="53" s="1"/>
  <c r="J16" i="53"/>
  <c r="L16" i="53" s="1"/>
  <c r="I21" i="53"/>
  <c r="Q16" i="53"/>
  <c r="Q17" i="53"/>
  <c r="Q18" i="53"/>
  <c r="Q19" i="53"/>
  <c r="Q20" i="53"/>
  <c r="Q30" i="53"/>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P57" i="53"/>
  <c r="L33" i="53"/>
  <c r="N33" i="53"/>
  <c r="N38" i="53"/>
  <c r="N37" i="53"/>
  <c r="L30" i="53"/>
  <c r="L32" i="53" s="1"/>
  <c r="P17" i="53"/>
  <c r="L17" i="53"/>
  <c r="L31" i="53"/>
  <c r="L19" i="53"/>
  <c r="P58" i="53"/>
  <c r="L20" i="53"/>
  <c r="P34" i="53" l="1"/>
  <c r="L34" i="53"/>
  <c r="P20" i="53"/>
  <c r="L58" i="53"/>
  <c r="L59" i="53" s="1"/>
  <c r="N31" i="53"/>
  <c r="R31" i="53" s="1"/>
  <c r="L37" i="53"/>
  <c r="R37" i="53" s="1"/>
  <c r="L49" i="53"/>
  <c r="P66" i="53"/>
  <c r="P67" i="53" s="1"/>
  <c r="J67" i="53"/>
  <c r="L66" i="53"/>
  <c r="L67" i="53" s="1"/>
  <c r="N50" i="53"/>
  <c r="J59" i="53"/>
  <c r="J32" i="53"/>
  <c r="N57" i="53"/>
  <c r="Q50" i="53"/>
  <c r="P59" i="53"/>
  <c r="N30" i="53"/>
  <c r="N32" i="53" s="1"/>
  <c r="N16" i="53"/>
  <c r="J50" i="53"/>
  <c r="N19" i="53"/>
  <c r="R19" i="53" s="1"/>
  <c r="Q32" i="53"/>
  <c r="P48" i="53"/>
  <c r="J36" i="53"/>
  <c r="P16" i="53"/>
  <c r="L48" i="53"/>
  <c r="R49" i="53"/>
  <c r="R33" i="53"/>
  <c r="L36" i="53"/>
  <c r="Q40" i="53"/>
  <c r="Q59" i="53"/>
  <c r="Q36" i="53"/>
  <c r="P38" i="53"/>
  <c r="R38" i="53" s="1"/>
  <c r="J21" i="53"/>
  <c r="R57" i="53"/>
  <c r="Q21" i="53"/>
  <c r="P50" i="53"/>
  <c r="P35" i="53"/>
  <c r="P36" i="53" s="1"/>
  <c r="P18" i="53"/>
  <c r="R17" i="53"/>
  <c r="F69" i="53"/>
  <c r="N35" i="53"/>
  <c r="N36" i="53" s="1"/>
  <c r="R20" i="53"/>
  <c r="N18" i="53"/>
  <c r="R34" i="53"/>
  <c r="P32" i="53"/>
  <c r="R58" i="53"/>
  <c r="N59" i="53"/>
  <c r="L21" i="53"/>
  <c r="L40" i="53"/>
  <c r="P39" i="53"/>
  <c r="J40" i="53"/>
  <c r="N39" i="53"/>
  <c r="N40" i="53" s="1"/>
  <c r="AK25" i="93"/>
  <c r="AL25" i="93"/>
  <c r="R66" i="53" l="1"/>
  <c r="R67" i="53" s="1"/>
  <c r="T67" i="53" s="1"/>
  <c r="R30" i="53"/>
  <c r="R16" i="53"/>
  <c r="R59" i="53"/>
  <c r="T59" i="53" s="1"/>
  <c r="R48" i="53"/>
  <c r="R50" i="53" s="1"/>
  <c r="T50" i="53" s="1"/>
  <c r="L50" i="53"/>
  <c r="P40" i="53"/>
  <c r="P21" i="53"/>
  <c r="R32" i="53"/>
  <c r="T32" i="53" s="1"/>
  <c r="R18" i="53"/>
  <c r="Q69" i="53"/>
  <c r="R35" i="53"/>
  <c r="R36" i="53" s="1"/>
  <c r="T36" i="53" s="1"/>
  <c r="N21" i="53"/>
  <c r="R39" i="53"/>
  <c r="R40" i="53" s="1"/>
  <c r="R21" i="53" l="1"/>
  <c r="T21" i="53" s="1"/>
  <c r="T40" i="53"/>
  <c r="R69" i="53" l="1"/>
  <c r="S69" i="53" s="1"/>
</calcChain>
</file>

<file path=xl/sharedStrings.xml><?xml version="1.0" encoding="utf-8"?>
<sst xmlns="http://schemas.openxmlformats.org/spreadsheetml/2006/main" count="496" uniqueCount="182">
  <si>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</si>
  <si>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</si>
  <si>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</si>
  <si>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</si>
  <si>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</si>
  <si>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</si>
  <si>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</si>
  <si>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</si>
  <si>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</si>
  <si>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</si>
  <si>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</si>
  <si>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</si>
  <si>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</si>
  <si>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</si>
  <si>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</si>
  <si>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</si>
  <si>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</si>
  <si>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</si>
  <si>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</si>
  <si>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</si>
  <si>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</si>
  <si>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</si>
  <si>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</si>
  <si>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</si>
  <si>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</si>
  <si>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</si>
  <si>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</si>
  <si>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</si>
  <si>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</si>
  <si>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</si>
  <si>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</si>
  <si>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</si>
  <si>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</si>
  <si>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</si>
  <si>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</si>
  <si>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</si>
  <si>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</si>
  <si>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</si>
  <si>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</si>
  <si>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</si>
  <si>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</si>
  <si>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</si>
  <si>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</si>
  <si>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</si>
  <si>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</si>
  <si>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</si>
  <si>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</si>
  <si>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</si>
  <si>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</si>
  <si>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</si>
  <si>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</si>
  <si>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</si>
  <si>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</si>
  <si>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</si>
  <si>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</si>
  <si>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</si>
  <si>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</si>
  <si>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</si>
  <si>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</si>
  <si>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</si>
  <si>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</si>
  <si>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</si>
  <si>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</si>
  <si>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</si>
  <si>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</si>
  <si>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</si>
  <si>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</si>
  <si>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</si>
  <si>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</si>
  <si>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</si>
  <si>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</si>
  <si>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</si>
  <si>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</si>
  <si>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</si>
  <si>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</si>
  <si>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</si>
  <si>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</si>
  <si>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</si>
  <si>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</si>
  <si>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</si>
  <si>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</si>
  <si>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</si>
  <si>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</si>
  <si>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</si>
  <si>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</si>
  <si>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</si>
  <si>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</si>
  <si>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</si>
  <si>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</si>
  <si>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</si>
  <si>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</si>
  <si>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</si>
  <si>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</si>
  <si>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</si>
  <si>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</si>
  <si>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</si>
  <si>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</si>
  <si>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</si>
  <si>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</si>
  <si>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</si>
  <si>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</si>
  <si>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</si>
  <si>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</si>
  <si>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</si>
  <si>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</si>
  <si>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</si>
  <si>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</si>
  <si>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</si>
  <si>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</si>
  <si>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</si>
  <si>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</si>
  <si>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</si>
  <si>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</si>
  <si>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</si>
  <si>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</si>
  <si>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</si>
  <si>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</si>
  <si>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</si>
  <si>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</si>
  <si>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</si>
  <si>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</si>
  <si>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</si>
  <si>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</si>
  <si>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</si>
  <si>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</si>
  <si>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</si>
  <si>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</si>
  <si>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</si>
  <si>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</si>
  <si>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</si>
  <si>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</si>
  <si>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</si>
  <si>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Beneficiar 2.550 hogares localizados en zonas de alto riesgo no mitigable o los ordenados mediante sentencias judiciales o actos administrativos, con instrumentos financieros para relocalización transitoria.</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</si>
  <si>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</si>
  <si>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</si>
  <si>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</si>
  <si>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</si>
  <si>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</si>
  <si>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</si>
  <si>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</si>
  <si>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</si>
  <si>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</si>
  <si>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</si>
  <si>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</si>
  <si>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</si>
  <si>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</si>
  <si>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</si>
  <si>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</si>
  <si>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</si>
  <si>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</si>
  <si>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</si>
  <si>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</si>
  <si>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</si>
  <si>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</si>
  <si>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</si>
  <si>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</si>
  <si>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</si>
  <si>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</si>
  <si>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</si>
  <si>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</si>
  <si>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</si>
  <si>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</si>
  <si>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</si>
  <si>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</si>
  <si>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</si>
  <si>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</si>
  <si>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</si>
  <si>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</si>
  <si>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 xml:space="preserve">Incrementar la efectividad de la gestión pública distrital y local. </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</si>
  <si>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</si>
  <si>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</si>
  <si>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</si>
  <si>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</si>
  <si>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</si>
  <si>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</si>
  <si>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</si>
  <si>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Construir 107.000 m2 de en espacio público en los territorios priorizados para realizar el mejoramiento de barrios en las Upz tipo1</t>
  </si>
  <si>
    <t>107.000 m2 de en espacio público en los territorios priorizados para realizar el mejoramiento de barrios en las Upz tipo1.</t>
  </si>
  <si>
    <t>Beneficiar 923 Hogares con la entrega de viviendas para su reubicación definitiva</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</si>
  <si>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</si>
  <si>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Porcentaje de actividades ejecutadas en periodo.</t>
  </si>
  <si>
    <t>Porcentaje de actividades ejecutadas en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</si>
</sst>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_-* #,##0.00\ _€_-;\-* #,##0.00\ _€_-;_-* &quot;-&quot;??\ _€_-;_-@_-"/>
    <numFmt numFmtId="168" formatCode="_(&quot;$&quot;\ * #,##0_);_(&quot;$&quot;\ * \(#,##0\);_(&quot;$&quot;\ * &quot;-&quot;_);_(@_)"/>
    <numFmt numFmtId="169" formatCode="_(&quot;$&quot;\ * #,##0.00_);_(&quot;$&quot;\ * \(#,##0.00\);_(&quot;$&quot;\ * &quot;-&quot;??_);_(@_)"/>
    <numFmt numFmtId="170" formatCode="_(* #,##0.00_);_(* \(#,##0.00\);_(* &quot;-&quot;??_);_(@_)"/>
    <numFmt numFmtId="171" formatCode="0.0%"/>
    <numFmt numFmtId="172" formatCode="_(&quot;$&quot;\ * #,##0_);_(&quot;$&quot;\ * \(#,##0\);_(&quot;$&quot;\ * &quot;-&quot;??_);_(@_)"/>
    <numFmt numFmtId="173" formatCode="_ [$€-2]\ * #,##0.00_ ;_ [$€-2]\ * \-#,##0.00_ ;_ [$€-2]\ * &quot;-&quot;??_ "/>
    <numFmt numFmtId="174" formatCode="_(* #,##0_);_(* \(#,##0\);_(* &quot;-&quot;??_);_(@_)"/>
    <numFmt numFmtId="175" formatCode="&quot;$&quot;\ #,##0"/>
    <numFmt numFmtId="176" formatCode="_(* #,##0.0_);_(* \(#,##0.0\);_(* &quot;-&quot;??_);_(@_)"/>
    <numFmt numFmtId="177" formatCode="[$€-2]\ #,##0.00_);[Red]\([$€-2]\ #,##0.00\)"/>
    <numFmt numFmtId="178" formatCode="&quot;$&quot;\ #,##0.00;&quot;$&quot;\ \-#,##0.00"/>
    <numFmt numFmtId="179" formatCode="&quot;$&quot;\ #,##0.00;[Red]&quot;$&quot;\ \-#,##0.00"/>
    <numFmt numFmtId="180" formatCode="_ &quot;$&quot;\ * #,##0.00_ ;_ &quot;$&quot;\ * \-#,##0.00_ ;_ &quot;$&quot;\ * &quot;-&quot;??_ ;_ @_ "/>
    <numFmt numFmtId="181" formatCode="_ * #,##0.00_ ;_ * \-#,##0.00_ ;_ * &quot;-&quot;??_ ;_ @_ "/>
    <numFmt numFmtId="182" formatCode="_(&quot;$&quot;* #,##0.00_);_(&quot;$&quot;* \(#,##0.00\);_(&quot;$&quot;* &quot;-&quot;??_);_(@_)"/>
    <numFmt numFmtId="183" formatCode="_-* #,##0.00\ _P_t_a_-;\-* #,##0.00\ _P_t_a_-;_-* &quot;-&quot;??\ _P_t_a_-;_-@_-"/>
    <numFmt numFmtId="184" formatCode="[$$-80A]#,##0.00"/>
    <numFmt numFmtId="185" formatCode="_-* #,##0.00\ _p_t_a_-;\-* #,##0.00\ _p_t_a_-;_-* &quot;-&quot;??\ _p_t_a_-;_-@_-"/>
    <numFmt numFmtId="186" formatCode="_-* #,##0\ _P_t_a_-;\-* #,##0\ _P_t_a_-;_-* &quot;-&quot;\ _P_t_a_-;_-@_-"/>
    <numFmt numFmtId="187" formatCode="_ [$€]\ * #,##0.00_ ;_ [$€]\ * \-#,##0.00_ ;_ [$€]\ * &quot;-&quot;??_ ;_ @_ "/>
    <numFmt numFmtId="188" formatCode="#,##0.0"/>
    <numFmt numFmtId="189" formatCode="_-[$$-240A]* #,##0_-;\-[$$-240A]* #,##0_-;_-[$$-240A]* &quot;-&quot;??_-;_-@_-"/>
    <numFmt numFmtId="190" formatCode="_-&quot;$&quot;* #,##0_-;\-&quot;$&quot;* #,##0_-;_-&quot;$&quot;* &quot;-&quot;??_-;_-@_-"/>
    <numFmt numFmtId="191" formatCode="_-* #,##0.00_-;\-* #,##0.00_-;_-* &quot;-&quot;_-;_-@_-"/>
    <numFmt numFmtId="192" formatCode="_-* #,##0.0_-;\-* #,##0.0_-;_-* &quot;-&quot;_-;_-@_-"/>
  </numFmts>
  <fonts count="47"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8">
    <xf numFmtId="0" fontId="0" fillId="0" borderId="0"/>
    <xf numFmtId="0" fontId="11" fillId="2" borderId="0" applyNumberFormat="0" applyBorder="0" applyAlignment="0" applyProtection="0"/>
    <xf numFmtId="167"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173" fontId="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3" fontId="1" fillId="0" borderId="0" applyFont="0" applyFill="0" applyBorder="0" applyAlignment="0" applyProtection="0"/>
    <xf numFmtId="187" fontId="3" fillId="0" borderId="0" applyFont="0" applyFill="0" applyBorder="0" applyAlignment="0" applyProtection="0"/>
    <xf numFmtId="183" fontId="1" fillId="0" borderId="0" applyFont="0" applyFill="0" applyBorder="0" applyAlignment="0" applyProtection="0"/>
    <xf numFmtId="0" fontId="1"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70" fontId="18"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43" fontId="18"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2" fontId="3" fillId="0" borderId="0" applyFont="0" applyFill="0" applyBorder="0" applyAlignment="0" applyProtection="0"/>
    <xf numFmtId="167" fontId="2"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68"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0" fontId="12" fillId="3" borderId="0" applyNumberFormat="0" applyBorder="0" applyAlignment="0" applyProtection="0"/>
    <xf numFmtId="0" fontId="3"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 fillId="0" borderId="0"/>
    <xf numFmtId="0" fontId="3" fillId="0" borderId="0"/>
    <xf numFmtId="0" fontId="18" fillId="0" borderId="0"/>
    <xf numFmtId="0" fontId="18" fillId="0" borderId="0"/>
    <xf numFmtId="0" fontId="3"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18" fillId="0" borderId="0"/>
    <xf numFmtId="0" fontId="18"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42"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43" fontId="18"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167" fontId="18"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42" fontId="3"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43" fontId="18" fillId="0" borderId="0" applyFont="0" applyFill="0" applyBorder="0" applyAlignment="0" applyProtection="0"/>
    <xf numFmtId="16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9" fontId="18" fillId="0" borderId="0" applyFont="0" applyFill="0" applyBorder="0" applyAlignment="0" applyProtection="0"/>
    <xf numFmtId="0" fontId="18" fillId="0" borderId="0"/>
    <xf numFmtId="0" fontId="18" fillId="0" borderId="0"/>
    <xf numFmtId="167" fontId="18" fillId="0" borderId="0" applyFont="0" applyFill="0" applyBorder="0" applyAlignment="0" applyProtection="0"/>
    <xf numFmtId="0" fontId="18" fillId="0" borderId="0"/>
    <xf numFmtId="0" fontId="18" fillId="0" borderId="0"/>
    <xf numFmtId="0" fontId="3" fillId="0" borderId="0"/>
    <xf numFmtId="0" fontId="3" fillId="0" borderId="0"/>
    <xf numFmtId="0" fontId="18" fillId="0" borderId="0"/>
    <xf numFmtId="0" fontId="18" fillId="0" borderId="0"/>
    <xf numFmtId="0" fontId="18" fillId="0" borderId="0"/>
    <xf numFmtId="0" fontId="18" fillId="0" borderId="0"/>
    <xf numFmtId="42"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8"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0" fontId="17" fillId="0" borderId="0"/>
    <xf numFmtId="0" fontId="17" fillId="0" borderId="0"/>
    <xf numFmtId="0" fontId="3" fillId="0" borderId="0"/>
    <xf numFmtId="0" fontId="18" fillId="0" borderId="0"/>
    <xf numFmtId="0" fontId="17" fillId="0" borderId="0"/>
    <xf numFmtId="43" fontId="18" fillId="0" borderId="0" applyFont="0" applyFill="0" applyBorder="0" applyAlignment="0" applyProtection="0"/>
    <xf numFmtId="43" fontId="18" fillId="0" borderId="0" applyFont="0" applyFill="0" applyBorder="0" applyAlignment="0" applyProtection="0"/>
    <xf numFmtId="9" fontId="3" fillId="0" borderId="0" applyFont="0" applyFill="0" applyBorder="0" applyAlignment="0" applyProtection="0"/>
    <xf numFmtId="169"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165" fontId="18" fillId="0" borderId="0" applyFont="0" applyFill="0" applyBorder="0" applyAlignment="0" applyProtection="0"/>
    <xf numFmtId="0" fontId="18"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3" fillId="0" borderId="0"/>
    <xf numFmtId="0" fontId="11"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78" fontId="3" fillId="0" borderId="0" applyFont="0" applyFill="0" applyBorder="0" applyAlignment="0" applyProtection="0"/>
    <xf numFmtId="0" fontId="12"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8"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8"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8" fillId="0" borderId="0"/>
    <xf numFmtId="167" fontId="1" fillId="0" borderId="0" applyFont="0" applyFill="0" applyBorder="0" applyAlignment="0" applyProtection="0"/>
    <xf numFmtId="0" fontId="18"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8"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2" fillId="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3"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42" fontId="3" fillId="0" borderId="0" applyFont="0" applyFill="0" applyBorder="0" applyAlignment="0" applyProtection="0"/>
    <xf numFmtId="43"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42"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 fillId="0" borderId="0"/>
    <xf numFmtId="0" fontId="17" fillId="0" borderId="0"/>
    <xf numFmtId="0" fontId="17" fillId="0" borderId="0"/>
    <xf numFmtId="169" fontId="18" fillId="0" borderId="0" applyFont="0" applyFill="0" applyBorder="0" applyAlignment="0" applyProtection="0"/>
    <xf numFmtId="0" fontId="3" fillId="0" borderId="0"/>
    <xf numFmtId="41" fontId="18" fillId="0" borderId="0" applyFont="0" applyFill="0" applyBorder="0" applyAlignment="0" applyProtection="0"/>
    <xf numFmtId="0" fontId="18" fillId="0" borderId="0"/>
    <xf numFmtId="0" fontId="44" fillId="0" borderId="0"/>
    <xf numFmtId="0" fontId="43" fillId="14" borderId="0" applyNumberFormat="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5" fillId="15" borderId="0" applyNumberFormat="0" applyBorder="0" applyAlignment="0" applyProtection="0"/>
    <xf numFmtId="0" fontId="3" fillId="0" borderId="0"/>
    <xf numFmtId="0" fontId="18" fillId="0" borderId="0"/>
    <xf numFmtId="0" fontId="18" fillId="0" borderId="0"/>
    <xf numFmtId="0" fontId="18"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81" fontId="3" fillId="0" borderId="0" applyFont="0" applyFill="0" applyBorder="0" applyAlignment="0" applyProtection="0"/>
    <xf numFmtId="0" fontId="46" fillId="0" borderId="0"/>
    <xf numFmtId="42" fontId="46"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42" fontId="46" fillId="0" borderId="0" applyFont="0" applyFill="0" applyBorder="0" applyAlignment="0" applyProtection="0"/>
    <xf numFmtId="44" fontId="3" fillId="0" borderId="0" applyFont="0" applyFill="0" applyBorder="0" applyAlignment="0" applyProtection="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2"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0" fontId="18" fillId="0" borderId="0"/>
  </cellStyleXfs>
  <cellXfs count="252">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4" fillId="0" borderId="0" xfId="128" applyFont="1"/>
    <xf numFmtId="0" fontId="18" fillId="0" borderId="0" xfId="128" applyBorder="1"/>
    <xf numFmtId="0" fontId="18" fillId="0" borderId="0" xfId="128"/>
    <xf numFmtId="0" fontId="24" fillId="0" borderId="0" xfId="128" applyFont="1" applyAlignment="1">
      <alignment horizontal="left"/>
    </xf>
    <xf numFmtId="0" fontId="25" fillId="0" borderId="17" xfId="128" applyFont="1" applyBorder="1"/>
    <xf numFmtId="0" fontId="25" fillId="0" borderId="0" xfId="128" applyFont="1"/>
    <xf numFmtId="0" fontId="25" fillId="0" borderId="17" xfId="128" applyFont="1" applyBorder="1" applyAlignment="1">
      <alignment horizontal="center" vertical="center" wrapText="1"/>
    </xf>
    <xf numFmtId="0" fontId="26" fillId="0" borderId="3" xfId="128" applyFont="1" applyFill="1" applyBorder="1" applyAlignment="1" applyProtection="1">
      <alignment horizontal="justify" vertical="center" wrapText="1"/>
    </xf>
    <xf numFmtId="172" fontId="27" fillId="0" borderId="0" xfId="81" applyNumberFormat="1" applyFont="1" applyFill="1" applyBorder="1"/>
    <xf numFmtId="3" fontId="27" fillId="0" borderId="3" xfId="81" applyNumberFormat="1" applyFont="1" applyFill="1" applyBorder="1" applyAlignment="1">
      <alignment horizontal="center" vertical="center"/>
    </xf>
    <xf numFmtId="0" fontId="28" fillId="0" borderId="0" xfId="128" applyFont="1" applyBorder="1"/>
    <xf numFmtId="49" fontId="9" fillId="5" borderId="0" xfId="106" applyNumberFormat="1" applyFont="1" applyFill="1" applyBorder="1" applyAlignment="1">
      <alignment horizontal="center" vertical="center" wrapText="1"/>
    </xf>
    <xf numFmtId="0" fontId="26" fillId="5" borderId="3" xfId="128" applyFont="1" applyFill="1" applyBorder="1" applyAlignment="1" applyProtection="1">
      <alignment horizontal="justify" vertical="center" wrapText="1"/>
    </xf>
    <xf numFmtId="4" fontId="27" fillId="0" borderId="3" xfId="81" applyNumberFormat="1" applyFont="1" applyFill="1" applyBorder="1" applyAlignment="1">
      <alignment horizontal="center" vertical="center"/>
    </xf>
    <xf numFmtId="3" fontId="27" fillId="0" borderId="3" xfId="81" applyNumberFormat="1" applyFont="1" applyFill="1" applyBorder="1" applyAlignment="1">
      <alignment horizontal="center" vertical="center" wrapText="1"/>
    </xf>
    <xf numFmtId="172" fontId="27" fillId="5" borderId="0" xfId="81" applyNumberFormat="1" applyFont="1" applyFill="1" applyBorder="1"/>
    <xf numFmtId="0" fontId="18" fillId="5" borderId="0" xfId="128" applyFill="1"/>
    <xf numFmtId="0" fontId="28" fillId="0" borderId="0" xfId="128" applyFont="1" applyFill="1" applyBorder="1"/>
    <xf numFmtId="0" fontId="24" fillId="0" borderId="3" xfId="128" applyFont="1" applyFill="1" applyBorder="1" applyAlignment="1">
      <alignment vertical="center" wrapText="1"/>
    </xf>
    <xf numFmtId="172" fontId="24" fillId="0" borderId="0" xfId="128" applyNumberFormat="1" applyFont="1"/>
    <xf numFmtId="9" fontId="27" fillId="0" borderId="3" xfId="149" applyFont="1" applyFill="1" applyBorder="1" applyAlignment="1">
      <alignment horizontal="center" vertical="center"/>
    </xf>
    <xf numFmtId="172" fontId="27" fillId="0" borderId="3" xfId="80" applyNumberFormat="1" applyFont="1" applyFill="1" applyBorder="1" applyAlignment="1">
      <alignment vertical="center"/>
    </xf>
    <xf numFmtId="172" fontId="27" fillId="0" borderId="3" xfId="88" applyNumberFormat="1" applyFont="1" applyFill="1" applyBorder="1" applyAlignment="1">
      <alignment horizontal="center" vertical="center"/>
    </xf>
    <xf numFmtId="172" fontId="27" fillId="0" borderId="3" xfId="80" applyNumberFormat="1" applyFont="1" applyFill="1" applyBorder="1" applyAlignment="1">
      <alignment horizontal="center" vertical="center"/>
    </xf>
    <xf numFmtId="172" fontId="27" fillId="5" borderId="3" xfId="88" applyNumberFormat="1" applyFont="1" applyFill="1" applyBorder="1" applyAlignment="1">
      <alignment horizontal="center" vertical="center"/>
    </xf>
    <xf numFmtId="172" fontId="27" fillId="5" borderId="3" xfId="80" applyNumberFormat="1" applyFont="1" applyFill="1" applyBorder="1" applyAlignment="1">
      <alignment horizontal="center" vertical="center"/>
    </xf>
    <xf numFmtId="172" fontId="27" fillId="0" borderId="5" xfId="88" applyNumberFormat="1" applyFont="1" applyFill="1" applyBorder="1" applyAlignment="1">
      <alignment horizontal="center" vertical="center"/>
    </xf>
    <xf numFmtId="0" fontId="24" fillId="0" borderId="0" xfId="128" applyFont="1" applyAlignment="1">
      <alignment vertical="center"/>
    </xf>
    <xf numFmtId="172" fontId="27" fillId="0" borderId="3" xfId="88" applyNumberFormat="1" applyFont="1" applyFill="1" applyBorder="1" applyAlignment="1">
      <alignment vertical="center"/>
    </xf>
    <xf numFmtId="172" fontId="27" fillId="5" borderId="3" xfId="88" applyNumberFormat="1" applyFont="1" applyFill="1" applyBorder="1" applyAlignment="1">
      <alignment vertical="center"/>
    </xf>
    <xf numFmtId="172" fontId="27" fillId="5" borderId="3" xfId="80" applyNumberFormat="1" applyFont="1" applyFill="1" applyBorder="1" applyAlignment="1">
      <alignment vertical="center"/>
    </xf>
    <xf numFmtId="0" fontId="29"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0" fillId="0" borderId="3" xfId="128" applyFont="1" applyFill="1" applyBorder="1" applyAlignment="1" applyProtection="1">
      <alignment horizontal="justify" vertical="center" wrapText="1"/>
    </xf>
    <xf numFmtId="172" fontId="31" fillId="0" borderId="0" xfId="81" applyNumberFormat="1" applyFont="1" applyFill="1" applyBorder="1"/>
    <xf numFmtId="3" fontId="31" fillId="0" borderId="3" xfId="81" applyNumberFormat="1" applyFont="1" applyFill="1" applyBorder="1" applyAlignment="1">
      <alignment horizontal="center" vertical="center"/>
    </xf>
    <xf numFmtId="172" fontId="31" fillId="0" borderId="3" xfId="80" applyNumberFormat="1" applyFont="1" applyFill="1" applyBorder="1" applyAlignment="1">
      <alignment horizontal="center" vertical="center"/>
    </xf>
    <xf numFmtId="0" fontId="32" fillId="0" borderId="0" xfId="128" applyFont="1" applyBorder="1"/>
    <xf numFmtId="49" fontId="9" fillId="7" borderId="5" xfId="106" applyNumberFormat="1" applyFont="1" applyFill="1" applyBorder="1" applyAlignment="1">
      <alignment horizontal="center" vertical="center" wrapText="1"/>
    </xf>
    <xf numFmtId="0" fontId="30" fillId="5" borderId="3" xfId="128" applyFont="1" applyFill="1" applyBorder="1" applyAlignment="1" applyProtection="1">
      <alignment horizontal="justify" vertical="center" wrapText="1"/>
    </xf>
    <xf numFmtId="172" fontId="31" fillId="0" borderId="3" xfId="88" applyNumberFormat="1" applyFont="1" applyFill="1" applyBorder="1" applyAlignment="1">
      <alignment horizontal="center" vertical="center"/>
    </xf>
    <xf numFmtId="172" fontId="31" fillId="5" borderId="0" xfId="81" applyNumberFormat="1" applyFont="1" applyFill="1" applyBorder="1"/>
    <xf numFmtId="172" fontId="31" fillId="5" borderId="3" xfId="88" applyNumberFormat="1" applyFont="1" applyFill="1" applyBorder="1" applyAlignment="1">
      <alignment horizontal="center" vertical="center"/>
    </xf>
    <xf numFmtId="0" fontId="24" fillId="5" borderId="0" xfId="128" applyFont="1" applyFill="1"/>
    <xf numFmtId="0" fontId="18" fillId="0" borderId="0" xfId="128" applyFont="1"/>
    <xf numFmtId="0" fontId="32" fillId="0" borderId="0" xfId="128" applyFont="1" applyFill="1" applyBorder="1"/>
    <xf numFmtId="0" fontId="24" fillId="0" borderId="3" xfId="128" applyFont="1" applyBorder="1"/>
    <xf numFmtId="0" fontId="24" fillId="0" borderId="3" xfId="128" applyFont="1" applyBorder="1" applyAlignment="1">
      <alignment horizontal="center"/>
    </xf>
    <xf numFmtId="0" fontId="24" fillId="0" borderId="0" xfId="128" applyFont="1" applyBorder="1"/>
    <xf numFmtId="0" fontId="24" fillId="0" borderId="0" xfId="128" applyFont="1" applyBorder="1" applyAlignment="1">
      <alignment horizontal="center"/>
    </xf>
    <xf numFmtId="0" fontId="30" fillId="5" borderId="0" xfId="128" applyFont="1" applyFill="1" applyBorder="1" applyAlignment="1" applyProtection="1">
      <alignment horizontal="justify" vertical="center" wrapText="1"/>
    </xf>
    <xf numFmtId="172" fontId="31" fillId="0" borderId="0" xfId="80" applyNumberFormat="1" applyFont="1" applyFill="1" applyBorder="1" applyAlignment="1">
      <alignment horizontal="center" vertical="center"/>
    </xf>
    <xf numFmtId="172" fontId="31" fillId="0" borderId="0" xfId="80" applyNumberFormat="1" applyFont="1" applyFill="1" applyBorder="1" applyAlignment="1">
      <alignment vertical="center"/>
    </xf>
    <xf numFmtId="172" fontId="33" fillId="0" borderId="0" xfId="80" applyNumberFormat="1" applyFont="1" applyFill="1" applyBorder="1" applyAlignment="1">
      <alignment horizontal="center" vertical="center"/>
    </xf>
    <xf numFmtId="172" fontId="27" fillId="0" borderId="4" xfId="80" applyNumberFormat="1" applyFont="1" applyFill="1" applyBorder="1" applyAlignment="1">
      <alignment horizontal="center" vertical="center"/>
    </xf>
    <xf numFmtId="0" fontId="34" fillId="8" borderId="3" xfId="128" applyFont="1" applyFill="1" applyBorder="1" applyAlignment="1">
      <alignment vertical="center" wrapText="1"/>
    </xf>
    <xf numFmtId="172" fontId="35" fillId="0" borderId="3" xfId="80" applyNumberFormat="1" applyFont="1" applyFill="1" applyBorder="1" applyAlignment="1">
      <alignment vertical="center"/>
    </xf>
    <xf numFmtId="172" fontId="35" fillId="0" borderId="3" xfId="80" applyNumberFormat="1" applyFont="1" applyFill="1" applyBorder="1" applyAlignment="1">
      <alignment horizontal="center" vertical="center"/>
    </xf>
    <xf numFmtId="172" fontId="36" fillId="0" borderId="3" xfId="80" applyNumberFormat="1" applyFont="1" applyFill="1" applyBorder="1" applyAlignment="1">
      <alignment horizontal="center" vertical="center"/>
    </xf>
    <xf numFmtId="0" fontId="24" fillId="0" borderId="4" xfId="128" applyFont="1" applyFill="1" applyBorder="1" applyAlignment="1">
      <alignment vertical="center" wrapText="1"/>
    </xf>
    <xf numFmtId="0" fontId="24" fillId="0" borderId="5"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174" fontId="18" fillId="0" borderId="0" xfId="24" applyNumberFormat="1" applyBorder="1"/>
    <xf numFmtId="172" fontId="18" fillId="0" borderId="0" xfId="128" applyNumberFormat="1" applyBorder="1"/>
    <xf numFmtId="0" fontId="24" fillId="0" borderId="3" xfId="0" applyFont="1" applyBorder="1"/>
    <xf numFmtId="0" fontId="0" fillId="0" borderId="3" xfId="0" applyBorder="1"/>
    <xf numFmtId="172" fontId="0" fillId="0" borderId="3" xfId="0" applyNumberFormat="1" applyBorder="1"/>
    <xf numFmtId="172" fontId="24" fillId="0" borderId="3" xfId="0" applyNumberFormat="1" applyFont="1" applyBorder="1"/>
    <xf numFmtId="172" fontId="31" fillId="10" borderId="3" xfId="80" applyNumberFormat="1" applyFont="1" applyFill="1" applyBorder="1" applyAlignment="1">
      <alignment horizontal="center" vertical="center"/>
    </xf>
    <xf numFmtId="0" fontId="25" fillId="0" borderId="3" xfId="128" applyFont="1" applyBorder="1"/>
    <xf numFmtId="0" fontId="25" fillId="0" borderId="3" xfId="128" applyFont="1" applyBorder="1" applyAlignment="1">
      <alignment horizontal="center" vertical="center" wrapText="1"/>
    </xf>
    <xf numFmtId="0" fontId="28" fillId="0" borderId="3" xfId="128" applyFont="1" applyBorder="1"/>
    <xf numFmtId="0" fontId="18" fillId="0" borderId="3" xfId="128" applyBorder="1"/>
    <xf numFmtId="0" fontId="32" fillId="0" borderId="3" xfId="128" applyFont="1" applyBorder="1"/>
    <xf numFmtId="0" fontId="28" fillId="5" borderId="3" xfId="128" applyFont="1" applyFill="1" applyBorder="1"/>
    <xf numFmtId="0" fontId="32" fillId="5" borderId="3" xfId="128" applyFont="1" applyFill="1" applyBorder="1"/>
    <xf numFmtId="172" fontId="31" fillId="0" borderId="3" xfId="80" applyNumberFormat="1" applyFont="1" applyFill="1" applyBorder="1" applyAlignment="1">
      <alignment vertical="center"/>
    </xf>
    <xf numFmtId="172" fontId="18" fillId="11" borderId="0" xfId="128" applyNumberFormat="1" applyFill="1"/>
    <xf numFmtId="172" fontId="24" fillId="11" borderId="0" xfId="128" applyNumberFormat="1" applyFont="1" applyFill="1"/>
    <xf numFmtId="172" fontId="18" fillId="0" borderId="0" xfId="128" applyNumberFormat="1"/>
    <xf numFmtId="3" fontId="35" fillId="0" borderId="3" xfId="81" applyNumberFormat="1" applyFont="1" applyFill="1" applyBorder="1" applyAlignment="1">
      <alignment horizontal="center" vertical="center"/>
    </xf>
    <xf numFmtId="0" fontId="19" fillId="0" borderId="0" xfId="128" applyFont="1" applyBorder="1"/>
    <xf numFmtId="0" fontId="23" fillId="0" borderId="0" xfId="128" applyFont="1"/>
    <xf numFmtId="0" fontId="38" fillId="0" borderId="0" xfId="106" applyFont="1"/>
    <xf numFmtId="0" fontId="39" fillId="0" borderId="0" xfId="106" applyFont="1"/>
    <xf numFmtId="0" fontId="23" fillId="0" borderId="0" xfId="128" applyFont="1" applyBorder="1"/>
    <xf numFmtId="3" fontId="33" fillId="0" borderId="3" xfId="81" applyNumberFormat="1" applyFont="1" applyFill="1" applyBorder="1" applyAlignment="1">
      <alignment horizontal="center" vertical="center"/>
    </xf>
    <xf numFmtId="174" fontId="23" fillId="0" borderId="0" xfId="24" applyNumberFormat="1" applyFont="1" applyBorder="1"/>
    <xf numFmtId="0" fontId="40" fillId="0" borderId="0" xfId="128" applyFont="1"/>
    <xf numFmtId="174" fontId="23" fillId="0" borderId="0" xfId="24" applyNumberFormat="1" applyFont="1" applyAlignment="1">
      <alignment vertical="center"/>
    </xf>
    <xf numFmtId="0" fontId="18" fillId="0" borderId="0" xfId="128" applyFill="1"/>
    <xf numFmtId="0" fontId="41" fillId="0" borderId="0" xfId="128" applyFont="1" applyFill="1"/>
    <xf numFmtId="0" fontId="4" fillId="0" borderId="0" xfId="168" applyFont="1" applyBorder="1" applyAlignment="1"/>
    <xf numFmtId="1" fontId="10" fillId="5" borderId="3" xfId="319" applyNumberFormat="1" applyFont="1" applyFill="1" applyBorder="1" applyAlignment="1">
      <alignment horizontal="center" vertical="center" wrapText="1"/>
    </xf>
    <xf numFmtId="164" fontId="3" fillId="0" borderId="3" xfId="0" applyNumberFormat="1" applyFont="1" applyFill="1" applyBorder="1" applyAlignment="1">
      <alignment horizontal="right" vertical="center"/>
    </xf>
    <xf numFmtId="175" fontId="3" fillId="0" borderId="3" xfId="0" applyNumberFormat="1" applyFont="1" applyFill="1" applyBorder="1" applyAlignment="1">
      <alignment horizontal="right" vertical="center"/>
    </xf>
    <xf numFmtId="175" fontId="29" fillId="0" borderId="3" xfId="0" applyNumberFormat="1" applyFont="1" applyFill="1" applyBorder="1" applyAlignment="1">
      <alignment horizontal="right" vertical="center"/>
    </xf>
    <xf numFmtId="3" fontId="27" fillId="0" borderId="4" xfId="81" applyNumberFormat="1" applyFont="1" applyFill="1" applyBorder="1" applyAlignment="1">
      <alignment horizontal="center" vertical="center"/>
    </xf>
    <xf numFmtId="0" fontId="18" fillId="0" borderId="0" xfId="128" applyFill="1" applyBorder="1"/>
    <xf numFmtId="0" fontId="37" fillId="0" borderId="0" xfId="168" applyFont="1" applyBorder="1" applyAlignment="1"/>
    <xf numFmtId="0" fontId="38" fillId="0" borderId="0" xfId="168" applyFont="1"/>
    <xf numFmtId="9" fontId="35" fillId="0" borderId="3" xfId="149" applyFont="1" applyFill="1" applyBorder="1" applyAlignment="1">
      <alignment horizontal="center" vertical="center"/>
    </xf>
    <xf numFmtId="0" fontId="24" fillId="0" borderId="0" xfId="128" applyFont="1" applyFill="1"/>
    <xf numFmtId="1" fontId="10" fillId="0" borderId="3" xfId="150"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24" fillId="0" borderId="6" xfId="128" applyFont="1" applyFill="1" applyBorder="1" applyAlignment="1">
      <alignment horizontal="left" vertical="center" wrapText="1"/>
    </xf>
    <xf numFmtId="0" fontId="26" fillId="0" borderId="2" xfId="128" applyFont="1" applyFill="1" applyBorder="1" applyAlignment="1" applyProtection="1">
      <alignment horizontal="center" vertical="center" wrapText="1"/>
    </xf>
    <xf numFmtId="0" fontId="18" fillId="0" borderId="0" xfId="128" applyAlignment="1">
      <alignment horizontal="center"/>
    </xf>
    <xf numFmtId="0" fontId="24" fillId="0" borderId="0" xfId="128" applyFont="1" applyAlignment="1">
      <alignment vertical="center" wrapText="1"/>
    </xf>
    <xf numFmtId="0" fontId="24" fillId="0" borderId="0" xfId="128" applyFont="1" applyAlignment="1">
      <alignment wrapText="1"/>
    </xf>
    <xf numFmtId="9" fontId="10" fillId="0" borderId="3" xfId="149" applyFont="1" applyFill="1" applyBorder="1" applyAlignment="1">
      <alignment horizontal="center" vertical="center" wrapText="1"/>
    </xf>
    <xf numFmtId="174" fontId="23" fillId="0" borderId="0" xfId="24" applyNumberFormat="1" applyFont="1" applyFill="1" applyAlignment="1">
      <alignment vertical="center"/>
    </xf>
    <xf numFmtId="9" fontId="27" fillId="16" borderId="4" xfId="149" applyFont="1" applyFill="1" applyBorder="1" applyAlignment="1">
      <alignment horizontal="center" vertical="center"/>
    </xf>
    <xf numFmtId="3" fontId="27" fillId="16" borderId="4" xfId="81" applyNumberFormat="1" applyFont="1" applyFill="1" applyBorder="1" applyAlignment="1">
      <alignment horizontal="center" vertical="center"/>
    </xf>
    <xf numFmtId="172" fontId="27" fillId="16" borderId="3" xfId="80" applyNumberFormat="1" applyFont="1" applyFill="1" applyBorder="1" applyAlignment="1">
      <alignment horizontal="center" vertical="center"/>
    </xf>
    <xf numFmtId="0" fontId="28" fillId="16" borderId="0" xfId="128" applyFont="1" applyFill="1" applyBorder="1"/>
    <xf numFmtId="9" fontId="27" fillId="16" borderId="3" xfId="149" applyFont="1" applyFill="1" applyBorder="1" applyAlignment="1">
      <alignment horizontal="center" vertical="center"/>
    </xf>
    <xf numFmtId="0" fontId="18" fillId="16" borderId="0" xfId="128" applyFill="1"/>
    <xf numFmtId="9" fontId="10" fillId="16" borderId="3" xfId="149" applyFont="1" applyFill="1" applyBorder="1" applyAlignment="1">
      <alignment horizontal="center" vertical="center" wrapText="1"/>
    </xf>
    <xf numFmtId="164" fontId="3" fillId="16" borderId="3" xfId="0" applyNumberFormat="1" applyFont="1" applyFill="1" applyBorder="1" applyAlignment="1">
      <alignment horizontal="right" vertical="center"/>
    </xf>
    <xf numFmtId="175" fontId="3" fillId="16" borderId="3" xfId="0" applyNumberFormat="1" applyFont="1" applyFill="1" applyBorder="1" applyAlignment="1">
      <alignment horizontal="right" vertical="center"/>
    </xf>
    <xf numFmtId="0" fontId="41" fillId="16" borderId="0" xfId="128" applyFont="1" applyFill="1"/>
    <xf numFmtId="9" fontId="35" fillId="16" borderId="3" xfId="149" applyFont="1" applyFill="1" applyBorder="1" applyAlignment="1">
      <alignment horizontal="center" vertical="center"/>
    </xf>
    <xf numFmtId="172" fontId="35" fillId="16" borderId="3" xfId="80" applyNumberFormat="1" applyFont="1" applyFill="1" applyBorder="1" applyAlignment="1">
      <alignment vertical="center"/>
    </xf>
    <xf numFmtId="0" fontId="26" fillId="16" borderId="3" xfId="128" applyFont="1" applyFill="1" applyBorder="1" applyAlignment="1" applyProtection="1">
      <alignment horizontal="justify" vertical="center" wrapText="1"/>
    </xf>
    <xf numFmtId="9" fontId="10" fillId="5" borderId="3" xfId="149" applyFont="1" applyFill="1" applyBorder="1" applyAlignment="1">
      <alignment horizontal="center" vertical="center" wrapText="1"/>
    </xf>
    <xf numFmtId="0" fontId="4" fillId="0" borderId="0" xfId="106" applyFont="1" applyBorder="1" applyAlignment="1">
      <alignment horizontal="center"/>
    </xf>
    <xf numFmtId="0" fontId="24" fillId="0" borderId="0" xfId="128" applyFont="1" applyAlignment="1">
      <alignment horizontal="center"/>
    </xf>
    <xf numFmtId="0" fontId="24" fillId="0" borderId="0" xfId="128" applyFont="1" applyAlignment="1">
      <alignment horizontal="center" vertical="center"/>
    </xf>
    <xf numFmtId="0" fontId="18" fillId="0" borderId="0" xfId="128" applyFont="1" applyAlignment="1">
      <alignment horizontal="center"/>
    </xf>
    <xf numFmtId="3" fontId="27" fillId="16" borderId="3" xfId="81" applyNumberFormat="1" applyFont="1" applyFill="1" applyBorder="1" applyAlignment="1">
      <alignment horizontal="center" vertical="center"/>
    </xf>
    <xf numFmtId="1" fontId="10" fillId="16" borderId="3" xfId="319" applyNumberFormat="1" applyFont="1" applyFill="1" applyBorder="1" applyAlignment="1">
      <alignment horizontal="center" vertical="center" wrapText="1"/>
    </xf>
    <xf numFmtId="3" fontId="35" fillId="16" borderId="3" xfId="81" applyNumberFormat="1" applyFont="1" applyFill="1" applyBorder="1" applyAlignment="1">
      <alignment horizontal="center" vertical="center"/>
    </xf>
    <xf numFmtId="188" fontId="27" fillId="0" borderId="4" xfId="81" applyNumberFormat="1" applyFont="1" applyFill="1" applyBorder="1" applyAlignment="1">
      <alignment horizontal="center" vertical="center"/>
    </xf>
    <xf numFmtId="188" fontId="27" fillId="16" borderId="4" xfId="81" applyNumberFormat="1" applyFont="1" applyFill="1" applyBorder="1" applyAlignment="1">
      <alignment horizontal="center" vertical="center"/>
    </xf>
    <xf numFmtId="171" fontId="35" fillId="0" borderId="3" xfId="149" applyNumberFormat="1" applyFont="1" applyFill="1" applyBorder="1" applyAlignment="1">
      <alignment horizontal="center" vertical="center"/>
    </xf>
    <xf numFmtId="0" fontId="0" fillId="0" borderId="3" xfId="128" applyFont="1" applyBorder="1" applyAlignment="1">
      <alignment wrapText="1"/>
    </xf>
    <xf numFmtId="189" fontId="31" fillId="0" borderId="3" xfId="80" applyNumberFormat="1" applyFont="1" applyFill="1" applyBorder="1" applyAlignment="1">
      <alignment horizontal="center" vertical="center"/>
    </xf>
    <xf numFmtId="49" fontId="9" fillId="6" borderId="0" xfId="106"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190" fontId="18" fillId="0" borderId="0" xfId="3515" applyNumberFormat="1"/>
    <xf numFmtId="190" fontId="4" fillId="0" borderId="0" xfId="3515" applyNumberFormat="1" applyFont="1" applyBorder="1" applyAlignment="1"/>
    <xf numFmtId="190" fontId="18" fillId="0" borderId="0" xfId="3515" applyNumberFormat="1" applyBorder="1"/>
    <xf numFmtId="190" fontId="34" fillId="8" borderId="3" xfId="3515" applyNumberFormat="1" applyFont="1" applyFill="1" applyBorder="1" applyAlignment="1">
      <alignment vertical="center" wrapText="1"/>
    </xf>
    <xf numFmtId="190" fontId="27" fillId="16" borderId="4" xfId="3515" applyNumberFormat="1" applyFont="1" applyFill="1" applyBorder="1" applyAlignment="1">
      <alignment horizontal="center" vertical="center"/>
    </xf>
    <xf numFmtId="190" fontId="27" fillId="0" borderId="3" xfId="3515" applyNumberFormat="1" applyFont="1" applyFill="1" applyBorder="1" applyAlignment="1">
      <alignment horizontal="center" vertical="center"/>
    </xf>
    <xf numFmtId="190" fontId="31" fillId="0" borderId="3" xfId="3515" applyNumberFormat="1" applyFont="1" applyFill="1" applyBorder="1" applyAlignment="1">
      <alignment horizontal="center" vertical="center"/>
    </xf>
    <xf numFmtId="190" fontId="27" fillId="0" borderId="4" xfId="3515" applyNumberFormat="1" applyFont="1" applyFill="1" applyBorder="1" applyAlignment="1">
      <alignment horizontal="center" vertical="center"/>
    </xf>
    <xf numFmtId="190" fontId="27" fillId="16" borderId="3" xfId="3515" applyNumberFormat="1" applyFont="1" applyFill="1" applyBorder="1" applyAlignment="1">
      <alignment horizontal="center" vertical="center"/>
    </xf>
    <xf numFmtId="190" fontId="19" fillId="0" borderId="0" xfId="3515" applyNumberFormat="1" applyFont="1"/>
    <xf numFmtId="0" fontId="18" fillId="0" borderId="0" xfId="128" applyBorder="1" applyAlignment="1">
      <alignment horizontal="center"/>
    </xf>
    <xf numFmtId="170" fontId="27" fillId="0" borderId="3" xfId="24" applyFont="1" applyFill="1" applyBorder="1" applyAlignment="1">
      <alignment horizontal="center" vertical="center"/>
    </xf>
    <xf numFmtId="170" fontId="35" fillId="0" borderId="3" xfId="24" applyFont="1" applyFill="1" applyBorder="1" applyAlignment="1">
      <alignment horizontal="center" vertical="center"/>
    </xf>
    <xf numFmtId="188" fontId="27" fillId="0" borderId="3" xfId="81" applyNumberFormat="1" applyFont="1" applyFill="1" applyBorder="1" applyAlignment="1">
      <alignment horizontal="center" vertical="center"/>
    </xf>
    <xf numFmtId="166" fontId="27" fillId="0" borderId="3" xfId="3515" applyNumberFormat="1" applyFont="1" applyFill="1" applyBorder="1" applyAlignment="1">
      <alignment horizontal="center" vertical="center"/>
    </xf>
    <xf numFmtId="169" fontId="27" fillId="0" borderId="3" xfId="80" applyNumberFormat="1" applyFont="1" applyFill="1" applyBorder="1" applyAlignment="1">
      <alignment horizontal="center" vertical="center"/>
    </xf>
    <xf numFmtId="191" fontId="27" fillId="0" borderId="3" xfId="3516" applyNumberFormat="1" applyFont="1" applyFill="1" applyBorder="1" applyAlignment="1">
      <alignment horizontal="center" vertical="center"/>
    </xf>
    <xf numFmtId="41" fontId="35" fillId="0" borderId="3" xfId="3516" applyFont="1" applyFill="1" applyBorder="1" applyAlignment="1">
      <alignment horizontal="center" vertical="center"/>
    </xf>
    <xf numFmtId="171" fontId="10" fillId="5" borderId="3" xfId="149" applyNumberFormat="1" applyFont="1" applyFill="1" applyBorder="1" applyAlignment="1">
      <alignment horizontal="center" vertical="center" wrapText="1"/>
    </xf>
    <xf numFmtId="171" fontId="27" fillId="16" borderId="3" xfId="149" applyNumberFormat="1" applyFont="1" applyFill="1" applyBorder="1" applyAlignment="1">
      <alignment horizontal="center" vertical="center"/>
    </xf>
    <xf numFmtId="171" fontId="27" fillId="0" borderId="3" xfId="149" applyNumberFormat="1" applyFont="1" applyFill="1" applyBorder="1" applyAlignment="1">
      <alignment horizontal="center" vertical="center"/>
    </xf>
    <xf numFmtId="190" fontId="35" fillId="0" borderId="3" xfId="80" applyNumberFormat="1" applyFont="1" applyFill="1" applyBorder="1" applyAlignment="1">
      <alignment horizontal="center" vertical="center"/>
    </xf>
    <xf numFmtId="9" fontId="35" fillId="0" borderId="3" xfId="149" applyNumberFormat="1" applyFont="1" applyFill="1" applyBorder="1" applyAlignment="1">
      <alignment horizontal="center" vertical="center"/>
    </xf>
    <xf numFmtId="9" fontId="27" fillId="0" borderId="3" xfId="149" applyNumberFormat="1" applyFont="1" applyFill="1" applyBorder="1" applyAlignment="1">
      <alignment horizontal="center" vertical="center"/>
    </xf>
    <xf numFmtId="0" fontId="27" fillId="0" borderId="3" xfId="149" applyNumberFormat="1" applyFont="1" applyFill="1" applyBorder="1" applyAlignment="1">
      <alignment horizontal="center" vertical="center"/>
    </xf>
    <xf numFmtId="0" fontId="27" fillId="16" borderId="3" xfId="81" applyNumberFormat="1" applyFont="1" applyFill="1" applyBorder="1" applyAlignment="1">
      <alignment horizontal="center" vertical="center"/>
    </xf>
    <xf numFmtId="9" fontId="27" fillId="16" borderId="3" xfId="3459" applyFont="1" applyFill="1" applyBorder="1" applyAlignment="1">
      <alignment horizontal="center" vertical="center"/>
    </xf>
    <xf numFmtId="171" fontId="35" fillId="16" borderId="3" xfId="3459" applyNumberFormat="1" applyFont="1" applyFill="1" applyBorder="1" applyAlignment="1">
      <alignment horizontal="center" vertical="center"/>
    </xf>
    <xf numFmtId="9" fontId="27" fillId="0" borderId="3" xfId="3459" applyFont="1" applyFill="1" applyBorder="1" applyAlignment="1">
      <alignment horizontal="center" vertical="center"/>
    </xf>
    <xf numFmtId="10" fontId="35" fillId="0" borderId="3" xfId="3459" applyNumberFormat="1" applyFont="1" applyFill="1" applyBorder="1" applyAlignment="1">
      <alignment horizontal="center" vertical="center"/>
    </xf>
    <xf numFmtId="9" fontId="10" fillId="16" borderId="3" xfId="3459" applyFont="1" applyFill="1" applyBorder="1" applyAlignment="1">
      <alignment horizontal="center" vertical="center" wrapText="1"/>
    </xf>
    <xf numFmtId="9" fontId="10" fillId="5" borderId="3" xfId="3459" applyFont="1" applyFill="1" applyBorder="1" applyAlignment="1">
      <alignment horizontal="center" vertical="center" wrapText="1"/>
    </xf>
    <xf numFmtId="9" fontId="35" fillId="16" borderId="3" xfId="3459" applyFont="1" applyFill="1" applyBorder="1" applyAlignment="1">
      <alignment horizontal="center" vertical="center"/>
    </xf>
    <xf numFmtId="9" fontId="35" fillId="0" borderId="3" xfId="3459" applyFont="1" applyFill="1" applyBorder="1" applyAlignment="1">
      <alignment horizontal="center" vertical="center"/>
    </xf>
    <xf numFmtId="171" fontId="27" fillId="16" borderId="3" xfId="3459" applyNumberFormat="1" applyFont="1" applyFill="1" applyBorder="1" applyAlignment="1">
      <alignment horizontal="center" vertical="center"/>
    </xf>
    <xf numFmtId="171" fontId="27" fillId="0" borderId="3" xfId="3459" applyNumberFormat="1" applyFont="1" applyFill="1" applyBorder="1" applyAlignment="1">
      <alignment horizontal="center" vertical="center"/>
    </xf>
    <xf numFmtId="9" fontId="10" fillId="0" borderId="3" xfId="3459" applyFont="1" applyFill="1" applyBorder="1" applyAlignment="1">
      <alignment horizontal="center" vertical="center" wrapText="1"/>
    </xf>
    <xf numFmtId="171" fontId="35" fillId="0" borderId="3" xfId="3459" applyNumberFormat="1" applyFont="1" applyFill="1" applyBorder="1" applyAlignment="1">
      <alignment horizontal="center" vertical="center"/>
    </xf>
    <xf numFmtId="171" fontId="35" fillId="16" borderId="3" xfId="149" applyNumberFormat="1" applyFont="1" applyFill="1" applyBorder="1" applyAlignment="1">
      <alignment horizontal="center" vertical="center"/>
    </xf>
    <xf numFmtId="9" fontId="27" fillId="0" borderId="3" xfId="3459" applyNumberFormat="1" applyFont="1" applyFill="1" applyBorder="1" applyAlignment="1">
      <alignment horizontal="center" vertical="center"/>
    </xf>
    <xf numFmtId="9" fontId="35" fillId="0" borderId="3" xfId="3459" applyNumberFormat="1" applyFont="1" applyFill="1" applyBorder="1" applyAlignment="1">
      <alignment horizontal="center" vertical="center"/>
    </xf>
    <xf numFmtId="192" fontId="35" fillId="0" borderId="3" xfId="3516" applyNumberFormat="1" applyFont="1" applyFill="1" applyBorder="1" applyAlignment="1">
      <alignment horizontal="center" vertical="center"/>
    </xf>
    <xf numFmtId="10" fontId="27" fillId="0" borderId="3" xfId="149" applyNumberFormat="1" applyFont="1" applyFill="1" applyBorder="1" applyAlignment="1">
      <alignment horizontal="center" vertical="center"/>
    </xf>
    <xf numFmtId="0" fontId="34" fillId="8" borderId="3"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5" fillId="8" borderId="18" xfId="128" applyFont="1" applyFill="1" applyBorder="1" applyAlignment="1">
      <alignment horizontal="center" vertical="center" wrapText="1"/>
    </xf>
    <xf numFmtId="0" fontId="25" fillId="8" borderId="19" xfId="128" applyFont="1" applyFill="1" applyBorder="1" applyAlignment="1">
      <alignment horizontal="center" vertical="center" wrapText="1"/>
    </xf>
    <xf numFmtId="0" fontId="25" fillId="8" borderId="20" xfId="128" applyFont="1" applyFill="1" applyBorder="1" applyAlignment="1">
      <alignment horizontal="center" vertical="center" wrapText="1"/>
    </xf>
    <xf numFmtId="0" fontId="25" fillId="8" borderId="24" xfId="128" applyFont="1" applyFill="1" applyBorder="1" applyAlignment="1">
      <alignment horizontal="center" vertical="center" wrapText="1"/>
    </xf>
    <xf numFmtId="0" fontId="25" fillId="8" borderId="6" xfId="128" applyFont="1" applyFill="1" applyBorder="1" applyAlignment="1">
      <alignment horizontal="center" vertical="center" wrapText="1"/>
    </xf>
    <xf numFmtId="0" fontId="25" fillId="8" borderId="25" xfId="128" applyFont="1" applyFill="1" applyBorder="1" applyAlignment="1">
      <alignment horizontal="center" vertical="center" wrapText="1"/>
    </xf>
    <xf numFmtId="0" fontId="25" fillId="8" borderId="21" xfId="128" applyFont="1" applyFill="1" applyBorder="1" applyAlignment="1">
      <alignment horizontal="center" vertical="center" wrapText="1"/>
    </xf>
    <xf numFmtId="0" fontId="25" fillId="8" borderId="22" xfId="128" applyFont="1" applyFill="1" applyBorder="1" applyAlignment="1">
      <alignment horizontal="center" vertical="center" wrapText="1"/>
    </xf>
    <xf numFmtId="0" fontId="25"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4" fillId="0" borderId="0" xfId="128" applyFont="1" applyAlignment="1">
      <alignment horizontal="left" vertical="center" wrapText="1"/>
    </xf>
    <xf numFmtId="0" fontId="24" fillId="0" borderId="5"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5" fillId="8" borderId="8" xfId="128" applyFont="1" applyFill="1" applyBorder="1" applyAlignment="1">
      <alignment horizontal="center" vertical="center" wrapText="1"/>
    </xf>
    <xf numFmtId="0" fontId="25" fillId="8" borderId="9" xfId="128" applyFont="1" applyFill="1" applyBorder="1" applyAlignment="1">
      <alignment horizontal="center" vertical="center" wrapText="1"/>
    </xf>
    <xf numFmtId="0" fontId="25"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4" fillId="5" borderId="5" xfId="128"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4"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4" fillId="8" borderId="5" xfId="128" applyFont="1" applyFill="1" applyBorder="1" applyAlignment="1">
      <alignment horizontal="center" vertical="center" wrapText="1"/>
    </xf>
    <xf numFmtId="0" fontId="34" fillId="8" borderId="4" xfId="128" applyFont="1" applyFill="1" applyBorder="1" applyAlignment="1">
      <alignment horizontal="center" vertical="center" wrapText="1"/>
    </xf>
    <xf numFmtId="0" fontId="24" fillId="0" borderId="11" xfId="128" applyFont="1" applyBorder="1" applyAlignment="1">
      <alignment horizontal="left"/>
    </xf>
    <xf numFmtId="0" fontId="24" fillId="0" borderId="12" xfId="128" applyFont="1" applyBorder="1" applyAlignment="1">
      <alignment horizontal="left"/>
    </xf>
    <xf numFmtId="0" fontId="24" fillId="0" borderId="13" xfId="128" applyFont="1" applyBorder="1" applyAlignment="1">
      <alignment horizontal="left"/>
    </xf>
    <xf numFmtId="0" fontId="25" fillId="8" borderId="5" xfId="128" applyFont="1" applyFill="1" applyBorder="1" applyAlignment="1">
      <alignment horizontal="center" vertical="center" wrapText="1"/>
    </xf>
    <xf numFmtId="0" fontId="25" fillId="8" borderId="4" xfId="128" applyFont="1" applyFill="1" applyBorder="1" applyAlignment="1">
      <alignment horizontal="center" vertical="center" wrapText="1"/>
    </xf>
    <xf numFmtId="0" fontId="0" fillId="0" borderId="0" xfId="128" applyFont="1" applyAlignment="1">
      <alignment horizontal="left" vertical="center" wrapText="1"/>
    </xf>
    <xf numFmtId="0" fontId="24" fillId="0" borderId="5" xfId="128" applyFont="1" applyFill="1" applyBorder="1" applyAlignment="1">
      <alignment horizontal="left" vertical="center" wrapText="1"/>
    </xf>
    <xf numFmtId="0" fontId="24" fillId="0" borderId="6" xfId="128" applyFont="1" applyFill="1" applyBorder="1" applyAlignment="1">
      <alignment horizontal="left" vertical="center" wrapText="1"/>
    </xf>
    <xf numFmtId="0" fontId="24" fillId="0" borderId="4" xfId="128" applyFont="1" applyFill="1" applyBorder="1" applyAlignment="1">
      <alignment horizontal="left" vertical="center" wrapText="1"/>
    </xf>
    <xf numFmtId="0" fontId="26" fillId="0" borderId="15" xfId="128" applyFont="1" applyFill="1" applyBorder="1" applyAlignment="1" applyProtection="1">
      <alignment horizontal="center" vertical="center" wrapText="1"/>
    </xf>
    <xf numFmtId="0" fontId="26" fillId="0" borderId="2" xfId="128" applyFont="1" applyFill="1" applyBorder="1" applyAlignment="1" applyProtection="1">
      <alignment horizontal="center" vertical="center" wrapText="1"/>
    </xf>
    <xf numFmtId="0" fontId="25" fillId="8" borderId="2" xfId="128" applyFont="1" applyFill="1" applyBorder="1" applyAlignment="1">
      <alignment horizontal="center" vertical="center" wrapText="1"/>
    </xf>
    <xf numFmtId="0" fontId="20" fillId="8" borderId="3" xfId="128" applyFont="1" applyFill="1" applyBorder="1" applyAlignment="1">
      <alignment horizontal="center" vertical="center" wrapText="1"/>
    </xf>
    <xf numFmtId="0" fontId="26" fillId="0" borderId="8" xfId="128" applyFont="1" applyFill="1" applyBorder="1" applyAlignment="1" applyProtection="1">
      <alignment horizontal="center" vertical="center" wrapText="1"/>
    </xf>
    <xf numFmtId="0" fontId="6" fillId="12" borderId="0" xfId="106" applyFont="1" applyFill="1" applyBorder="1" applyAlignment="1">
      <alignment horizontal="center" vertical="center"/>
    </xf>
  </cellXfs>
  <cellStyles count="3518">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4" t="s">
        <v>77</v>
      </c>
      <c r="B1" s="74" t="s">
        <v>75</v>
      </c>
      <c r="C1" s="74" t="s">
        <v>76</v>
      </c>
    </row>
    <row r="2" spans="1:3" x14ac:dyDescent="0.25">
      <c r="A2" s="75">
        <v>3075</v>
      </c>
      <c r="B2" s="42">
        <v>188629.99454699998</v>
      </c>
      <c r="C2" s="76" t="e">
        <f>+B2-#REF!</f>
        <v>#REF!</v>
      </c>
    </row>
    <row r="3" spans="1:3" x14ac:dyDescent="0.25">
      <c r="A3" s="75">
        <v>208</v>
      </c>
      <c r="B3" s="46">
        <v>46860.264536000002</v>
      </c>
      <c r="C3" s="76" t="e">
        <f>+B3-#REF!</f>
        <v>#REF!</v>
      </c>
    </row>
    <row r="4" spans="1:3" x14ac:dyDescent="0.25">
      <c r="A4" s="75">
        <v>3075</v>
      </c>
      <c r="B4" s="48">
        <v>16911.999999</v>
      </c>
      <c r="C4" s="76" t="e">
        <f>+B4-#REF!</f>
        <v>#REF!</v>
      </c>
    </row>
    <row r="5" spans="1:3" x14ac:dyDescent="0.25">
      <c r="A5" s="75">
        <v>471</v>
      </c>
      <c r="B5" s="64">
        <v>29280</v>
      </c>
      <c r="C5" s="76" t="e">
        <f>+B5-#REF!</f>
        <v>#REF!</v>
      </c>
    </row>
    <row r="6" spans="1:3" x14ac:dyDescent="0.25">
      <c r="A6" s="75">
        <v>943</v>
      </c>
      <c r="B6" s="42">
        <v>1910.88</v>
      </c>
      <c r="C6" s="76" t="e">
        <f>+B6-#REF!</f>
        <v>#REF!</v>
      </c>
    </row>
    <row r="7" spans="1:3" x14ac:dyDescent="0.25">
      <c r="A7" s="75">
        <v>404</v>
      </c>
      <c r="B7" s="42">
        <v>13556.24</v>
      </c>
      <c r="C7" s="76" t="e">
        <f>+B7-#REF!</f>
        <v>#REF!</v>
      </c>
    </row>
    <row r="8" spans="1:3" x14ac:dyDescent="0.25">
      <c r="A8" s="75">
        <v>1174</v>
      </c>
      <c r="B8" s="42">
        <v>7858.6167699999996</v>
      </c>
      <c r="C8" s="76" t="e">
        <f>+B8-#REF!</f>
        <v>#REF!</v>
      </c>
    </row>
    <row r="9" spans="1:3" x14ac:dyDescent="0.25">
      <c r="A9" s="74" t="s">
        <v>75</v>
      </c>
      <c r="B9" s="77">
        <f>SUM(B2:B8)</f>
        <v>305007.99585200002</v>
      </c>
      <c r="C9" s="76"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199" t="s">
        <v>0</v>
      </c>
      <c r="B3" s="200"/>
      <c r="C3" s="200"/>
      <c r="D3" s="201"/>
      <c r="E3" s="1"/>
      <c r="F3" s="2"/>
      <c r="G3" s="2"/>
      <c r="H3" s="2"/>
      <c r="I3" s="2"/>
      <c r="J3" s="2"/>
      <c r="K3" s="2"/>
      <c r="M3" s="2"/>
      <c r="O3" s="2"/>
      <c r="Q3" s="2"/>
    </row>
    <row r="4" spans="1:18" s="3" customFormat="1" ht="12.75" x14ac:dyDescent="0.2">
      <c r="A4" s="199" t="s">
        <v>14</v>
      </c>
      <c r="B4" s="200"/>
      <c r="C4" s="200"/>
      <c r="D4" s="201"/>
      <c r="E4" s="1"/>
      <c r="F4" s="2"/>
      <c r="G4" s="2"/>
      <c r="H4" s="2"/>
      <c r="I4" s="2"/>
      <c r="J4" s="2"/>
      <c r="K4" s="2"/>
      <c r="M4" s="2"/>
      <c r="O4" s="2"/>
      <c r="Q4" s="2"/>
    </row>
    <row r="5" spans="1:18" s="3" customFormat="1" ht="12.75" x14ac:dyDescent="0.2">
      <c r="A5" s="199" t="s">
        <v>0</v>
      </c>
      <c r="B5" s="200"/>
      <c r="C5" s="200"/>
      <c r="D5" s="201"/>
      <c r="E5" s="1"/>
      <c r="F5" s="2"/>
      <c r="G5" s="2"/>
      <c r="H5" s="2"/>
      <c r="I5" s="2"/>
      <c r="J5" s="2"/>
      <c r="K5" s="2"/>
      <c r="M5" s="2"/>
      <c r="O5" s="2"/>
      <c r="Q5" s="2"/>
    </row>
    <row r="6" spans="1:18" s="3" customFormat="1" ht="12.75" x14ac:dyDescent="0.2">
      <c r="A6" s="199" t="s">
        <v>15</v>
      </c>
      <c r="B6" s="200"/>
      <c r="C6" s="200"/>
      <c r="D6" s="201"/>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11" t="s">
        <v>85</v>
      </c>
      <c r="B8" s="212"/>
      <c r="C8" s="212"/>
      <c r="D8" s="212"/>
    </row>
    <row r="9" spans="1:18" s="3" customFormat="1" ht="12.75" x14ac:dyDescent="0.2">
      <c r="A9" s="4"/>
      <c r="B9" s="4"/>
      <c r="C9" s="4"/>
      <c r="D9" s="4"/>
      <c r="E9" s="2"/>
      <c r="F9" s="2"/>
      <c r="G9" s="2"/>
      <c r="H9" s="2"/>
      <c r="I9" s="2"/>
      <c r="J9" s="2"/>
      <c r="K9" s="2"/>
      <c r="M9" s="2"/>
      <c r="O9" s="2"/>
      <c r="Q9" s="2"/>
    </row>
    <row r="10" spans="1:18" ht="34.5" customHeight="1" x14ac:dyDescent="0.25">
      <c r="A10" s="33" t="s">
        <v>1</v>
      </c>
      <c r="B10" s="213" t="s">
        <v>16</v>
      </c>
      <c r="C10" s="213"/>
      <c r="D10" s="213"/>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08" t="s">
        <v>2</v>
      </c>
      <c r="B13" s="202" t="s">
        <v>3</v>
      </c>
      <c r="C13" s="202" t="s">
        <v>67</v>
      </c>
      <c r="D13" s="205" t="s">
        <v>19</v>
      </c>
      <c r="E13" s="10"/>
      <c r="F13" s="67">
        <v>2016</v>
      </c>
      <c r="G13" s="10"/>
      <c r="H13" s="219">
        <v>2017</v>
      </c>
      <c r="I13" s="220"/>
      <c r="J13" s="221"/>
      <c r="K13" s="219">
        <v>2018</v>
      </c>
      <c r="L13" s="221"/>
      <c r="M13" s="219">
        <v>2019</v>
      </c>
      <c r="N13" s="221"/>
      <c r="O13" s="219">
        <v>2020</v>
      </c>
      <c r="P13" s="220"/>
      <c r="Q13" s="220" t="s">
        <v>78</v>
      </c>
      <c r="R13" s="220"/>
    </row>
    <row r="14" spans="1:18" s="11" customFormat="1" ht="15" customHeight="1" x14ac:dyDescent="0.25">
      <c r="A14" s="209"/>
      <c r="B14" s="203"/>
      <c r="C14" s="203"/>
      <c r="D14" s="206"/>
      <c r="E14" s="10"/>
      <c r="F14" s="197" t="s">
        <v>8</v>
      </c>
      <c r="G14" s="10"/>
      <c r="H14" s="197" t="s">
        <v>8</v>
      </c>
      <c r="I14" s="197" t="s">
        <v>84</v>
      </c>
      <c r="J14" s="197" t="s">
        <v>80</v>
      </c>
      <c r="K14" s="197" t="s">
        <v>8</v>
      </c>
      <c r="L14" s="197" t="s">
        <v>79</v>
      </c>
      <c r="M14" s="197" t="s">
        <v>8</v>
      </c>
      <c r="N14" s="197" t="s">
        <v>79</v>
      </c>
      <c r="O14" s="235" t="s">
        <v>8</v>
      </c>
      <c r="P14" s="197" t="s">
        <v>79</v>
      </c>
      <c r="Q14" s="235" t="s">
        <v>8</v>
      </c>
      <c r="R14" s="197" t="s">
        <v>79</v>
      </c>
    </row>
    <row r="15" spans="1:18" s="11" customFormat="1" ht="47.25" customHeight="1" x14ac:dyDescent="0.25">
      <c r="A15" s="210"/>
      <c r="B15" s="204"/>
      <c r="C15" s="204"/>
      <c r="D15" s="207"/>
      <c r="E15" s="12"/>
      <c r="F15" s="197"/>
      <c r="G15" s="12"/>
      <c r="H15" s="197"/>
      <c r="I15" s="197"/>
      <c r="J15" s="197"/>
      <c r="K15" s="197"/>
      <c r="L15" s="197"/>
      <c r="M15" s="197"/>
      <c r="N15" s="197"/>
      <c r="O15" s="236"/>
      <c r="P15" s="197"/>
      <c r="Q15" s="236"/>
      <c r="R15" s="197"/>
    </row>
    <row r="16" spans="1:18" ht="60" customHeight="1" x14ac:dyDescent="0.25">
      <c r="A16" s="217" t="s">
        <v>11</v>
      </c>
      <c r="B16" s="214" t="s">
        <v>12</v>
      </c>
      <c r="C16" s="214"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18"/>
      <c r="B17" s="215"/>
      <c r="C17" s="215"/>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18"/>
      <c r="B18" s="215"/>
      <c r="C18" s="215"/>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18"/>
      <c r="B19" s="215"/>
      <c r="C19" s="215"/>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18"/>
      <c r="B20" s="216"/>
      <c r="C20" s="216"/>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8" t="s">
        <v>52</v>
      </c>
      <c r="C21" s="68"/>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8">
        <f t="shared" si="0"/>
        <v>188629.99454699998</v>
      </c>
      <c r="R21" s="78">
        <f t="shared" si="0"/>
        <v>188629.99454699998</v>
      </c>
      <c r="S21" s="42">
        <v>188629.99454699998</v>
      </c>
      <c r="T21" s="87">
        <f>+S21-R21</f>
        <v>0</v>
      </c>
    </row>
    <row r="22" spans="1:20" ht="21.75" customHeight="1" x14ac:dyDescent="0.25">
      <c r="A22" s="50"/>
      <c r="D22" s="7"/>
      <c r="E22" s="8"/>
      <c r="F22" s="7"/>
      <c r="G22" s="8"/>
      <c r="H22" s="7"/>
      <c r="I22" s="8"/>
      <c r="J22" s="8"/>
      <c r="K22" s="7"/>
      <c r="M22" s="7"/>
      <c r="O22" s="7"/>
      <c r="Q22" s="72"/>
    </row>
    <row r="23" spans="1:20" ht="12.75" customHeight="1" x14ac:dyDescent="0.25">
      <c r="A23" s="6" t="s">
        <v>21</v>
      </c>
      <c r="B23" s="6" t="s">
        <v>22</v>
      </c>
      <c r="C23" s="6"/>
      <c r="D23" s="7"/>
      <c r="E23" s="8"/>
      <c r="F23" s="7"/>
      <c r="G23" s="8"/>
      <c r="H23" s="7"/>
      <c r="I23" s="8"/>
      <c r="J23" s="8"/>
      <c r="K23" s="7"/>
      <c r="M23" s="7"/>
      <c r="O23" s="7"/>
      <c r="Q23" s="73"/>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198" t="s">
        <v>2</v>
      </c>
      <c r="B26" s="198" t="s">
        <v>3</v>
      </c>
      <c r="C26" s="202" t="s">
        <v>67</v>
      </c>
      <c r="D26" s="198" t="s">
        <v>19</v>
      </c>
      <c r="E26" s="10"/>
      <c r="F26" s="71">
        <v>2016</v>
      </c>
      <c r="G26" s="79"/>
      <c r="H26" s="198">
        <v>2017</v>
      </c>
      <c r="I26" s="198"/>
      <c r="J26" s="198"/>
      <c r="K26" s="198">
        <v>2018</v>
      </c>
      <c r="L26" s="198"/>
      <c r="M26" s="198">
        <v>2019</v>
      </c>
      <c r="N26" s="198"/>
      <c r="O26" s="198">
        <v>2020</v>
      </c>
      <c r="P26" s="198"/>
      <c r="Q26" s="198" t="s">
        <v>78</v>
      </c>
      <c r="R26" s="198"/>
    </row>
    <row r="27" spans="1:20" s="11" customFormat="1" ht="15" customHeight="1" x14ac:dyDescent="0.25">
      <c r="A27" s="198"/>
      <c r="B27" s="198"/>
      <c r="C27" s="203"/>
      <c r="D27" s="198"/>
      <c r="E27" s="10"/>
      <c r="F27" s="197" t="s">
        <v>8</v>
      </c>
      <c r="G27" s="79"/>
      <c r="H27" s="197" t="s">
        <v>8</v>
      </c>
      <c r="I27" s="197" t="s">
        <v>84</v>
      </c>
      <c r="J27" s="197" t="s">
        <v>80</v>
      </c>
      <c r="K27" s="197" t="s">
        <v>8</v>
      </c>
      <c r="L27" s="197" t="s">
        <v>79</v>
      </c>
      <c r="M27" s="197" t="s">
        <v>8</v>
      </c>
      <c r="N27" s="197" t="s">
        <v>79</v>
      </c>
      <c r="O27" s="197" t="s">
        <v>8</v>
      </c>
      <c r="P27" s="197" t="s">
        <v>79</v>
      </c>
      <c r="Q27" s="197" t="s">
        <v>8</v>
      </c>
      <c r="R27" s="197" t="s">
        <v>79</v>
      </c>
    </row>
    <row r="28" spans="1:20" s="11" customFormat="1" ht="47.25" customHeight="1" x14ac:dyDescent="0.25">
      <c r="A28" s="198"/>
      <c r="B28" s="198"/>
      <c r="C28" s="204"/>
      <c r="D28" s="198"/>
      <c r="E28" s="12"/>
      <c r="F28" s="197"/>
      <c r="G28" s="80"/>
      <c r="H28" s="197"/>
      <c r="I28" s="197"/>
      <c r="J28" s="197"/>
      <c r="K28" s="197"/>
      <c r="L28" s="197"/>
      <c r="M28" s="197"/>
      <c r="N28" s="197"/>
      <c r="O28" s="197"/>
      <c r="P28" s="197"/>
      <c r="Q28" s="197"/>
      <c r="R28" s="197"/>
    </row>
    <row r="29" spans="1:20" ht="51" hidden="1" customHeight="1" x14ac:dyDescent="0.25">
      <c r="A29" s="231" t="s">
        <v>24</v>
      </c>
      <c r="B29" s="232" t="s">
        <v>25</v>
      </c>
      <c r="C29" s="68"/>
      <c r="D29" s="18" t="s">
        <v>9</v>
      </c>
      <c r="E29" s="14"/>
      <c r="F29" s="28"/>
      <c r="G29" s="81"/>
      <c r="H29" s="28"/>
      <c r="I29" s="81"/>
      <c r="J29" s="81"/>
      <c r="K29" s="29"/>
      <c r="L29" s="82"/>
      <c r="M29" s="20"/>
      <c r="N29" s="82"/>
      <c r="O29" s="20"/>
      <c r="P29" s="82"/>
      <c r="Q29" s="15"/>
      <c r="R29" s="82"/>
    </row>
    <row r="30" spans="1:20" ht="95.25" customHeight="1" x14ac:dyDescent="0.25">
      <c r="A30" s="231"/>
      <c r="B30" s="232"/>
      <c r="C30" s="232" t="s">
        <v>69</v>
      </c>
      <c r="D30" s="13" t="s">
        <v>47</v>
      </c>
      <c r="E30" s="14"/>
      <c r="F30" s="15">
        <v>2310.5661340000001</v>
      </c>
      <c r="G30" s="81"/>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31"/>
      <c r="B31" s="232"/>
      <c r="C31" s="232"/>
      <c r="D31" s="18" t="s">
        <v>48</v>
      </c>
      <c r="E31" s="14"/>
      <c r="F31" s="27">
        <v>6931.698402</v>
      </c>
      <c r="G31" s="81"/>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6" t="s">
        <v>53</v>
      </c>
      <c r="C32" s="65"/>
      <c r="D32" s="45"/>
      <c r="E32" s="40"/>
      <c r="F32" s="46">
        <f>SUM(F30:F31)</f>
        <v>9242.2645360000006</v>
      </c>
      <c r="G32" s="83"/>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8">
        <f>+S32-R32</f>
        <v>0</v>
      </c>
    </row>
    <row r="33" spans="1:20" s="22" customFormat="1" ht="144.75" customHeight="1" x14ac:dyDescent="0.25">
      <c r="A33" s="225" t="s">
        <v>10</v>
      </c>
      <c r="B33" s="228" t="s">
        <v>26</v>
      </c>
      <c r="C33" s="228" t="s">
        <v>70</v>
      </c>
      <c r="D33" s="18" t="s">
        <v>49</v>
      </c>
      <c r="E33" s="21"/>
      <c r="F33" s="35">
        <v>843.23047499999996</v>
      </c>
      <c r="G33" s="84"/>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26"/>
      <c r="B34" s="229"/>
      <c r="C34" s="229"/>
      <c r="D34" s="18" t="s">
        <v>50</v>
      </c>
      <c r="E34" s="21"/>
      <c r="F34" s="35">
        <v>607.23047499999996</v>
      </c>
      <c r="G34" s="84"/>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27"/>
      <c r="B35" s="230"/>
      <c r="C35" s="230"/>
      <c r="D35" s="18" t="s">
        <v>51</v>
      </c>
      <c r="E35" s="21"/>
      <c r="F35" s="30">
        <v>814.53904999999997</v>
      </c>
      <c r="G35" s="84"/>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9"/>
      <c r="B36" s="70" t="s">
        <v>54</v>
      </c>
      <c r="C36" s="70"/>
      <c r="D36" s="45"/>
      <c r="E36" s="47"/>
      <c r="F36" s="48">
        <f>SUM(F33:F35)</f>
        <v>2265</v>
      </c>
      <c r="G36" s="85"/>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8">
        <f>+S36-R36</f>
        <v>0</v>
      </c>
    </row>
    <row r="37" spans="1:20" s="22" customFormat="1" ht="30" customHeight="1" x14ac:dyDescent="0.25">
      <c r="A37" s="222" t="s">
        <v>27</v>
      </c>
      <c r="B37" s="214" t="s">
        <v>28</v>
      </c>
      <c r="C37" s="214" t="s">
        <v>71</v>
      </c>
      <c r="D37" s="18" t="s">
        <v>29</v>
      </c>
      <c r="E37" s="21"/>
      <c r="F37" s="30">
        <v>1039</v>
      </c>
      <c r="G37" s="84"/>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23"/>
      <c r="B38" s="215"/>
      <c r="C38" s="215"/>
      <c r="D38" s="18" t="s">
        <v>30</v>
      </c>
      <c r="E38" s="21"/>
      <c r="F38" s="30">
        <v>257</v>
      </c>
      <c r="G38" s="84"/>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2">
        <f>+F38+H38+K38+M38+O38</f>
        <v>1771</v>
      </c>
      <c r="R38" s="29">
        <f t="shared" si="2"/>
        <v>1771</v>
      </c>
      <c r="S38" s="11"/>
    </row>
    <row r="39" spans="1:20" ht="60" x14ac:dyDescent="0.25">
      <c r="A39" s="224"/>
      <c r="B39" s="216"/>
      <c r="C39" s="216"/>
      <c r="D39" s="18" t="s">
        <v>31</v>
      </c>
      <c r="E39" s="14"/>
      <c r="F39" s="29">
        <v>2758</v>
      </c>
      <c r="G39" s="81"/>
      <c r="H39" s="29">
        <v>2547</v>
      </c>
      <c r="I39" s="31">
        <v>1897.029</v>
      </c>
      <c r="J39" s="31">
        <f>+H39-I39</f>
        <v>649.971</v>
      </c>
      <c r="K39" s="29">
        <v>0</v>
      </c>
      <c r="L39" s="31">
        <f>+($J$39/3)+K39</f>
        <v>216.65700000000001</v>
      </c>
      <c r="M39" s="27">
        <v>0</v>
      </c>
      <c r="N39" s="31">
        <f>+($J$39/3)+M39</f>
        <v>216.65700000000001</v>
      </c>
      <c r="O39" s="29">
        <v>0</v>
      </c>
      <c r="P39" s="31">
        <f>+($J$39/3)+O39</f>
        <v>216.65700000000001</v>
      </c>
      <c r="Q39" s="63">
        <f>+F39+H39+K39+M39+O39</f>
        <v>5305</v>
      </c>
      <c r="R39" s="29">
        <f t="shared" si="2"/>
        <v>5305.0000000000009</v>
      </c>
      <c r="S39" s="11"/>
    </row>
    <row r="40" spans="1:20" s="6" customFormat="1" ht="18.75" customHeight="1" x14ac:dyDescent="0.25">
      <c r="A40" s="52"/>
      <c r="B40" s="53" t="s">
        <v>55</v>
      </c>
      <c r="C40" s="53"/>
      <c r="D40" s="45"/>
      <c r="E40" s="40"/>
      <c r="F40" s="42">
        <f>SUM(F37:F39)</f>
        <v>4054</v>
      </c>
      <c r="G40" s="83"/>
      <c r="H40" s="42">
        <f t="shared" ref="H40:R40" si="4">SUM(H37:H39)</f>
        <v>8784</v>
      </c>
      <c r="I40" s="42">
        <f t="shared" si="4"/>
        <v>6542.4040000000005</v>
      </c>
      <c r="J40" s="42">
        <f t="shared" si="4"/>
        <v>2241.596</v>
      </c>
      <c r="K40" s="42">
        <f t="shared" si="4"/>
        <v>9662</v>
      </c>
      <c r="L40" s="42">
        <f t="shared" si="4"/>
        <v>10409.198666666665</v>
      </c>
      <c r="M40" s="86">
        <f t="shared" si="4"/>
        <v>4930</v>
      </c>
      <c r="N40" s="86">
        <f t="shared" si="4"/>
        <v>5677.1986666666662</v>
      </c>
      <c r="O40" s="42">
        <f t="shared" si="4"/>
        <v>1850</v>
      </c>
      <c r="P40" s="42">
        <f t="shared" si="4"/>
        <v>2597.1986666666671</v>
      </c>
      <c r="Q40" s="64">
        <f t="shared" si="4"/>
        <v>29280</v>
      </c>
      <c r="R40" s="64">
        <f t="shared" si="4"/>
        <v>29280</v>
      </c>
      <c r="S40" s="64">
        <v>29280</v>
      </c>
      <c r="T40" s="88">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198" t="s">
        <v>2</v>
      </c>
      <c r="B45" s="198" t="s">
        <v>3</v>
      </c>
      <c r="C45" s="202" t="s">
        <v>67</v>
      </c>
      <c r="D45" s="198" t="s">
        <v>19</v>
      </c>
      <c r="E45" s="10"/>
      <c r="F45" s="71">
        <v>2016</v>
      </c>
      <c r="G45" s="79"/>
      <c r="H45" s="198">
        <v>2017</v>
      </c>
      <c r="I45" s="198"/>
      <c r="J45" s="198"/>
      <c r="K45" s="198">
        <v>2018</v>
      </c>
      <c r="L45" s="198"/>
      <c r="M45" s="198">
        <v>2019</v>
      </c>
      <c r="N45" s="198"/>
      <c r="O45" s="198">
        <v>2020</v>
      </c>
      <c r="P45" s="198"/>
      <c r="Q45" s="198" t="s">
        <v>78</v>
      </c>
      <c r="R45" s="198"/>
    </row>
    <row r="46" spans="1:20" s="11" customFormat="1" ht="15" customHeight="1" x14ac:dyDescent="0.25">
      <c r="A46" s="198"/>
      <c r="B46" s="198"/>
      <c r="C46" s="203"/>
      <c r="D46" s="198"/>
      <c r="E46" s="10"/>
      <c r="F46" s="235" t="s">
        <v>8</v>
      </c>
      <c r="G46" s="79"/>
      <c r="H46" s="235" t="s">
        <v>8</v>
      </c>
      <c r="I46" s="197" t="s">
        <v>84</v>
      </c>
      <c r="J46" s="197" t="s">
        <v>80</v>
      </c>
      <c r="K46" s="235" t="s">
        <v>8</v>
      </c>
      <c r="L46" s="197" t="s">
        <v>79</v>
      </c>
      <c r="M46" s="235" t="s">
        <v>8</v>
      </c>
      <c r="N46" s="197" t="s">
        <v>79</v>
      </c>
      <c r="O46" s="197" t="s">
        <v>8</v>
      </c>
      <c r="P46" s="197" t="s">
        <v>79</v>
      </c>
      <c r="Q46" s="235" t="s">
        <v>8</v>
      </c>
      <c r="R46" s="197" t="s">
        <v>79</v>
      </c>
    </row>
    <row r="47" spans="1:20" s="11" customFormat="1" ht="47.25" customHeight="1" x14ac:dyDescent="0.25">
      <c r="A47" s="198"/>
      <c r="B47" s="198"/>
      <c r="C47" s="204"/>
      <c r="D47" s="198"/>
      <c r="E47" s="12"/>
      <c r="F47" s="236"/>
      <c r="G47" s="80"/>
      <c r="H47" s="236"/>
      <c r="I47" s="197"/>
      <c r="J47" s="197"/>
      <c r="K47" s="236"/>
      <c r="L47" s="197"/>
      <c r="M47" s="236"/>
      <c r="N47" s="197"/>
      <c r="O47" s="197"/>
      <c r="P47" s="197"/>
      <c r="Q47" s="236"/>
      <c r="R47" s="197"/>
    </row>
    <row r="48" spans="1:20" ht="60" customHeight="1" x14ac:dyDescent="0.25">
      <c r="A48" s="233" t="s">
        <v>35</v>
      </c>
      <c r="B48" s="214" t="s">
        <v>36</v>
      </c>
      <c r="C48" s="214"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34"/>
      <c r="B49" s="216"/>
      <c r="C49" s="216"/>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8">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198" t="s">
        <v>2</v>
      </c>
      <c r="B54" s="198" t="s">
        <v>3</v>
      </c>
      <c r="C54" s="202" t="s">
        <v>67</v>
      </c>
      <c r="D54" s="198" t="s">
        <v>19</v>
      </c>
      <c r="E54" s="10"/>
      <c r="F54" s="71">
        <v>2016</v>
      </c>
      <c r="G54" s="79"/>
      <c r="H54" s="198">
        <v>2017</v>
      </c>
      <c r="I54" s="198"/>
      <c r="J54" s="198"/>
      <c r="K54" s="198">
        <v>2018</v>
      </c>
      <c r="L54" s="198"/>
      <c r="M54" s="198">
        <v>2019</v>
      </c>
      <c r="N54" s="198"/>
      <c r="O54" s="198">
        <v>2020</v>
      </c>
      <c r="P54" s="198"/>
      <c r="Q54" s="198" t="s">
        <v>78</v>
      </c>
      <c r="R54" s="198"/>
    </row>
    <row r="55" spans="1:20" s="11" customFormat="1" ht="15" customHeight="1" x14ac:dyDescent="0.25">
      <c r="A55" s="198"/>
      <c r="B55" s="198"/>
      <c r="C55" s="203"/>
      <c r="D55" s="198"/>
      <c r="E55" s="10"/>
      <c r="F55" s="197" t="s">
        <v>8</v>
      </c>
      <c r="G55" s="79"/>
      <c r="H55" s="197" t="s">
        <v>8</v>
      </c>
      <c r="I55" s="197" t="s">
        <v>84</v>
      </c>
      <c r="J55" s="197" t="s">
        <v>80</v>
      </c>
      <c r="K55" s="197" t="s">
        <v>8</v>
      </c>
      <c r="L55" s="197" t="s">
        <v>79</v>
      </c>
      <c r="M55" s="197" t="s">
        <v>8</v>
      </c>
      <c r="N55" s="197" t="s">
        <v>79</v>
      </c>
      <c r="O55" s="197" t="s">
        <v>8</v>
      </c>
      <c r="P55" s="197" t="s">
        <v>79</v>
      </c>
      <c r="Q55" s="197" t="s">
        <v>8</v>
      </c>
      <c r="R55" s="197" t="s">
        <v>79</v>
      </c>
    </row>
    <row r="56" spans="1:20" s="11" customFormat="1" ht="47.25" customHeight="1" x14ac:dyDescent="0.25">
      <c r="A56" s="198"/>
      <c r="B56" s="198"/>
      <c r="C56" s="204"/>
      <c r="D56" s="198"/>
      <c r="E56" s="12"/>
      <c r="F56" s="197"/>
      <c r="G56" s="80"/>
      <c r="H56" s="197"/>
      <c r="I56" s="197"/>
      <c r="J56" s="197"/>
      <c r="K56" s="197"/>
      <c r="L56" s="197"/>
      <c r="M56" s="197"/>
      <c r="N56" s="197"/>
      <c r="O56" s="197"/>
      <c r="P56" s="197"/>
      <c r="Q56" s="197"/>
      <c r="R56" s="197"/>
    </row>
    <row r="57" spans="1:20" ht="88.5" customHeight="1" x14ac:dyDescent="0.25">
      <c r="A57" s="233" t="s">
        <v>39</v>
      </c>
      <c r="B57" s="214" t="s">
        <v>13</v>
      </c>
      <c r="C57" s="214"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34"/>
      <c r="B58" s="216"/>
      <c r="C58" s="216"/>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8">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198" t="s">
        <v>2</v>
      </c>
      <c r="B63" s="198" t="s">
        <v>3</v>
      </c>
      <c r="C63" s="202" t="s">
        <v>67</v>
      </c>
      <c r="D63" s="198" t="s">
        <v>19</v>
      </c>
      <c r="E63" s="10"/>
      <c r="F63" s="71">
        <v>2016</v>
      </c>
      <c r="G63" s="79"/>
      <c r="H63" s="198">
        <v>2017</v>
      </c>
      <c r="I63" s="198"/>
      <c r="J63" s="198"/>
      <c r="K63" s="198">
        <v>2018</v>
      </c>
      <c r="L63" s="198"/>
      <c r="M63" s="198">
        <v>2019</v>
      </c>
      <c r="N63" s="198"/>
      <c r="O63" s="198">
        <v>2020</v>
      </c>
      <c r="P63" s="198"/>
      <c r="Q63" s="198" t="s">
        <v>78</v>
      </c>
      <c r="R63" s="198"/>
    </row>
    <row r="64" spans="1:20" s="11" customFormat="1" ht="15" customHeight="1" x14ac:dyDescent="0.25">
      <c r="A64" s="198"/>
      <c r="B64" s="198"/>
      <c r="C64" s="203"/>
      <c r="D64" s="198"/>
      <c r="E64" s="10"/>
      <c r="F64" s="197" t="s">
        <v>8</v>
      </c>
      <c r="G64" s="79"/>
      <c r="H64" s="197" t="s">
        <v>8</v>
      </c>
      <c r="I64" s="197" t="s">
        <v>84</v>
      </c>
      <c r="J64" s="197" t="s">
        <v>80</v>
      </c>
      <c r="K64" s="197" t="s">
        <v>8</v>
      </c>
      <c r="L64" s="197" t="s">
        <v>79</v>
      </c>
      <c r="M64" s="197" t="s">
        <v>8</v>
      </c>
      <c r="N64" s="197" t="s">
        <v>79</v>
      </c>
      <c r="O64" s="197" t="s">
        <v>8</v>
      </c>
      <c r="P64" s="197" t="s">
        <v>79</v>
      </c>
      <c r="Q64" s="197" t="s">
        <v>8</v>
      </c>
      <c r="R64" s="197" t="s">
        <v>79</v>
      </c>
    </row>
    <row r="65" spans="1:20" s="11" customFormat="1" ht="47.25" customHeight="1" x14ac:dyDescent="0.25">
      <c r="A65" s="198"/>
      <c r="B65" s="198"/>
      <c r="C65" s="204"/>
      <c r="D65" s="198"/>
      <c r="E65" s="12"/>
      <c r="F65" s="197"/>
      <c r="G65" s="80"/>
      <c r="H65" s="197"/>
      <c r="I65" s="197"/>
      <c r="J65" s="197"/>
      <c r="K65" s="197"/>
      <c r="L65" s="197"/>
      <c r="M65" s="197"/>
      <c r="N65" s="197"/>
      <c r="O65" s="197"/>
      <c r="P65" s="197"/>
      <c r="Q65" s="197"/>
      <c r="R65" s="197"/>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8">
        <f>+S67-R67</f>
        <v>0</v>
      </c>
    </row>
    <row r="69" spans="1:20" x14ac:dyDescent="0.25">
      <c r="F69" s="25">
        <f>+F21+F32+F36+F40+F50+F59+F67</f>
        <v>54582.299831000004</v>
      </c>
      <c r="M69" s="6"/>
      <c r="N69" s="6"/>
      <c r="O69" s="6"/>
      <c r="P69" s="6"/>
      <c r="Q69" s="25">
        <f>+Q21+Q32+Q36+Q40+Q50+Q59+Q67</f>
        <v>305007.99585200002</v>
      </c>
      <c r="R69" s="25">
        <f>+R21+R32+R36+R40+R50+R59+R67</f>
        <v>305007.99585200002</v>
      </c>
      <c r="S69" s="87">
        <f>+Q69-R69</f>
        <v>0</v>
      </c>
    </row>
    <row r="70" spans="1:20" x14ac:dyDescent="0.25">
      <c r="K70" s="25"/>
      <c r="M70" s="25"/>
      <c r="N70" s="6"/>
      <c r="O70" s="25"/>
      <c r="P70" s="6"/>
      <c r="Q70" s="25"/>
    </row>
    <row r="72" spans="1:20" x14ac:dyDescent="0.25">
      <c r="F72" s="89">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12"/>
  <sheetViews>
    <sheetView tabSelected="1" topLeftCell="A13" zoomScale="66" zoomScaleNormal="66" workbookViewId="0">
      <selection activeCell="A17" sqref="A17:A24"/>
    </sheetView>
  </sheetViews>
  <sheetFormatPr baseColWidth="10" defaultColWidth="11.42578125" defaultRowHeight="15" x14ac:dyDescent="0.25"/>
  <cols>
    <col min="1" max="1" width="7.42578125" style="121" customWidth="1"/>
    <col min="2" max="2" width="20.28515625" style="8" customWidth="1"/>
    <col min="3" max="3" width="15.7109375" style="8" customWidth="1"/>
    <col min="4" max="4" width="44.85546875" style="8" customWidth="1"/>
    <col min="5" max="5" width="56.42578125" style="8" customWidth="1"/>
    <col min="6" max="6" width="55.5703125" style="8" customWidth="1"/>
    <col min="7" max="7" width="35.85546875" style="8" customWidth="1"/>
    <col min="8" max="8" width="44.28515625" style="8" customWidth="1"/>
    <col min="9" max="9" width="1.85546875" style="7" customWidth="1"/>
    <col min="10" max="10" width="10.7109375" style="121" customWidth="1"/>
    <col min="11" max="11" width="10.7109375" style="8" customWidth="1"/>
    <col min="12" max="12" width="19.7109375" style="154" customWidth="1"/>
    <col min="13" max="13" width="18.7109375" style="8" customWidth="1"/>
    <col min="14" max="14" width="0.5703125" style="7" customWidth="1"/>
    <col min="15" max="16" width="10.7109375" style="8" customWidth="1"/>
    <col min="17" max="17" width="20.5703125" style="8" bestFit="1" customWidth="1"/>
    <col min="18" max="18" width="16.28515625" style="8" bestFit="1" customWidth="1"/>
    <col min="19" max="19" width="0.5703125" style="8" customWidth="1"/>
    <col min="20" max="21" width="10.7109375" style="8" customWidth="1"/>
    <col min="22" max="22" width="20.140625" style="8" bestFit="1" customWidth="1"/>
    <col min="23" max="23" width="13.140625" style="8" bestFit="1" customWidth="1"/>
    <col min="24" max="24" width="0.5703125" style="8" customWidth="1"/>
    <col min="25" max="26" width="10.7109375" style="8" customWidth="1"/>
    <col min="27" max="27" width="20.5703125" style="8" bestFit="1"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92" customWidth="1"/>
    <col min="36" max="36" width="15.5703125" style="92" customWidth="1"/>
    <col min="37" max="37" width="27.85546875" style="92" customWidth="1"/>
    <col min="38" max="38" width="16.140625" style="92" customWidth="1"/>
    <col min="39" max="39" width="11.42578125" style="92"/>
    <col min="40" max="16384" width="11.42578125" style="8"/>
  </cols>
  <sheetData>
    <row r="1" spans="1:39" ht="22.5" hidden="1" x14ac:dyDescent="0.25">
      <c r="A1" s="8"/>
      <c r="L1" s="163">
        <v>1000000</v>
      </c>
    </row>
    <row r="2" spans="1:39" s="3" customFormat="1" x14ac:dyDescent="0.25">
      <c r="A2" s="237" t="s">
        <v>0</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9"/>
      <c r="AM2" s="93"/>
    </row>
    <row r="3" spans="1:39" s="3" customFormat="1" x14ac:dyDescent="0.25">
      <c r="A3" s="237" t="s">
        <v>92</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9"/>
      <c r="AM3" s="93"/>
    </row>
    <row r="4" spans="1:39" s="3" customFormat="1" x14ac:dyDescent="0.25">
      <c r="A4" s="237" t="s">
        <v>0</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9"/>
      <c r="AM4" s="93"/>
    </row>
    <row r="5" spans="1:39" s="3" customFormat="1" x14ac:dyDescent="0.25">
      <c r="A5" s="237" t="s">
        <v>93</v>
      </c>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9"/>
      <c r="AM5" s="93"/>
    </row>
    <row r="6" spans="1:39" s="3" customFormat="1" x14ac:dyDescent="0.25">
      <c r="A6" s="237"/>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9"/>
      <c r="AM6" s="93"/>
    </row>
    <row r="7" spans="1:39" s="5" customFormat="1" ht="15.75" customHeight="1" x14ac:dyDescent="0.2">
      <c r="A7" s="251"/>
      <c r="B7" s="251"/>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94"/>
    </row>
    <row r="8" spans="1:39" s="3" customFormat="1" ht="12.75" x14ac:dyDescent="0.2">
      <c r="A8" s="140"/>
      <c r="B8" s="4"/>
      <c r="C8" s="4"/>
      <c r="D8" s="4"/>
      <c r="E8" s="4"/>
      <c r="F8" s="4"/>
      <c r="G8" s="4"/>
      <c r="H8" s="4"/>
      <c r="I8" s="2"/>
      <c r="J8" s="140"/>
      <c r="K8" s="2"/>
      <c r="L8" s="155"/>
      <c r="M8" s="2"/>
      <c r="N8" s="2"/>
      <c r="O8" s="2"/>
      <c r="P8" s="2"/>
      <c r="Q8" s="2"/>
      <c r="R8" s="2"/>
      <c r="T8" s="102"/>
      <c r="U8" s="102"/>
      <c r="V8" s="102"/>
      <c r="W8" s="102"/>
      <c r="Y8" s="102"/>
      <c r="Z8" s="102"/>
      <c r="AA8" s="102"/>
      <c r="AB8" s="102"/>
      <c r="AD8" s="2"/>
      <c r="AE8" s="2"/>
      <c r="AF8" s="102"/>
      <c r="AG8" s="102"/>
      <c r="AI8" s="109"/>
      <c r="AJ8" s="109"/>
      <c r="AK8" s="109"/>
      <c r="AL8" s="110"/>
      <c r="AM8" s="93"/>
    </row>
    <row r="9" spans="1:39" x14ac:dyDescent="0.25">
      <c r="A9" s="142">
        <v>1</v>
      </c>
      <c r="B9" s="122" t="s">
        <v>94</v>
      </c>
      <c r="C9" s="242" t="s">
        <v>97</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row>
    <row r="10" spans="1:39" x14ac:dyDescent="0.25">
      <c r="A10" s="141">
        <v>8</v>
      </c>
      <c r="B10" s="6" t="s">
        <v>158</v>
      </c>
      <c r="C10" s="242" t="s">
        <v>159</v>
      </c>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row>
    <row r="11" spans="1:39" x14ac:dyDescent="0.25">
      <c r="A11" s="141">
        <v>19</v>
      </c>
      <c r="B11" s="6" t="s">
        <v>95</v>
      </c>
      <c r="C11" s="242" t="s">
        <v>157</v>
      </c>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row>
    <row r="12" spans="1:39" ht="30" x14ac:dyDescent="0.25">
      <c r="A12" s="141">
        <v>3</v>
      </c>
      <c r="B12" s="123" t="s">
        <v>98</v>
      </c>
      <c r="C12" s="242" t="s">
        <v>96</v>
      </c>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row>
    <row r="13" spans="1:39" ht="14.25" customHeight="1" x14ac:dyDescent="0.25">
      <c r="F13" s="7"/>
      <c r="G13" s="7"/>
      <c r="H13" s="7"/>
      <c r="I13" s="8"/>
      <c r="J13" s="164"/>
      <c r="K13" s="7"/>
      <c r="L13" s="156"/>
      <c r="M13" s="7"/>
      <c r="N13" s="8"/>
      <c r="O13" s="7"/>
      <c r="P13" s="7"/>
      <c r="Q13" s="7"/>
      <c r="R13" s="91">
        <v>1000000</v>
      </c>
      <c r="T13" s="91"/>
      <c r="U13" s="91"/>
      <c r="V13" s="91">
        <v>1000000</v>
      </c>
      <c r="W13" s="91">
        <v>1000000</v>
      </c>
      <c r="Y13" s="91"/>
      <c r="Z13" s="91"/>
      <c r="AA13" s="91"/>
      <c r="AB13" s="91">
        <v>1000000</v>
      </c>
      <c r="AD13" s="7"/>
      <c r="AE13" s="7"/>
      <c r="AF13" s="91"/>
      <c r="AG13" s="91">
        <v>1000000</v>
      </c>
      <c r="AI13" s="95"/>
      <c r="AJ13" s="95"/>
      <c r="AK13" s="95"/>
    </row>
    <row r="14" spans="1:39" s="11" customFormat="1" ht="27" customHeight="1" x14ac:dyDescent="0.25">
      <c r="A14" s="208" t="s">
        <v>2</v>
      </c>
      <c r="B14" s="202" t="s">
        <v>3</v>
      </c>
      <c r="C14" s="240" t="s">
        <v>87</v>
      </c>
      <c r="D14" s="202" t="s">
        <v>67</v>
      </c>
      <c r="E14" s="240" t="s">
        <v>172</v>
      </c>
      <c r="F14" s="205" t="s">
        <v>101</v>
      </c>
      <c r="G14" s="248" t="s">
        <v>90</v>
      </c>
      <c r="H14" s="198" t="s">
        <v>173</v>
      </c>
      <c r="I14" s="10"/>
      <c r="J14" s="198">
        <v>2020</v>
      </c>
      <c r="K14" s="198"/>
      <c r="L14" s="198"/>
      <c r="M14" s="198"/>
      <c r="N14" s="10"/>
      <c r="O14" s="198">
        <v>2021</v>
      </c>
      <c r="P14" s="198"/>
      <c r="Q14" s="198"/>
      <c r="R14" s="198"/>
      <c r="T14" s="198">
        <v>2022</v>
      </c>
      <c r="U14" s="198"/>
      <c r="V14" s="198"/>
      <c r="W14" s="198"/>
      <c r="Y14" s="198">
        <v>2023</v>
      </c>
      <c r="Z14" s="198"/>
      <c r="AA14" s="198"/>
      <c r="AB14" s="198"/>
      <c r="AD14" s="219">
        <v>2024</v>
      </c>
      <c r="AE14" s="220"/>
      <c r="AF14" s="220"/>
      <c r="AG14" s="220"/>
      <c r="AI14" s="249" t="s">
        <v>102</v>
      </c>
      <c r="AJ14" s="249"/>
      <c r="AK14" s="249"/>
      <c r="AL14" s="249"/>
      <c r="AM14" s="98"/>
    </row>
    <row r="15" spans="1:39" s="11" customFormat="1" ht="16.5" customHeight="1" x14ac:dyDescent="0.25">
      <c r="A15" s="209"/>
      <c r="B15" s="203"/>
      <c r="C15" s="206"/>
      <c r="D15" s="203"/>
      <c r="E15" s="206"/>
      <c r="F15" s="206"/>
      <c r="G15" s="248"/>
      <c r="H15" s="198"/>
      <c r="I15" s="10"/>
      <c r="J15" s="197" t="s">
        <v>4</v>
      </c>
      <c r="K15" s="197"/>
      <c r="L15" s="197" t="s">
        <v>61</v>
      </c>
      <c r="M15" s="197"/>
      <c r="N15" s="10"/>
      <c r="O15" s="197" t="s">
        <v>6</v>
      </c>
      <c r="P15" s="197"/>
      <c r="Q15" s="197" t="s">
        <v>8</v>
      </c>
      <c r="R15" s="197"/>
      <c r="S15" s="10"/>
      <c r="T15" s="197" t="s">
        <v>7</v>
      </c>
      <c r="U15" s="197"/>
      <c r="V15" s="197" t="s">
        <v>8</v>
      </c>
      <c r="W15" s="197"/>
      <c r="Y15" s="197" t="s">
        <v>7</v>
      </c>
      <c r="Z15" s="197"/>
      <c r="AA15" s="197" t="s">
        <v>8</v>
      </c>
      <c r="AB15" s="197"/>
      <c r="AD15" s="197" t="s">
        <v>7</v>
      </c>
      <c r="AE15" s="197"/>
      <c r="AF15" s="197" t="s">
        <v>8</v>
      </c>
      <c r="AG15" s="197"/>
      <c r="AI15" s="235" t="s">
        <v>4</v>
      </c>
      <c r="AJ15" s="235" t="s">
        <v>66</v>
      </c>
      <c r="AK15" s="235" t="s">
        <v>8</v>
      </c>
      <c r="AL15" s="235" t="s">
        <v>5</v>
      </c>
      <c r="AM15" s="98"/>
    </row>
    <row r="16" spans="1:39" s="11" customFormat="1" ht="33" x14ac:dyDescent="0.25">
      <c r="A16" s="210"/>
      <c r="B16" s="204"/>
      <c r="C16" s="241"/>
      <c r="D16" s="204"/>
      <c r="E16" s="241"/>
      <c r="F16" s="207"/>
      <c r="G16" s="248"/>
      <c r="H16" s="198"/>
      <c r="I16" s="12"/>
      <c r="J16" s="153" t="s">
        <v>59</v>
      </c>
      <c r="K16" s="114" t="s">
        <v>60</v>
      </c>
      <c r="L16" s="157" t="s">
        <v>64</v>
      </c>
      <c r="M16" s="114" t="s">
        <v>63</v>
      </c>
      <c r="N16" s="12"/>
      <c r="O16" s="61" t="s">
        <v>59</v>
      </c>
      <c r="P16" s="114" t="s">
        <v>60</v>
      </c>
      <c r="Q16" s="157" t="s">
        <v>64</v>
      </c>
      <c r="R16" s="114" t="s">
        <v>63</v>
      </c>
      <c r="S16" s="10"/>
      <c r="T16" s="61" t="s">
        <v>59</v>
      </c>
      <c r="U16" s="114" t="s">
        <v>60</v>
      </c>
      <c r="V16" s="157" t="s">
        <v>64</v>
      </c>
      <c r="W16" s="114" t="s">
        <v>63</v>
      </c>
      <c r="Y16" s="114" t="s">
        <v>59</v>
      </c>
      <c r="Z16" s="114" t="s">
        <v>60</v>
      </c>
      <c r="AA16" s="114" t="s">
        <v>64</v>
      </c>
      <c r="AB16" s="114" t="s">
        <v>63</v>
      </c>
      <c r="AD16" s="114" t="s">
        <v>59</v>
      </c>
      <c r="AE16" s="114" t="s">
        <v>60</v>
      </c>
      <c r="AF16" s="114" t="s">
        <v>64</v>
      </c>
      <c r="AG16" s="114" t="s">
        <v>63</v>
      </c>
      <c r="AI16" s="236"/>
      <c r="AJ16" s="236"/>
      <c r="AK16" s="236"/>
      <c r="AL16" s="236"/>
      <c r="AM16" s="98"/>
    </row>
    <row r="17" spans="1:39" s="100" customFormat="1" ht="75.75" customHeight="1" x14ac:dyDescent="0.25">
      <c r="A17" s="217" t="s">
        <v>99</v>
      </c>
      <c r="B17" s="214" t="s">
        <v>100</v>
      </c>
      <c r="C17" s="214" t="s">
        <v>89</v>
      </c>
      <c r="D17" s="214" t="s">
        <v>152</v>
      </c>
      <c r="E17" s="243" t="str">
        <f>C10</f>
        <v xml:space="preserve">Aumentar el acceso a vivienda digna, espacio público y equipamientos de la población vulnerable en suelo urbano y rural </v>
      </c>
      <c r="F17" s="138" t="s">
        <v>161</v>
      </c>
      <c r="G17" s="138" t="s">
        <v>104</v>
      </c>
      <c r="H17" s="246" t="str">
        <f>C12</f>
        <v>Sistema Distrital de Cuidado</v>
      </c>
      <c r="I17" s="14"/>
      <c r="J17" s="126">
        <v>0.05</v>
      </c>
      <c r="K17" s="126">
        <v>0.05</v>
      </c>
      <c r="L17" s="158"/>
      <c r="M17" s="128"/>
      <c r="N17" s="129"/>
      <c r="O17" s="130">
        <v>0.3</v>
      </c>
      <c r="P17" s="188">
        <v>0.08</v>
      </c>
      <c r="Q17" s="128"/>
      <c r="R17" s="128"/>
      <c r="S17" s="131"/>
      <c r="T17" s="132">
        <v>0.65</v>
      </c>
      <c r="U17" s="132">
        <v>0</v>
      </c>
      <c r="V17" s="133"/>
      <c r="W17" s="134"/>
      <c r="X17" s="135"/>
      <c r="Y17" s="132">
        <v>0.95</v>
      </c>
      <c r="Z17" s="132">
        <v>0</v>
      </c>
      <c r="AA17" s="133"/>
      <c r="AB17" s="134"/>
      <c r="AC17" s="135"/>
      <c r="AD17" s="136">
        <v>1</v>
      </c>
      <c r="AE17" s="136">
        <v>0</v>
      </c>
      <c r="AF17" s="133"/>
      <c r="AG17" s="134"/>
      <c r="AH17" s="131"/>
      <c r="AI17" s="136">
        <f>AD17</f>
        <v>1</v>
      </c>
      <c r="AJ17" s="192">
        <f>+P17</f>
        <v>0.08</v>
      </c>
      <c r="AK17" s="137">
        <f>L17+Q17+V17+AA17+AF17</f>
        <v>0</v>
      </c>
      <c r="AL17" s="137">
        <f>M17+R17+W17+AB17+AG17</f>
        <v>0</v>
      </c>
      <c r="AM17" s="125"/>
    </row>
    <row r="18" spans="1:39" ht="90" x14ac:dyDescent="0.25">
      <c r="A18" s="218"/>
      <c r="B18" s="215"/>
      <c r="C18" s="215"/>
      <c r="D18" s="215"/>
      <c r="E18" s="244"/>
      <c r="F18" s="13" t="s">
        <v>105</v>
      </c>
      <c r="G18" s="13" t="s">
        <v>174</v>
      </c>
      <c r="H18" s="247"/>
      <c r="I18" s="14"/>
      <c r="J18" s="15">
        <v>20</v>
      </c>
      <c r="K18" s="15">
        <v>20</v>
      </c>
      <c r="L18" s="159">
        <v>1562.1521029999999</v>
      </c>
      <c r="M18" s="29">
        <v>1072.7394810000001</v>
      </c>
      <c r="N18" s="23"/>
      <c r="O18" s="15">
        <v>380</v>
      </c>
      <c r="P18" s="15">
        <v>28</v>
      </c>
      <c r="Q18" s="29">
        <f>4689333026/L1</f>
        <v>4689.3330260000002</v>
      </c>
      <c r="R18" s="29">
        <v>2599.9938189999998</v>
      </c>
      <c r="S18" s="100"/>
      <c r="T18" s="103">
        <v>400</v>
      </c>
      <c r="U18" s="103">
        <v>0</v>
      </c>
      <c r="V18" s="104">
        <f>4316000000/L1</f>
        <v>4316</v>
      </c>
      <c r="W18" s="105"/>
      <c r="X18" s="101"/>
      <c r="Y18" s="103">
        <v>400</v>
      </c>
      <c r="Z18" s="103">
        <v>0</v>
      </c>
      <c r="AA18" s="104">
        <f>3937000000/L1</f>
        <v>3937</v>
      </c>
      <c r="AB18" s="105"/>
      <c r="AC18" s="101"/>
      <c r="AD18" s="90">
        <v>50</v>
      </c>
      <c r="AE18" s="90">
        <v>0</v>
      </c>
      <c r="AF18" s="104">
        <f>324000000/L1</f>
        <v>324</v>
      </c>
      <c r="AG18" s="105"/>
      <c r="AH18" s="100"/>
      <c r="AI18" s="90">
        <f>J18+O18+T18+Y18+AD18</f>
        <v>1250</v>
      </c>
      <c r="AJ18" s="90">
        <f t="shared" ref="AJ18" si="0">K18+P18+U18+Z18+AE18</f>
        <v>48</v>
      </c>
      <c r="AK18" s="62">
        <f t="shared" ref="AK18" si="1">L18+Q18+V18+AA18+AF18</f>
        <v>14828.485129000001</v>
      </c>
      <c r="AL18" s="62">
        <f t="shared" ref="AL18" si="2">M18+R18+W18+AB18+AG18</f>
        <v>3672.7332999999999</v>
      </c>
      <c r="AM18" s="99"/>
    </row>
    <row r="19" spans="1:39" ht="75" x14ac:dyDescent="0.25">
      <c r="A19" s="218"/>
      <c r="B19" s="215"/>
      <c r="C19" s="215"/>
      <c r="D19" s="215"/>
      <c r="E19" s="244"/>
      <c r="F19" s="13" t="s">
        <v>106</v>
      </c>
      <c r="G19" s="13" t="s">
        <v>107</v>
      </c>
      <c r="H19" s="247"/>
      <c r="I19" s="14"/>
      <c r="J19" s="15">
        <v>0</v>
      </c>
      <c r="K19" s="15">
        <v>0</v>
      </c>
      <c r="L19" s="159">
        <v>0</v>
      </c>
      <c r="M19" s="29"/>
      <c r="N19" s="23"/>
      <c r="O19" s="90">
        <v>240</v>
      </c>
      <c r="P19" s="15">
        <v>0</v>
      </c>
      <c r="Q19" s="29">
        <f>1088000000/L1</f>
        <v>1088</v>
      </c>
      <c r="R19" s="29">
        <v>1050</v>
      </c>
      <c r="S19" s="100"/>
      <c r="T19" s="103">
        <v>500</v>
      </c>
      <c r="U19" s="103">
        <v>0</v>
      </c>
      <c r="V19" s="104">
        <f>1550000000/L1</f>
        <v>1550</v>
      </c>
      <c r="W19" s="106"/>
      <c r="X19" s="101"/>
      <c r="Y19" s="103">
        <v>460</v>
      </c>
      <c r="Z19" s="103">
        <v>0</v>
      </c>
      <c r="AA19" s="104">
        <f>1550000000/L1</f>
        <v>1550</v>
      </c>
      <c r="AB19" s="106"/>
      <c r="AC19" s="101"/>
      <c r="AD19" s="90">
        <v>50</v>
      </c>
      <c r="AE19" s="90">
        <v>0</v>
      </c>
      <c r="AF19" s="104">
        <f>400000000/L1</f>
        <v>400</v>
      </c>
      <c r="AG19" s="106"/>
      <c r="AH19" s="100"/>
      <c r="AI19" s="90">
        <f>J19+O19+T19+Y19+AD19</f>
        <v>1250</v>
      </c>
      <c r="AJ19" s="90">
        <f t="shared" ref="AJ19" si="3">K19+P19+U19+Z19+AE19</f>
        <v>0</v>
      </c>
      <c r="AK19" s="62">
        <f t="shared" ref="AK19" si="4">L19+Q19+V19+AA19+AF19</f>
        <v>4588</v>
      </c>
      <c r="AL19" s="62">
        <f t="shared" ref="AL19" si="5">M19+R19+W19+AB19+AG19</f>
        <v>1050</v>
      </c>
    </row>
    <row r="20" spans="1:39" s="100" customFormat="1" ht="75.75" customHeight="1" x14ac:dyDescent="0.25">
      <c r="A20" s="218"/>
      <c r="B20" s="215"/>
      <c r="C20" s="215"/>
      <c r="D20" s="215"/>
      <c r="E20" s="244"/>
      <c r="F20" s="138" t="s">
        <v>160</v>
      </c>
      <c r="G20" s="138" t="s">
        <v>108</v>
      </c>
      <c r="H20" s="247"/>
      <c r="I20" s="14"/>
      <c r="J20" s="126">
        <v>0.3</v>
      </c>
      <c r="K20" s="126">
        <v>0.3</v>
      </c>
      <c r="L20" s="158"/>
      <c r="M20" s="128"/>
      <c r="N20" s="129"/>
      <c r="O20" s="130">
        <v>0.7</v>
      </c>
      <c r="P20" s="173">
        <v>0.46400000000000002</v>
      </c>
      <c r="Q20" s="128"/>
      <c r="R20" s="128"/>
      <c r="S20" s="131"/>
      <c r="T20" s="132">
        <v>0.9</v>
      </c>
      <c r="U20" s="132">
        <v>0</v>
      </c>
      <c r="V20" s="133"/>
      <c r="W20" s="134"/>
      <c r="X20" s="135"/>
      <c r="Y20" s="132">
        <v>1</v>
      </c>
      <c r="Z20" s="132">
        <v>0</v>
      </c>
      <c r="AA20" s="133"/>
      <c r="AB20" s="134"/>
      <c r="AC20" s="135"/>
      <c r="AD20" s="136">
        <v>1</v>
      </c>
      <c r="AE20" s="136">
        <v>0</v>
      </c>
      <c r="AF20" s="133"/>
      <c r="AG20" s="134"/>
      <c r="AH20" s="131"/>
      <c r="AI20" s="136">
        <f>AD20</f>
        <v>1</v>
      </c>
      <c r="AJ20" s="192">
        <f>+P20</f>
        <v>0.46400000000000002</v>
      </c>
      <c r="AK20" s="137">
        <f t="shared" ref="AJ20:AL21" si="6">L20+Q20+V20+AA20+AF20</f>
        <v>0</v>
      </c>
      <c r="AL20" s="137">
        <f t="shared" si="6"/>
        <v>0</v>
      </c>
      <c r="AM20" s="125"/>
    </row>
    <row r="21" spans="1:39" s="100" customFormat="1" ht="75.75" customHeight="1" x14ac:dyDescent="0.25">
      <c r="A21" s="218"/>
      <c r="B21" s="215"/>
      <c r="C21" s="215"/>
      <c r="D21" s="215"/>
      <c r="E21" s="244"/>
      <c r="F21" s="138" t="s">
        <v>160</v>
      </c>
      <c r="G21" s="138" t="s">
        <v>175</v>
      </c>
      <c r="H21" s="247"/>
      <c r="I21" s="14"/>
      <c r="J21" s="126">
        <v>1</v>
      </c>
      <c r="K21" s="126">
        <v>1</v>
      </c>
      <c r="L21" s="158"/>
      <c r="M21" s="128"/>
      <c r="N21" s="129"/>
      <c r="O21" s="136">
        <v>0</v>
      </c>
      <c r="P21" s="136">
        <v>0</v>
      </c>
      <c r="Q21" s="128"/>
      <c r="R21" s="128"/>
      <c r="S21" s="131"/>
      <c r="T21" s="132">
        <v>0</v>
      </c>
      <c r="U21" s="132">
        <v>0</v>
      </c>
      <c r="V21" s="133"/>
      <c r="W21" s="134"/>
      <c r="X21" s="135"/>
      <c r="Y21" s="132">
        <v>0</v>
      </c>
      <c r="Z21" s="132">
        <v>0</v>
      </c>
      <c r="AA21" s="133"/>
      <c r="AB21" s="134"/>
      <c r="AC21" s="135"/>
      <c r="AD21" s="136">
        <v>0</v>
      </c>
      <c r="AE21" s="136">
        <v>0</v>
      </c>
      <c r="AF21" s="133"/>
      <c r="AG21" s="134"/>
      <c r="AH21" s="131"/>
      <c r="AI21" s="136">
        <f>J21+O21+T21+Y21+AD21</f>
        <v>1</v>
      </c>
      <c r="AJ21" s="136">
        <f t="shared" si="6"/>
        <v>1</v>
      </c>
      <c r="AK21" s="137">
        <f t="shared" si="6"/>
        <v>0</v>
      </c>
      <c r="AL21" s="137">
        <f t="shared" si="6"/>
        <v>0</v>
      </c>
      <c r="AM21" s="125"/>
    </row>
    <row r="22" spans="1:39" ht="60" x14ac:dyDescent="0.25">
      <c r="A22" s="218"/>
      <c r="B22" s="215"/>
      <c r="C22" s="215"/>
      <c r="D22" s="215"/>
      <c r="E22" s="244"/>
      <c r="F22" s="13" t="s">
        <v>109</v>
      </c>
      <c r="G22" s="13" t="s">
        <v>110</v>
      </c>
      <c r="H22" s="247"/>
      <c r="I22" s="14"/>
      <c r="J22" s="15">
        <v>50</v>
      </c>
      <c r="K22" s="15">
        <v>50</v>
      </c>
      <c r="L22" s="159">
        <v>3103.2696059999998</v>
      </c>
      <c r="M22" s="29">
        <v>2913.9473720000001</v>
      </c>
      <c r="N22" s="23"/>
      <c r="O22" s="15">
        <v>500</v>
      </c>
      <c r="P22" s="15">
        <v>28</v>
      </c>
      <c r="Q22" s="29">
        <f>5500000000/L1</f>
        <v>5500</v>
      </c>
      <c r="R22" s="29">
        <v>1882.110527</v>
      </c>
      <c r="S22" s="100"/>
      <c r="T22" s="103">
        <v>500</v>
      </c>
      <c r="U22" s="103">
        <v>0</v>
      </c>
      <c r="V22" s="104">
        <f>5500000000/L1</f>
        <v>5500</v>
      </c>
      <c r="W22" s="106"/>
      <c r="X22" s="101"/>
      <c r="Y22" s="103">
        <v>400</v>
      </c>
      <c r="Z22" s="103">
        <v>0</v>
      </c>
      <c r="AA22" s="104">
        <f>4000000000/L1</f>
        <v>4000</v>
      </c>
      <c r="AB22" s="106"/>
      <c r="AC22" s="101"/>
      <c r="AD22" s="90">
        <v>50</v>
      </c>
      <c r="AE22" s="90">
        <v>0</v>
      </c>
      <c r="AF22" s="104">
        <f>500000000/L1</f>
        <v>500</v>
      </c>
      <c r="AG22" s="106"/>
      <c r="AH22" s="100"/>
      <c r="AI22" s="90">
        <f>J22+O22+T22+Y22+AD22</f>
        <v>1500</v>
      </c>
      <c r="AJ22" s="90">
        <f t="shared" ref="AJ22" si="7">K22+P22+U22+Z22+AE22</f>
        <v>78</v>
      </c>
      <c r="AK22" s="62">
        <f t="shared" ref="AK22" si="8">L22+Q22+V22+AA22+AF22</f>
        <v>18603.269606000002</v>
      </c>
      <c r="AL22" s="62">
        <f t="shared" ref="AL22" si="9">M22+R22+W22+AB22+AG22</f>
        <v>4796.0578990000004</v>
      </c>
    </row>
    <row r="23" spans="1:39" s="100" customFormat="1" ht="75.75" customHeight="1" x14ac:dyDescent="0.25">
      <c r="A23" s="218"/>
      <c r="B23" s="215"/>
      <c r="C23" s="215"/>
      <c r="D23" s="215"/>
      <c r="E23" s="244"/>
      <c r="F23" s="138" t="s">
        <v>162</v>
      </c>
      <c r="G23" s="138" t="s">
        <v>111</v>
      </c>
      <c r="H23" s="247"/>
      <c r="I23" s="14"/>
      <c r="J23" s="126">
        <v>0.2</v>
      </c>
      <c r="K23" s="126">
        <v>0.2</v>
      </c>
      <c r="L23" s="158"/>
      <c r="M23" s="128"/>
      <c r="N23" s="129"/>
      <c r="O23" s="130">
        <v>0.6</v>
      </c>
      <c r="P23" s="173">
        <v>0.35199999999999998</v>
      </c>
      <c r="Q23" s="128"/>
      <c r="R23" s="128"/>
      <c r="S23" s="131"/>
      <c r="T23" s="132">
        <v>0.8</v>
      </c>
      <c r="U23" s="132">
        <v>0</v>
      </c>
      <c r="V23" s="133"/>
      <c r="W23" s="134"/>
      <c r="X23" s="135"/>
      <c r="Y23" s="132">
        <v>1</v>
      </c>
      <c r="Z23" s="132">
        <v>0</v>
      </c>
      <c r="AA23" s="133"/>
      <c r="AB23" s="134"/>
      <c r="AC23" s="135"/>
      <c r="AD23" s="136">
        <v>1</v>
      </c>
      <c r="AE23" s="136">
        <v>0</v>
      </c>
      <c r="AF23" s="133"/>
      <c r="AG23" s="134"/>
      <c r="AH23" s="131"/>
      <c r="AI23" s="136">
        <f>AD23</f>
        <v>1</v>
      </c>
      <c r="AJ23" s="192">
        <f>+P23</f>
        <v>0.35199999999999998</v>
      </c>
      <c r="AK23" s="137">
        <f>L23+Q23+V23+AA23+AF23</f>
        <v>0</v>
      </c>
      <c r="AL23" s="137">
        <f>M23+R23+W23+AB23+AG23</f>
        <v>0</v>
      </c>
      <c r="AM23" s="125"/>
    </row>
    <row r="24" spans="1:39" ht="75" x14ac:dyDescent="0.25">
      <c r="A24" s="218"/>
      <c r="B24" s="216"/>
      <c r="C24" s="216"/>
      <c r="D24" s="216"/>
      <c r="E24" s="245"/>
      <c r="F24" s="13" t="s">
        <v>112</v>
      </c>
      <c r="G24" s="13" t="s">
        <v>111</v>
      </c>
      <c r="H24" s="247"/>
      <c r="I24" s="14"/>
      <c r="J24" s="26">
        <v>0.2</v>
      </c>
      <c r="K24" s="111">
        <v>0.2</v>
      </c>
      <c r="L24" s="159">
        <f>80000000/L1</f>
        <v>80</v>
      </c>
      <c r="M24" s="29">
        <v>37.799999999999997</v>
      </c>
      <c r="N24" s="23"/>
      <c r="O24" s="26">
        <v>0.6</v>
      </c>
      <c r="P24" s="174">
        <v>0.35199999999999998</v>
      </c>
      <c r="Q24" s="29">
        <f>3002000000/L1</f>
        <v>3002</v>
      </c>
      <c r="R24" s="29">
        <v>2932</v>
      </c>
      <c r="S24" s="100"/>
      <c r="T24" s="139">
        <v>0.8</v>
      </c>
      <c r="U24" s="124">
        <v>0</v>
      </c>
      <c r="V24" s="104">
        <f>4650000000/L1</f>
        <v>4650</v>
      </c>
      <c r="W24" s="105"/>
      <c r="X24" s="101"/>
      <c r="Y24" s="139">
        <v>1</v>
      </c>
      <c r="Z24" s="124">
        <v>0</v>
      </c>
      <c r="AA24" s="104">
        <f>5550000000/L1</f>
        <v>5550</v>
      </c>
      <c r="AB24" s="105"/>
      <c r="AC24" s="101"/>
      <c r="AD24" s="111">
        <v>1</v>
      </c>
      <c r="AE24" s="111">
        <v>0</v>
      </c>
      <c r="AF24" s="104">
        <f>70000000/L1</f>
        <v>70</v>
      </c>
      <c r="AG24" s="105"/>
      <c r="AH24" s="100"/>
      <c r="AI24" s="111">
        <f>AD24</f>
        <v>1</v>
      </c>
      <c r="AJ24" s="149">
        <f>+P24</f>
        <v>0.35199999999999998</v>
      </c>
      <c r="AK24" s="62">
        <f t="shared" ref="AK24" si="10">L24+Q24+V24+AA24+AF24</f>
        <v>13352</v>
      </c>
      <c r="AL24" s="62">
        <f t="shared" ref="AL24" si="11">M24+R24+W24+AB24+AG24</f>
        <v>2969.8</v>
      </c>
      <c r="AM24" s="99"/>
    </row>
    <row r="25" spans="1:39" s="6" customFormat="1" ht="15.75" x14ac:dyDescent="0.25">
      <c r="A25" s="17"/>
      <c r="B25" s="115" t="s">
        <v>103</v>
      </c>
      <c r="C25" s="115"/>
      <c r="D25" s="115"/>
      <c r="E25" s="115"/>
      <c r="F25" s="39"/>
      <c r="G25" s="39"/>
      <c r="H25" s="39"/>
      <c r="I25" s="40"/>
      <c r="J25" s="41"/>
      <c r="K25" s="41"/>
      <c r="L25" s="160">
        <f>SUM(L17:L24)</f>
        <v>4745.4217090000002</v>
      </c>
      <c r="M25" s="42">
        <f>SUM(M17:M24)</f>
        <v>4024.4868530000003</v>
      </c>
      <c r="N25" s="51"/>
      <c r="O25" s="41"/>
      <c r="P25" s="41"/>
      <c r="Q25" s="42">
        <f>SUM(Q17:Q24)</f>
        <v>14279.333026</v>
      </c>
      <c r="R25" s="42">
        <f>SUM(R17:R24)</f>
        <v>8464.1043460000001</v>
      </c>
      <c r="T25" s="41"/>
      <c r="U25" s="41"/>
      <c r="V25" s="42">
        <f>SUM(V17:V24)</f>
        <v>16016</v>
      </c>
      <c r="W25" s="42">
        <f>SUM(W17:W24)</f>
        <v>0</v>
      </c>
      <c r="Y25" s="41"/>
      <c r="Z25" s="41"/>
      <c r="AA25" s="42">
        <f>SUM(AA17:AA24)</f>
        <v>15037</v>
      </c>
      <c r="AB25" s="42">
        <f>SUM(AB17:AB24)</f>
        <v>0</v>
      </c>
      <c r="AC25" s="112"/>
      <c r="AD25" s="41"/>
      <c r="AE25" s="42"/>
      <c r="AF25" s="42">
        <f>SUM(AF17:AF24)</f>
        <v>1294</v>
      </c>
      <c r="AG25" s="42">
        <f>SUM(AG17:AG24)</f>
        <v>0</v>
      </c>
      <c r="AI25" s="96"/>
      <c r="AJ25" s="96"/>
      <c r="AK25" s="64">
        <f>SUM(AK17:AK24)</f>
        <v>51371.754735000002</v>
      </c>
      <c r="AL25" s="64">
        <f>SUM(AL17:AL24)</f>
        <v>12488.591198999999</v>
      </c>
      <c r="AM25" s="98"/>
    </row>
    <row r="26" spans="1:39" s="3" customFormat="1" ht="12.75" x14ac:dyDescent="0.2">
      <c r="A26" s="140"/>
      <c r="B26" s="4"/>
      <c r="C26" s="4"/>
      <c r="D26" s="4"/>
      <c r="E26" s="4"/>
      <c r="F26" s="4"/>
      <c r="G26" s="4"/>
      <c r="H26" s="4"/>
      <c r="I26" s="2"/>
      <c r="J26" s="140"/>
      <c r="K26" s="2"/>
      <c r="L26" s="155"/>
      <c r="M26" s="2"/>
      <c r="N26" s="2"/>
      <c r="O26" s="2"/>
      <c r="P26" s="2"/>
      <c r="Q26" s="2"/>
      <c r="R26" s="2"/>
      <c r="T26" s="102"/>
      <c r="U26" s="102"/>
      <c r="V26" s="102"/>
      <c r="W26" s="102"/>
      <c r="Y26" s="102"/>
      <c r="Z26" s="102"/>
      <c r="AA26" s="102"/>
      <c r="AB26" s="102"/>
      <c r="AD26" s="2"/>
      <c r="AE26" s="2"/>
      <c r="AF26" s="102"/>
      <c r="AG26" s="102"/>
      <c r="AI26" s="109"/>
      <c r="AJ26" s="109"/>
      <c r="AK26" s="109"/>
      <c r="AL26" s="110"/>
      <c r="AM26" s="93"/>
    </row>
    <row r="27" spans="1:39" s="5" customFormat="1" ht="15.75" customHeight="1" x14ac:dyDescent="0.2">
      <c r="A27" s="251"/>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94"/>
    </row>
    <row r="28" spans="1:39" s="3" customFormat="1" ht="12.75" x14ac:dyDescent="0.2">
      <c r="A28" s="140"/>
      <c r="B28" s="4"/>
      <c r="C28" s="4"/>
      <c r="D28" s="4"/>
      <c r="E28" s="4"/>
      <c r="F28" s="4"/>
      <c r="G28" s="4"/>
      <c r="H28" s="4"/>
      <c r="I28" s="2"/>
      <c r="J28" s="140"/>
      <c r="K28" s="2"/>
      <c r="L28" s="155"/>
      <c r="M28" s="2"/>
      <c r="N28" s="2"/>
      <c r="O28" s="2"/>
      <c r="P28" s="2"/>
      <c r="Q28" s="2"/>
      <c r="R28" s="2"/>
      <c r="T28" s="102"/>
      <c r="U28" s="102"/>
      <c r="V28" s="102"/>
      <c r="W28" s="102"/>
      <c r="Y28" s="102"/>
      <c r="Z28" s="102"/>
      <c r="AA28" s="102"/>
      <c r="AB28" s="102"/>
      <c r="AD28" s="2"/>
      <c r="AE28" s="2"/>
      <c r="AF28" s="102"/>
      <c r="AG28" s="102"/>
      <c r="AI28" s="109"/>
      <c r="AJ28" s="109"/>
      <c r="AK28" s="109"/>
      <c r="AL28" s="110"/>
      <c r="AM28" s="93"/>
    </row>
    <row r="29" spans="1:39" x14ac:dyDescent="0.25">
      <c r="A29" s="142">
        <v>1</v>
      </c>
      <c r="B29" s="122" t="s">
        <v>94</v>
      </c>
      <c r="C29" s="242" t="s">
        <v>113</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row>
    <row r="30" spans="1:39" x14ac:dyDescent="0.25">
      <c r="A30" s="141">
        <v>8</v>
      </c>
      <c r="B30" s="6" t="s">
        <v>158</v>
      </c>
      <c r="C30" s="242" t="s">
        <v>159</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row>
    <row r="31" spans="1:39" x14ac:dyDescent="0.25">
      <c r="A31" s="141">
        <v>19</v>
      </c>
      <c r="B31" s="6" t="s">
        <v>95</v>
      </c>
      <c r="C31" s="242" t="s">
        <v>157</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row>
    <row r="32" spans="1:39" ht="30" x14ac:dyDescent="0.25">
      <c r="A32" s="141">
        <v>3</v>
      </c>
      <c r="B32" s="123" t="s">
        <v>98</v>
      </c>
      <c r="C32" s="242" t="s">
        <v>114</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row>
    <row r="33" spans="1:39" x14ac:dyDescent="0.25">
      <c r="A33" s="143"/>
      <c r="F33" s="7"/>
      <c r="G33" s="7"/>
      <c r="H33" s="7"/>
      <c r="I33" s="8"/>
      <c r="J33" s="164"/>
      <c r="K33" s="7"/>
      <c r="L33" s="156"/>
      <c r="M33" s="7"/>
      <c r="N33" s="8"/>
      <c r="O33" s="7"/>
      <c r="P33" s="7"/>
      <c r="Q33" s="7"/>
      <c r="R33" s="7"/>
      <c r="T33" s="7"/>
      <c r="U33" s="7"/>
      <c r="V33" s="72"/>
      <c r="W33" s="72"/>
      <c r="Y33" s="7"/>
      <c r="Z33" s="7"/>
      <c r="AA33" s="72"/>
      <c r="AB33" s="72"/>
      <c r="AC33" s="100"/>
      <c r="AD33" s="108"/>
      <c r="AE33" s="108"/>
      <c r="AF33" s="72"/>
      <c r="AG33" s="72"/>
      <c r="AI33" s="95"/>
      <c r="AJ33" s="95"/>
      <c r="AK33" s="97"/>
    </row>
    <row r="34" spans="1:39" s="11" customFormat="1" ht="27" customHeight="1" x14ac:dyDescent="0.25">
      <c r="A34" s="208" t="s">
        <v>2</v>
      </c>
      <c r="B34" s="202" t="s">
        <v>3</v>
      </c>
      <c r="C34" s="240" t="s">
        <v>87</v>
      </c>
      <c r="D34" s="202" t="s">
        <v>67</v>
      </c>
      <c r="E34" s="240" t="s">
        <v>172</v>
      </c>
      <c r="F34" s="205" t="s">
        <v>101</v>
      </c>
      <c r="G34" s="248" t="s">
        <v>90</v>
      </c>
      <c r="H34" s="198" t="s">
        <v>173</v>
      </c>
      <c r="I34" s="10"/>
      <c r="J34" s="198">
        <v>2020</v>
      </c>
      <c r="K34" s="198"/>
      <c r="L34" s="198"/>
      <c r="M34" s="198"/>
      <c r="N34" s="10"/>
      <c r="O34" s="198">
        <v>2021</v>
      </c>
      <c r="P34" s="198"/>
      <c r="Q34" s="198"/>
      <c r="R34" s="198"/>
      <c r="T34" s="198">
        <v>2022</v>
      </c>
      <c r="U34" s="198"/>
      <c r="V34" s="198"/>
      <c r="W34" s="198"/>
      <c r="Y34" s="198">
        <v>2023</v>
      </c>
      <c r="Z34" s="198"/>
      <c r="AA34" s="198"/>
      <c r="AB34" s="198"/>
      <c r="AD34" s="219">
        <v>2024</v>
      </c>
      <c r="AE34" s="220"/>
      <c r="AF34" s="220"/>
      <c r="AG34" s="220"/>
      <c r="AI34" s="249" t="s">
        <v>102</v>
      </c>
      <c r="AJ34" s="249"/>
      <c r="AK34" s="249"/>
      <c r="AL34" s="249"/>
      <c r="AM34" s="98"/>
    </row>
    <row r="35" spans="1:39" s="11" customFormat="1" ht="16.5" customHeight="1" x14ac:dyDescent="0.25">
      <c r="A35" s="209"/>
      <c r="B35" s="203"/>
      <c r="C35" s="206"/>
      <c r="D35" s="203"/>
      <c r="E35" s="206"/>
      <c r="F35" s="206"/>
      <c r="G35" s="248"/>
      <c r="H35" s="198"/>
      <c r="I35" s="10"/>
      <c r="J35" s="197" t="s">
        <v>4</v>
      </c>
      <c r="K35" s="197"/>
      <c r="L35" s="197" t="s">
        <v>61</v>
      </c>
      <c r="M35" s="197"/>
      <c r="N35" s="10"/>
      <c r="O35" s="197" t="s">
        <v>6</v>
      </c>
      <c r="P35" s="197"/>
      <c r="Q35" s="197" t="s">
        <v>8</v>
      </c>
      <c r="R35" s="197"/>
      <c r="S35" s="10"/>
      <c r="T35" s="197" t="s">
        <v>7</v>
      </c>
      <c r="U35" s="197"/>
      <c r="V35" s="197" t="s">
        <v>8</v>
      </c>
      <c r="W35" s="197"/>
      <c r="Y35" s="197" t="s">
        <v>7</v>
      </c>
      <c r="Z35" s="197"/>
      <c r="AA35" s="197" t="s">
        <v>8</v>
      </c>
      <c r="AB35" s="197"/>
      <c r="AD35" s="197" t="s">
        <v>7</v>
      </c>
      <c r="AE35" s="197"/>
      <c r="AF35" s="197" t="s">
        <v>8</v>
      </c>
      <c r="AG35" s="197"/>
      <c r="AI35" s="235" t="s">
        <v>4</v>
      </c>
      <c r="AJ35" s="235" t="s">
        <v>66</v>
      </c>
      <c r="AK35" s="235" t="s">
        <v>8</v>
      </c>
      <c r="AL35" s="235" t="s">
        <v>5</v>
      </c>
      <c r="AM35" s="98"/>
    </row>
    <row r="36" spans="1:39" s="11" customFormat="1" ht="33" x14ac:dyDescent="0.25">
      <c r="A36" s="210"/>
      <c r="B36" s="204"/>
      <c r="C36" s="241"/>
      <c r="D36" s="204"/>
      <c r="E36" s="241"/>
      <c r="F36" s="207"/>
      <c r="G36" s="248"/>
      <c r="H36" s="198"/>
      <c r="I36" s="12"/>
      <c r="J36" s="153" t="s">
        <v>59</v>
      </c>
      <c r="K36" s="116" t="s">
        <v>60</v>
      </c>
      <c r="L36" s="157" t="s">
        <v>64</v>
      </c>
      <c r="M36" s="116" t="s">
        <v>63</v>
      </c>
      <c r="N36" s="12"/>
      <c r="O36" s="61" t="s">
        <v>59</v>
      </c>
      <c r="P36" s="116" t="s">
        <v>60</v>
      </c>
      <c r="Q36" s="61" t="s">
        <v>62</v>
      </c>
      <c r="R36" s="116" t="s">
        <v>63</v>
      </c>
      <c r="S36" s="10"/>
      <c r="T36" s="61" t="s">
        <v>59</v>
      </c>
      <c r="U36" s="116" t="s">
        <v>60</v>
      </c>
      <c r="V36" s="116" t="s">
        <v>62</v>
      </c>
      <c r="W36" s="116" t="s">
        <v>63</v>
      </c>
      <c r="Y36" s="116" t="s">
        <v>59</v>
      </c>
      <c r="Z36" s="116" t="s">
        <v>60</v>
      </c>
      <c r="AA36" s="116" t="s">
        <v>64</v>
      </c>
      <c r="AB36" s="116" t="s">
        <v>63</v>
      </c>
      <c r="AD36" s="116" t="s">
        <v>59</v>
      </c>
      <c r="AE36" s="116" t="s">
        <v>60</v>
      </c>
      <c r="AF36" s="116" t="s">
        <v>64</v>
      </c>
      <c r="AG36" s="116" t="s">
        <v>63</v>
      </c>
      <c r="AI36" s="236"/>
      <c r="AJ36" s="236"/>
      <c r="AK36" s="236"/>
      <c r="AL36" s="236"/>
      <c r="AM36" s="98"/>
    </row>
    <row r="37" spans="1:39" ht="75.75" customHeight="1" x14ac:dyDescent="0.25">
      <c r="A37" s="217" t="s">
        <v>115</v>
      </c>
      <c r="B37" s="214" t="s">
        <v>116</v>
      </c>
      <c r="C37" s="214" t="s">
        <v>117</v>
      </c>
      <c r="D37" s="214" t="s">
        <v>153</v>
      </c>
      <c r="E37" s="243" t="str">
        <f>C30</f>
        <v xml:space="preserve">Aumentar el acceso a vivienda digna, espacio público y equipamientos de la población vulnerable en suelo urbano y rural </v>
      </c>
      <c r="F37" s="138" t="s">
        <v>163</v>
      </c>
      <c r="G37" s="138" t="s">
        <v>91</v>
      </c>
      <c r="H37" s="246" t="str">
        <f>C32</f>
        <v>Sistema Distrital de cuidado</v>
      </c>
      <c r="I37" s="14"/>
      <c r="J37" s="127">
        <v>300</v>
      </c>
      <c r="K37" s="127">
        <v>433</v>
      </c>
      <c r="L37" s="158"/>
      <c r="M37" s="128"/>
      <c r="N37" s="129"/>
      <c r="O37" s="144">
        <v>600</v>
      </c>
      <c r="P37" s="144">
        <v>418</v>
      </c>
      <c r="Q37" s="128"/>
      <c r="R37" s="128"/>
      <c r="S37" s="131"/>
      <c r="T37" s="145">
        <v>600</v>
      </c>
      <c r="U37" s="145">
        <v>0</v>
      </c>
      <c r="V37" s="133"/>
      <c r="W37" s="134"/>
      <c r="X37" s="135"/>
      <c r="Y37" s="145">
        <v>600</v>
      </c>
      <c r="Z37" s="145">
        <v>0</v>
      </c>
      <c r="AA37" s="133"/>
      <c r="AB37" s="134"/>
      <c r="AC37" s="135"/>
      <c r="AD37" s="146">
        <v>300</v>
      </c>
      <c r="AE37" s="146">
        <v>0</v>
      </c>
      <c r="AF37" s="133"/>
      <c r="AG37" s="134"/>
      <c r="AH37" s="131"/>
      <c r="AI37" s="146">
        <f t="shared" ref="AI37:AL38" si="12">J37+O37+T37+Y37+AD37</f>
        <v>2400</v>
      </c>
      <c r="AJ37" s="146">
        <f t="shared" si="12"/>
        <v>851</v>
      </c>
      <c r="AK37" s="137">
        <f t="shared" si="12"/>
        <v>0</v>
      </c>
      <c r="AL37" s="137">
        <f t="shared" si="12"/>
        <v>0</v>
      </c>
      <c r="AM37" s="99"/>
    </row>
    <row r="38" spans="1:39" ht="75.75" customHeight="1" x14ac:dyDescent="0.25">
      <c r="A38" s="218"/>
      <c r="B38" s="215"/>
      <c r="C38" s="215"/>
      <c r="D38" s="215"/>
      <c r="E38" s="244"/>
      <c r="F38" s="13" t="s">
        <v>118</v>
      </c>
      <c r="G38" s="13" t="s">
        <v>91</v>
      </c>
      <c r="H38" s="247"/>
      <c r="I38" s="14"/>
      <c r="J38" s="107">
        <v>300</v>
      </c>
      <c r="K38" s="107">
        <v>433</v>
      </c>
      <c r="L38" s="161">
        <v>2485.9104860000002</v>
      </c>
      <c r="M38" s="29">
        <v>2462.6375039999998</v>
      </c>
      <c r="N38" s="23"/>
      <c r="O38" s="15">
        <v>600</v>
      </c>
      <c r="P38" s="15">
        <v>418</v>
      </c>
      <c r="Q38" s="63">
        <f>3173592417/L1</f>
        <v>3173.5924169999998</v>
      </c>
      <c r="R38" s="29">
        <v>1150.444526</v>
      </c>
      <c r="S38" s="100"/>
      <c r="T38" s="103">
        <v>600</v>
      </c>
      <c r="U38" s="103">
        <v>0</v>
      </c>
      <c r="V38" s="29">
        <f>3775257731/L1</f>
        <v>3775.2577310000001</v>
      </c>
      <c r="W38" s="105"/>
      <c r="X38" s="101"/>
      <c r="Y38" s="103">
        <v>600</v>
      </c>
      <c r="Z38" s="103">
        <v>0</v>
      </c>
      <c r="AA38" s="29">
        <f>3775257731/L1</f>
        <v>3775.2577310000001</v>
      </c>
      <c r="AB38" s="105"/>
      <c r="AC38" s="101"/>
      <c r="AD38" s="90">
        <v>300</v>
      </c>
      <c r="AE38" s="90">
        <v>0</v>
      </c>
      <c r="AF38" s="104">
        <f>1887628865/L1</f>
        <v>1887.6288649999999</v>
      </c>
      <c r="AG38" s="105"/>
      <c r="AH38" s="100"/>
      <c r="AI38" s="90">
        <f t="shared" si="12"/>
        <v>2400</v>
      </c>
      <c r="AJ38" s="90">
        <f t="shared" si="12"/>
        <v>851</v>
      </c>
      <c r="AK38" s="62">
        <f t="shared" si="12"/>
        <v>15097.64723</v>
      </c>
      <c r="AL38" s="62">
        <f t="shared" si="12"/>
        <v>3613.0820299999996</v>
      </c>
      <c r="AM38" s="99"/>
    </row>
    <row r="39" spans="1:39" ht="39.75" customHeight="1" x14ac:dyDescent="0.25">
      <c r="A39" s="218"/>
      <c r="B39" s="215"/>
      <c r="C39" s="215"/>
      <c r="D39" s="215"/>
      <c r="E39" s="244"/>
      <c r="F39" s="13" t="s">
        <v>119</v>
      </c>
      <c r="G39" s="13" t="s">
        <v>120</v>
      </c>
      <c r="H39" s="247"/>
      <c r="I39" s="14"/>
      <c r="J39" s="15">
        <v>1</v>
      </c>
      <c r="K39" s="15">
        <v>1</v>
      </c>
      <c r="L39" s="168">
        <v>1.1481950000000001</v>
      </c>
      <c r="M39" s="169">
        <v>1.1481950000000001</v>
      </c>
      <c r="N39" s="23"/>
      <c r="O39" s="15">
        <v>1</v>
      </c>
      <c r="P39" s="15">
        <v>0</v>
      </c>
      <c r="Q39" s="63">
        <f>674307911/L1</f>
        <v>674.30791099999999</v>
      </c>
      <c r="R39" s="29">
        <v>400.863291</v>
      </c>
      <c r="S39" s="100"/>
      <c r="T39" s="103">
        <v>1</v>
      </c>
      <c r="U39" s="103">
        <v>0</v>
      </c>
      <c r="V39" s="29">
        <f>711330074/L1</f>
        <v>711.33007399999997</v>
      </c>
      <c r="W39" s="106"/>
      <c r="X39" s="101"/>
      <c r="Y39" s="103">
        <v>1</v>
      </c>
      <c r="Z39" s="103">
        <v>0</v>
      </c>
      <c r="AA39" s="104">
        <f>1066995111/L1</f>
        <v>1066.995111</v>
      </c>
      <c r="AB39" s="106"/>
      <c r="AC39" s="101"/>
      <c r="AD39" s="90">
        <v>0</v>
      </c>
      <c r="AE39" s="90">
        <v>0</v>
      </c>
      <c r="AF39" s="104">
        <v>0</v>
      </c>
      <c r="AG39" s="106"/>
      <c r="AH39" s="100"/>
      <c r="AI39" s="90">
        <f>J39+O39+T39+Y39+AD39</f>
        <v>4</v>
      </c>
      <c r="AJ39" s="90">
        <f t="shared" ref="AJ39:AJ40" si="13">K39+P39+U39+Z39+AE39</f>
        <v>1</v>
      </c>
      <c r="AK39" s="62">
        <f t="shared" ref="AK39:AK40" si="14">L39+Q39+V39+AA39+AF39</f>
        <v>2453.7812910000002</v>
      </c>
      <c r="AL39" s="62">
        <f t="shared" ref="AL39:AL40" si="15">M39+R39+W39+AB39+AG39</f>
        <v>402.01148599999999</v>
      </c>
    </row>
    <row r="40" spans="1:39" ht="43.5" customHeight="1" x14ac:dyDescent="0.25">
      <c r="A40" s="218"/>
      <c r="B40" s="215"/>
      <c r="C40" s="215"/>
      <c r="D40" s="215"/>
      <c r="E40" s="244"/>
      <c r="F40" s="13" t="s">
        <v>121</v>
      </c>
      <c r="G40" s="13" t="s">
        <v>122</v>
      </c>
      <c r="H40" s="247"/>
      <c r="I40" s="14"/>
      <c r="J40" s="15">
        <v>1</v>
      </c>
      <c r="K40" s="15">
        <v>1</v>
      </c>
      <c r="L40" s="159">
        <v>3933.2635260000002</v>
      </c>
      <c r="M40" s="29">
        <v>3919.824286</v>
      </c>
      <c r="N40" s="23"/>
      <c r="O40" s="15">
        <v>1</v>
      </c>
      <c r="P40" s="15">
        <v>0</v>
      </c>
      <c r="Q40" s="63">
        <f>790884672/L1</f>
        <v>790.88467200000002</v>
      </c>
      <c r="R40" s="29">
        <v>362.25351999999998</v>
      </c>
      <c r="S40" s="100"/>
      <c r="T40" s="103">
        <v>0</v>
      </c>
      <c r="U40" s="103">
        <v>0</v>
      </c>
      <c r="V40" s="104">
        <v>0</v>
      </c>
      <c r="W40" s="104"/>
      <c r="X40" s="101"/>
      <c r="Y40" s="103">
        <v>0</v>
      </c>
      <c r="Z40" s="103">
        <v>0</v>
      </c>
      <c r="AA40" s="104">
        <v>0</v>
      </c>
      <c r="AB40" s="104"/>
      <c r="AC40" s="101"/>
      <c r="AD40" s="90">
        <v>0</v>
      </c>
      <c r="AE40" s="90">
        <v>0</v>
      </c>
      <c r="AF40" s="104">
        <v>0</v>
      </c>
      <c r="AG40" s="104"/>
      <c r="AH40" s="100"/>
      <c r="AI40" s="90">
        <f>J40+O40+T40+Y40+AD40</f>
        <v>2</v>
      </c>
      <c r="AJ40" s="90">
        <f t="shared" si="13"/>
        <v>1</v>
      </c>
      <c r="AK40" s="62">
        <f t="shared" si="14"/>
        <v>4724.1481979999999</v>
      </c>
      <c r="AL40" s="62">
        <f t="shared" si="15"/>
        <v>4282.0778060000002</v>
      </c>
      <c r="AM40" s="99"/>
    </row>
    <row r="41" spans="1:39" s="6" customFormat="1" ht="15.75" x14ac:dyDescent="0.25">
      <c r="A41" s="17"/>
      <c r="B41" s="118" t="s">
        <v>103</v>
      </c>
      <c r="C41" s="118"/>
      <c r="D41" s="118"/>
      <c r="E41" s="118"/>
      <c r="F41" s="39"/>
      <c r="G41" s="39"/>
      <c r="H41" s="39"/>
      <c r="I41" s="40"/>
      <c r="J41" s="41"/>
      <c r="K41" s="41"/>
      <c r="L41" s="160">
        <f>SUM(L37:L40)</f>
        <v>6420.3222070000011</v>
      </c>
      <c r="M41" s="42">
        <f>SUM(M37:M40)</f>
        <v>6383.6099850000001</v>
      </c>
      <c r="N41" s="51"/>
      <c r="O41" s="41"/>
      <c r="P41" s="41"/>
      <c r="Q41" s="42">
        <f>SUM(Q37:Q40)</f>
        <v>4638.7849999999999</v>
      </c>
      <c r="R41" s="42">
        <f>SUM(R37:R40)</f>
        <v>1913.5613369999999</v>
      </c>
      <c r="T41" s="41"/>
      <c r="U41" s="41"/>
      <c r="V41" s="42">
        <f>SUM(V37:V40)</f>
        <v>4486.5878050000001</v>
      </c>
      <c r="W41" s="42">
        <f>SUM(W37:W40)</f>
        <v>0</v>
      </c>
      <c r="Y41" s="41"/>
      <c r="Z41" s="41"/>
      <c r="AA41" s="42">
        <f>SUM(AA37:AA40)</f>
        <v>4842.2528419999999</v>
      </c>
      <c r="AB41" s="42">
        <f>SUM(AB37:AB40)</f>
        <v>0</v>
      </c>
      <c r="AC41" s="112"/>
      <c r="AD41" s="41"/>
      <c r="AE41" s="42"/>
      <c r="AF41" s="42">
        <f>SUM(AF37:AF40)</f>
        <v>1887.6288649999999</v>
      </c>
      <c r="AG41" s="42">
        <f>SUM(AG37:AG40)</f>
        <v>0</v>
      </c>
      <c r="AI41" s="96"/>
      <c r="AJ41" s="96"/>
      <c r="AK41" s="64">
        <f>SUM(AK37:AK40)</f>
        <v>22275.576719000001</v>
      </c>
      <c r="AL41" s="64">
        <f>SUM(AL37:AL40)</f>
        <v>8297.1713220000001</v>
      </c>
      <c r="AM41" s="98"/>
    </row>
    <row r="43" spans="1:39" s="5" customFormat="1" ht="15.75" customHeight="1" x14ac:dyDescent="0.2">
      <c r="A43" s="251"/>
      <c r="B43" s="251"/>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94"/>
    </row>
    <row r="44" spans="1:39" s="3" customFormat="1" ht="12.75" x14ac:dyDescent="0.2">
      <c r="A44" s="140"/>
      <c r="B44" s="4"/>
      <c r="C44" s="4"/>
      <c r="D44" s="4"/>
      <c r="E44" s="4"/>
      <c r="F44" s="4"/>
      <c r="G44" s="4"/>
      <c r="H44" s="4"/>
      <c r="I44" s="2"/>
      <c r="J44" s="140"/>
      <c r="K44" s="2"/>
      <c r="L44" s="155"/>
      <c r="M44" s="2"/>
      <c r="N44" s="2"/>
      <c r="O44" s="2"/>
      <c r="P44" s="2"/>
      <c r="Q44" s="2"/>
      <c r="R44" s="2"/>
      <c r="T44" s="102"/>
      <c r="U44" s="102"/>
      <c r="V44" s="102"/>
      <c r="W44" s="102"/>
      <c r="Y44" s="102"/>
      <c r="Z44" s="102"/>
      <c r="AA44" s="102"/>
      <c r="AB44" s="102"/>
      <c r="AD44" s="2"/>
      <c r="AE44" s="2"/>
      <c r="AF44" s="102"/>
      <c r="AG44" s="102"/>
      <c r="AI44" s="109"/>
      <c r="AJ44" s="109"/>
      <c r="AK44" s="109"/>
      <c r="AL44" s="110"/>
      <c r="AM44" s="93"/>
    </row>
    <row r="45" spans="1:39" x14ac:dyDescent="0.25">
      <c r="A45" s="142">
        <v>2</v>
      </c>
      <c r="B45" s="122" t="s">
        <v>94</v>
      </c>
      <c r="C45" s="242" t="s">
        <v>164</v>
      </c>
      <c r="D45" s="242"/>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row>
    <row r="46" spans="1:39" x14ac:dyDescent="0.25">
      <c r="A46" s="141">
        <v>15</v>
      </c>
      <c r="B46" s="6" t="s">
        <v>158</v>
      </c>
      <c r="C46" s="242" t="s">
        <v>165</v>
      </c>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row>
    <row r="47" spans="1:39" x14ac:dyDescent="0.25">
      <c r="A47" s="141">
        <v>29</v>
      </c>
      <c r="B47" s="6" t="s">
        <v>95</v>
      </c>
      <c r="C47" s="242" t="s">
        <v>166</v>
      </c>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row>
    <row r="48" spans="1:39" ht="30" x14ac:dyDescent="0.25">
      <c r="A48" s="141">
        <v>3</v>
      </c>
      <c r="B48" s="123" t="s">
        <v>98</v>
      </c>
      <c r="C48" s="242" t="s">
        <v>114</v>
      </c>
      <c r="D48" s="242"/>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row>
    <row r="50" spans="1:39" s="11" customFormat="1" ht="27" customHeight="1" x14ac:dyDescent="0.25">
      <c r="A50" s="208" t="s">
        <v>2</v>
      </c>
      <c r="B50" s="202" t="s">
        <v>3</v>
      </c>
      <c r="C50" s="240" t="s">
        <v>87</v>
      </c>
      <c r="D50" s="202" t="s">
        <v>67</v>
      </c>
      <c r="E50" s="240" t="s">
        <v>172</v>
      </c>
      <c r="F50" s="205" t="s">
        <v>101</v>
      </c>
      <c r="G50" s="248" t="s">
        <v>90</v>
      </c>
      <c r="H50" s="198" t="s">
        <v>173</v>
      </c>
      <c r="I50" s="10"/>
      <c r="J50" s="198">
        <v>2020</v>
      </c>
      <c r="K50" s="198"/>
      <c r="L50" s="198"/>
      <c r="M50" s="198"/>
      <c r="N50" s="10"/>
      <c r="O50" s="198">
        <v>2021</v>
      </c>
      <c r="P50" s="198"/>
      <c r="Q50" s="198"/>
      <c r="R50" s="198"/>
      <c r="T50" s="198">
        <v>2022</v>
      </c>
      <c r="U50" s="198"/>
      <c r="V50" s="198"/>
      <c r="W50" s="198"/>
      <c r="Y50" s="198">
        <v>2023</v>
      </c>
      <c r="Z50" s="198"/>
      <c r="AA50" s="198"/>
      <c r="AB50" s="198"/>
      <c r="AD50" s="219">
        <v>2024</v>
      </c>
      <c r="AE50" s="220"/>
      <c r="AF50" s="220"/>
      <c r="AG50" s="220"/>
      <c r="AI50" s="249" t="s">
        <v>102</v>
      </c>
      <c r="AJ50" s="249"/>
      <c r="AK50" s="249"/>
      <c r="AL50" s="249"/>
      <c r="AM50" s="98"/>
    </row>
    <row r="51" spans="1:39" s="11" customFormat="1" ht="16.5" customHeight="1" x14ac:dyDescent="0.25">
      <c r="A51" s="209"/>
      <c r="B51" s="203"/>
      <c r="C51" s="206"/>
      <c r="D51" s="203"/>
      <c r="E51" s="206"/>
      <c r="F51" s="206"/>
      <c r="G51" s="248"/>
      <c r="H51" s="198"/>
      <c r="I51" s="10"/>
      <c r="J51" s="197" t="s">
        <v>4</v>
      </c>
      <c r="K51" s="197"/>
      <c r="L51" s="197" t="s">
        <v>61</v>
      </c>
      <c r="M51" s="197"/>
      <c r="N51" s="10"/>
      <c r="O51" s="197" t="s">
        <v>6</v>
      </c>
      <c r="P51" s="197"/>
      <c r="Q51" s="197" t="s">
        <v>8</v>
      </c>
      <c r="R51" s="197"/>
      <c r="S51" s="10"/>
      <c r="T51" s="197" t="s">
        <v>7</v>
      </c>
      <c r="U51" s="197"/>
      <c r="V51" s="197" t="s">
        <v>8</v>
      </c>
      <c r="W51" s="197"/>
      <c r="Y51" s="197" t="s">
        <v>7</v>
      </c>
      <c r="Z51" s="197"/>
      <c r="AA51" s="197" t="s">
        <v>8</v>
      </c>
      <c r="AB51" s="197"/>
      <c r="AD51" s="197" t="s">
        <v>7</v>
      </c>
      <c r="AE51" s="197"/>
      <c r="AF51" s="197" t="s">
        <v>8</v>
      </c>
      <c r="AG51" s="197"/>
      <c r="AI51" s="235" t="s">
        <v>4</v>
      </c>
      <c r="AJ51" s="235" t="s">
        <v>66</v>
      </c>
      <c r="AK51" s="235" t="s">
        <v>8</v>
      </c>
      <c r="AL51" s="235" t="s">
        <v>5</v>
      </c>
      <c r="AM51" s="98"/>
    </row>
    <row r="52" spans="1:39" s="11" customFormat="1" ht="33" x14ac:dyDescent="0.25">
      <c r="A52" s="210"/>
      <c r="B52" s="204"/>
      <c r="C52" s="241"/>
      <c r="D52" s="204"/>
      <c r="E52" s="241"/>
      <c r="F52" s="207"/>
      <c r="G52" s="248"/>
      <c r="H52" s="198"/>
      <c r="I52" s="12"/>
      <c r="J52" s="153" t="s">
        <v>59</v>
      </c>
      <c r="K52" s="116" t="s">
        <v>60</v>
      </c>
      <c r="L52" s="157" t="s">
        <v>64</v>
      </c>
      <c r="M52" s="116" t="s">
        <v>63</v>
      </c>
      <c r="N52" s="12"/>
      <c r="O52" s="61" t="s">
        <v>59</v>
      </c>
      <c r="P52" s="116" t="s">
        <v>60</v>
      </c>
      <c r="Q52" s="61" t="s">
        <v>62</v>
      </c>
      <c r="R52" s="116" t="s">
        <v>63</v>
      </c>
      <c r="S52" s="10"/>
      <c r="T52" s="61" t="s">
        <v>59</v>
      </c>
      <c r="U52" s="116" t="s">
        <v>60</v>
      </c>
      <c r="V52" s="116" t="s">
        <v>62</v>
      </c>
      <c r="W52" s="116" t="s">
        <v>63</v>
      </c>
      <c r="Y52" s="116" t="s">
        <v>59</v>
      </c>
      <c r="Z52" s="116" t="s">
        <v>60</v>
      </c>
      <c r="AA52" s="116" t="s">
        <v>64</v>
      </c>
      <c r="AB52" s="116" t="s">
        <v>63</v>
      </c>
      <c r="AD52" s="116" t="s">
        <v>59</v>
      </c>
      <c r="AE52" s="116" t="s">
        <v>60</v>
      </c>
      <c r="AF52" s="116" t="s">
        <v>64</v>
      </c>
      <c r="AG52" s="116" t="s">
        <v>63</v>
      </c>
      <c r="AI52" s="236"/>
      <c r="AJ52" s="236"/>
      <c r="AK52" s="236"/>
      <c r="AL52" s="236"/>
      <c r="AM52" s="98"/>
    </row>
    <row r="53" spans="1:39" ht="75.75" customHeight="1" x14ac:dyDescent="0.25">
      <c r="A53" s="217" t="s">
        <v>123</v>
      </c>
      <c r="B53" s="214" t="s">
        <v>125</v>
      </c>
      <c r="C53" s="214" t="s">
        <v>124</v>
      </c>
      <c r="D53" s="214" t="s">
        <v>154</v>
      </c>
      <c r="E53" s="214" t="str">
        <f>C46</f>
        <v xml:space="preserve">Intervenir integralmente áreas estratégicas de Bogotá teniendo en cuenta las dinámicas patrimoniales, ambientales, sociales y culturales  
</v>
      </c>
      <c r="F53" s="138" t="s">
        <v>126</v>
      </c>
      <c r="G53" s="138" t="s">
        <v>127</v>
      </c>
      <c r="H53" s="246" t="str">
        <f>C48</f>
        <v>Sistema Distrital de cuidado</v>
      </c>
      <c r="I53" s="14"/>
      <c r="J53" s="127">
        <v>174</v>
      </c>
      <c r="K53" s="127">
        <v>410</v>
      </c>
      <c r="L53" s="158"/>
      <c r="M53" s="128"/>
      <c r="N53" s="129"/>
      <c r="O53" s="144">
        <v>431</v>
      </c>
      <c r="P53" s="144">
        <v>204</v>
      </c>
      <c r="Q53" s="128"/>
      <c r="R53" s="128"/>
      <c r="S53" s="131"/>
      <c r="T53" s="145">
        <v>764</v>
      </c>
      <c r="U53" s="145">
        <v>0</v>
      </c>
      <c r="V53" s="133"/>
      <c r="W53" s="134"/>
      <c r="X53" s="135"/>
      <c r="Y53" s="145">
        <v>446</v>
      </c>
      <c r="Z53" s="145">
        <v>0</v>
      </c>
      <c r="AA53" s="133"/>
      <c r="AB53" s="134"/>
      <c r="AC53" s="135"/>
      <c r="AD53" s="146">
        <v>335</v>
      </c>
      <c r="AE53" s="146">
        <v>0</v>
      </c>
      <c r="AF53" s="133"/>
      <c r="AG53" s="134"/>
      <c r="AH53" s="131"/>
      <c r="AI53" s="146">
        <f>J53+O53+T53+Y53+AD53</f>
        <v>2150</v>
      </c>
      <c r="AJ53" s="146">
        <f>K53+P53+U53+Z53+AE53</f>
        <v>614</v>
      </c>
      <c r="AK53" s="137">
        <f>L53+Q53+V53+AA53+AF53</f>
        <v>0</v>
      </c>
      <c r="AL53" s="137">
        <f>M53+R53+W53+AB53+AG53</f>
        <v>0</v>
      </c>
      <c r="AM53" s="99"/>
    </row>
    <row r="54" spans="1:39" ht="71.25" customHeight="1" x14ac:dyDescent="0.25">
      <c r="A54" s="218"/>
      <c r="B54" s="215"/>
      <c r="C54" s="215"/>
      <c r="D54" s="215"/>
      <c r="E54" s="215"/>
      <c r="F54" s="13" t="s">
        <v>128</v>
      </c>
      <c r="G54" s="13" t="s">
        <v>129</v>
      </c>
      <c r="H54" s="247"/>
      <c r="I54" s="14"/>
      <c r="J54" s="15">
        <v>54</v>
      </c>
      <c r="K54" s="90">
        <v>55</v>
      </c>
      <c r="L54" s="159">
        <v>5071.6473960000003</v>
      </c>
      <c r="M54" s="29">
        <v>4319.8978859999997</v>
      </c>
      <c r="N54" s="23"/>
      <c r="O54" s="15">
        <v>230</v>
      </c>
      <c r="P54" s="15">
        <v>53</v>
      </c>
      <c r="Q54" s="29">
        <f>10188014000/L1</f>
        <v>10188.013999999999</v>
      </c>
      <c r="R54" s="29">
        <v>2825.2219530000002</v>
      </c>
      <c r="S54" s="100"/>
      <c r="T54" s="103">
        <v>640</v>
      </c>
      <c r="U54" s="113">
        <v>0</v>
      </c>
      <c r="V54" s="104">
        <v>31894</v>
      </c>
      <c r="W54" s="105"/>
      <c r="X54" s="101"/>
      <c r="Y54" s="103">
        <v>212</v>
      </c>
      <c r="Z54" s="113">
        <v>0</v>
      </c>
      <c r="AA54" s="104">
        <v>13933</v>
      </c>
      <c r="AB54" s="105"/>
      <c r="AC54" s="101"/>
      <c r="AD54" s="90">
        <v>87</v>
      </c>
      <c r="AE54" s="90">
        <v>0</v>
      </c>
      <c r="AF54" s="104">
        <v>5923</v>
      </c>
      <c r="AG54" s="105"/>
      <c r="AH54" s="100"/>
      <c r="AI54" s="90">
        <f>J54+O54+T54+Y54+AD54</f>
        <v>1223</v>
      </c>
      <c r="AJ54" s="90">
        <f t="shared" ref="AJ54:AJ57" si="16">K54+P54+U54+Z54+AE54</f>
        <v>108</v>
      </c>
      <c r="AK54" s="62">
        <f t="shared" ref="AK54:AK58" si="17">L54+Q54+V54+AA54+AF54</f>
        <v>67009.661395999996</v>
      </c>
      <c r="AL54" s="62">
        <f t="shared" ref="AL54:AL58" si="18">M54+R54+W54+AB54+AG54</f>
        <v>7145.119839</v>
      </c>
      <c r="AM54" s="99"/>
    </row>
    <row r="55" spans="1:39" ht="66.75" customHeight="1" x14ac:dyDescent="0.25">
      <c r="A55" s="218"/>
      <c r="B55" s="215"/>
      <c r="C55" s="215"/>
      <c r="D55" s="215"/>
      <c r="E55" s="215"/>
      <c r="F55" s="13" t="s">
        <v>130</v>
      </c>
      <c r="G55" s="13" t="s">
        <v>131</v>
      </c>
      <c r="H55" s="247"/>
      <c r="I55" s="14"/>
      <c r="J55" s="15">
        <v>28</v>
      </c>
      <c r="K55" s="15">
        <v>27</v>
      </c>
      <c r="L55" s="159">
        <v>2969.3287610000002</v>
      </c>
      <c r="M55" s="29">
        <v>2928.9973829999999</v>
      </c>
      <c r="N55" s="23"/>
      <c r="O55" s="15">
        <v>30</v>
      </c>
      <c r="P55" s="15">
        <v>17</v>
      </c>
      <c r="Q55" s="29">
        <f>1704543506/L1</f>
        <v>1704.543506</v>
      </c>
      <c r="R55" s="29">
        <v>880.87630300000001</v>
      </c>
      <c r="S55" s="100"/>
      <c r="T55" s="103">
        <v>15</v>
      </c>
      <c r="U55" s="103">
        <v>0</v>
      </c>
      <c r="V55" s="104">
        <v>767</v>
      </c>
      <c r="W55" s="106"/>
      <c r="X55" s="101"/>
      <c r="Y55" s="103">
        <v>30</v>
      </c>
      <c r="Z55" s="103">
        <v>0</v>
      </c>
      <c r="AA55" s="104">
        <v>1756</v>
      </c>
      <c r="AB55" s="106"/>
      <c r="AC55" s="101"/>
      <c r="AD55" s="90">
        <v>13</v>
      </c>
      <c r="AE55" s="90">
        <v>0</v>
      </c>
      <c r="AF55" s="104">
        <v>788</v>
      </c>
      <c r="AG55" s="106"/>
      <c r="AH55" s="100"/>
      <c r="AI55" s="90">
        <f>J55+O55+T55+Y55+AD55</f>
        <v>116</v>
      </c>
      <c r="AJ55" s="90">
        <f t="shared" si="16"/>
        <v>44</v>
      </c>
      <c r="AK55" s="62">
        <f t="shared" si="17"/>
        <v>7984.8722670000006</v>
      </c>
      <c r="AL55" s="62">
        <f t="shared" si="18"/>
        <v>3809.8736859999999</v>
      </c>
    </row>
    <row r="56" spans="1:39" ht="43.5" customHeight="1" x14ac:dyDescent="0.25">
      <c r="A56" s="218"/>
      <c r="B56" s="215"/>
      <c r="C56" s="215"/>
      <c r="D56" s="215"/>
      <c r="E56" s="215"/>
      <c r="F56" s="13" t="s">
        <v>132</v>
      </c>
      <c r="G56" s="13" t="s">
        <v>133</v>
      </c>
      <c r="H56" s="247"/>
      <c r="I56" s="14"/>
      <c r="J56" s="15">
        <v>1497</v>
      </c>
      <c r="K56" s="15">
        <v>1484</v>
      </c>
      <c r="L56" s="159">
        <v>3667.6184499999999</v>
      </c>
      <c r="M56" s="29">
        <v>3203.0383700000002</v>
      </c>
      <c r="N56" s="23"/>
      <c r="O56" s="15">
        <v>1704</v>
      </c>
      <c r="P56" s="15">
        <v>1563</v>
      </c>
      <c r="Q56" s="29">
        <f>5364959000/L1</f>
        <v>5364.9589999999998</v>
      </c>
      <c r="R56" s="63">
        <v>4181.1510950000002</v>
      </c>
      <c r="S56" s="100"/>
      <c r="T56" s="103">
        <v>2280</v>
      </c>
      <c r="U56" s="103">
        <v>0</v>
      </c>
      <c r="V56" s="104">
        <v>6007</v>
      </c>
      <c r="W56" s="104"/>
      <c r="X56" s="101"/>
      <c r="Y56" s="103">
        <v>2471</v>
      </c>
      <c r="Z56" s="103">
        <v>0</v>
      </c>
      <c r="AA56" s="104">
        <v>3502</v>
      </c>
      <c r="AB56" s="104"/>
      <c r="AC56" s="101"/>
      <c r="AD56" s="90">
        <v>2550</v>
      </c>
      <c r="AE56" s="90">
        <v>0</v>
      </c>
      <c r="AF56" s="104">
        <v>652</v>
      </c>
      <c r="AG56" s="104"/>
      <c r="AH56" s="100"/>
      <c r="AI56" s="90">
        <f>AD56</f>
        <v>2550</v>
      </c>
      <c r="AJ56" s="90">
        <f t="shared" si="16"/>
        <v>3047</v>
      </c>
      <c r="AK56" s="62">
        <f t="shared" si="17"/>
        <v>19193.577450000001</v>
      </c>
      <c r="AL56" s="62">
        <f t="shared" si="18"/>
        <v>7384.1894650000004</v>
      </c>
      <c r="AM56" s="99"/>
    </row>
    <row r="57" spans="1:39" ht="43.5" customHeight="1" x14ac:dyDescent="0.25">
      <c r="A57" s="152"/>
      <c r="B57" s="215"/>
      <c r="C57" s="215"/>
      <c r="D57" s="215"/>
      <c r="E57" s="215"/>
      <c r="F57" s="13" t="s">
        <v>178</v>
      </c>
      <c r="G57" s="13" t="s">
        <v>180</v>
      </c>
      <c r="H57" s="247"/>
      <c r="I57" s="14"/>
      <c r="J57" s="15">
        <v>0</v>
      </c>
      <c r="K57" s="15">
        <v>0</v>
      </c>
      <c r="L57" s="159"/>
      <c r="M57" s="29"/>
      <c r="N57" s="23"/>
      <c r="O57" s="15">
        <v>224</v>
      </c>
      <c r="P57" s="15">
        <v>125</v>
      </c>
      <c r="Q57" s="29">
        <f>630898440/L1</f>
        <v>630.89844000000005</v>
      </c>
      <c r="R57" s="29">
        <v>29.401350000000001</v>
      </c>
      <c r="S57" s="100"/>
      <c r="T57" s="103">
        <v>188</v>
      </c>
      <c r="U57" s="103">
        <v>0</v>
      </c>
      <c r="V57" s="104">
        <v>612</v>
      </c>
      <c r="W57" s="104"/>
      <c r="X57" s="101"/>
      <c r="Y57" s="103">
        <v>255</v>
      </c>
      <c r="Z57" s="103">
        <v>0</v>
      </c>
      <c r="AA57" s="104">
        <v>500</v>
      </c>
      <c r="AB57" s="104"/>
      <c r="AC57" s="101"/>
      <c r="AD57" s="90">
        <v>256</v>
      </c>
      <c r="AE57" s="90">
        <v>0</v>
      </c>
      <c r="AF57" s="104">
        <v>486</v>
      </c>
      <c r="AG57" s="104"/>
      <c r="AH57" s="100"/>
      <c r="AI57" s="90">
        <f t="shared" ref="AI57" si="19">J57+O57+T57+Y57+AD57</f>
        <v>923</v>
      </c>
      <c r="AJ57" s="90">
        <f t="shared" si="16"/>
        <v>125</v>
      </c>
      <c r="AK57" s="62">
        <f t="shared" si="17"/>
        <v>2228.8984399999999</v>
      </c>
      <c r="AL57" s="62">
        <f t="shared" si="18"/>
        <v>29.401350000000001</v>
      </c>
      <c r="AM57" s="99"/>
    </row>
    <row r="58" spans="1:39" ht="90.75" customHeight="1" x14ac:dyDescent="0.25">
      <c r="A58" s="152"/>
      <c r="B58" s="216"/>
      <c r="C58" s="216"/>
      <c r="D58" s="216"/>
      <c r="E58" s="216"/>
      <c r="F58" s="13" t="s">
        <v>179</v>
      </c>
      <c r="G58" s="13" t="s">
        <v>181</v>
      </c>
      <c r="H58" s="250"/>
      <c r="I58" s="14"/>
      <c r="J58" s="15">
        <v>0</v>
      </c>
      <c r="K58" s="15">
        <v>0</v>
      </c>
      <c r="L58" s="159"/>
      <c r="M58" s="29"/>
      <c r="N58" s="23"/>
      <c r="O58" s="26">
        <v>1</v>
      </c>
      <c r="P58" s="193">
        <v>0.14000000000000001</v>
      </c>
      <c r="Q58" s="29">
        <f>6075680054/L1</f>
        <v>6075.6800540000004</v>
      </c>
      <c r="R58" s="29">
        <v>2655.4212600000001</v>
      </c>
      <c r="S58" s="100"/>
      <c r="T58" s="26">
        <v>1</v>
      </c>
      <c r="U58" s="103">
        <v>0</v>
      </c>
      <c r="V58" s="104">
        <v>5893</v>
      </c>
      <c r="W58" s="104"/>
      <c r="X58" s="101"/>
      <c r="Y58" s="26">
        <v>1</v>
      </c>
      <c r="Z58" s="103"/>
      <c r="AA58" s="104">
        <v>4817</v>
      </c>
      <c r="AB58" s="104"/>
      <c r="AC58" s="101"/>
      <c r="AD58" s="26">
        <v>1</v>
      </c>
      <c r="AE58" s="90">
        <v>0</v>
      </c>
      <c r="AF58" s="104">
        <v>4682</v>
      </c>
      <c r="AG58" s="104"/>
      <c r="AH58" s="100"/>
      <c r="AI58" s="111">
        <f>AD58</f>
        <v>1</v>
      </c>
      <c r="AJ58" s="194">
        <f>(P58+U58+Z58+AE58)/4</f>
        <v>3.5000000000000003E-2</v>
      </c>
      <c r="AK58" s="62">
        <f t="shared" si="17"/>
        <v>21467.680054</v>
      </c>
      <c r="AL58" s="62">
        <f t="shared" si="18"/>
        <v>2655.4212600000001</v>
      </c>
      <c r="AM58" s="99"/>
    </row>
    <row r="59" spans="1:39" s="6" customFormat="1" ht="15.75" x14ac:dyDescent="0.25">
      <c r="A59" s="17"/>
      <c r="B59" s="118" t="s">
        <v>103</v>
      </c>
      <c r="C59" s="118"/>
      <c r="D59" s="118"/>
      <c r="E59" s="118"/>
      <c r="F59" s="39"/>
      <c r="G59" s="39"/>
      <c r="H59" s="39"/>
      <c r="I59" s="40"/>
      <c r="J59" s="41"/>
      <c r="K59" s="41"/>
      <c r="L59" s="160">
        <f>SUM(L53:L58)</f>
        <v>11708.594607000001</v>
      </c>
      <c r="M59" s="160">
        <f>SUM(M53:M58)</f>
        <v>10451.933638999999</v>
      </c>
      <c r="N59" s="51"/>
      <c r="O59" s="41"/>
      <c r="P59" s="41"/>
      <c r="Q59" s="160">
        <f>SUM(Q53:Q58)</f>
        <v>23964.095000000001</v>
      </c>
      <c r="R59" s="160">
        <f>SUM(R53:R58)</f>
        <v>10572.071961000001</v>
      </c>
      <c r="T59" s="41"/>
      <c r="U59" s="41"/>
      <c r="V59" s="160">
        <f>SUM(V53:V58)</f>
        <v>45173</v>
      </c>
      <c r="W59" s="42">
        <f>SUM(W53:W56)</f>
        <v>0</v>
      </c>
      <c r="Y59" s="41"/>
      <c r="Z59" s="41"/>
      <c r="AA59" s="160">
        <f>SUM(AA53:AA58)</f>
        <v>24508</v>
      </c>
      <c r="AB59" s="42">
        <f>SUM(AB53:AB56)</f>
        <v>0</v>
      </c>
      <c r="AC59" s="112"/>
      <c r="AD59" s="41"/>
      <c r="AE59" s="42"/>
      <c r="AF59" s="160">
        <f>SUM(AF53:AF58)</f>
        <v>12531</v>
      </c>
      <c r="AG59" s="42">
        <f>SUM(AG53:AG56)</f>
        <v>0</v>
      </c>
      <c r="AI59" s="96"/>
      <c r="AJ59" s="96"/>
      <c r="AK59" s="160">
        <f>SUM(AK53:AK58)</f>
        <v>117884.68960699999</v>
      </c>
      <c r="AL59" s="160">
        <f>SUM(AL53:AL58)</f>
        <v>21024.0056</v>
      </c>
      <c r="AM59" s="98"/>
    </row>
    <row r="61" spans="1:39" s="5" customFormat="1" ht="15.75" customHeight="1" x14ac:dyDescent="0.2">
      <c r="A61" s="251"/>
      <c r="B61" s="251"/>
      <c r="C61" s="251"/>
      <c r="D61" s="251"/>
      <c r="E61" s="251"/>
      <c r="F61" s="251"/>
      <c r="G61" s="251"/>
      <c r="H61" s="251"/>
      <c r="I61" s="251"/>
      <c r="J61" s="251"/>
      <c r="K61" s="251"/>
      <c r="L61" s="251"/>
      <c r="M61" s="251"/>
      <c r="N61" s="251"/>
      <c r="O61" s="251"/>
      <c r="P61" s="251"/>
      <c r="Q61" s="251"/>
      <c r="R61" s="251"/>
      <c r="S61" s="251"/>
      <c r="T61" s="251"/>
      <c r="U61" s="251"/>
      <c r="V61" s="251"/>
      <c r="W61" s="251"/>
      <c r="X61" s="251"/>
      <c r="Y61" s="251"/>
      <c r="Z61" s="251"/>
      <c r="AA61" s="251"/>
      <c r="AB61" s="251"/>
      <c r="AC61" s="251"/>
      <c r="AD61" s="251"/>
      <c r="AE61" s="251"/>
      <c r="AF61" s="251"/>
      <c r="AG61" s="251"/>
      <c r="AH61" s="251"/>
      <c r="AI61" s="251"/>
      <c r="AJ61" s="251"/>
      <c r="AK61" s="251"/>
      <c r="AL61" s="251"/>
      <c r="AM61" s="94"/>
    </row>
    <row r="62" spans="1:39" s="3" customFormat="1" ht="12.75" x14ac:dyDescent="0.2">
      <c r="A62" s="140"/>
      <c r="B62" s="4"/>
      <c r="C62" s="4"/>
      <c r="D62" s="4"/>
      <c r="E62" s="4"/>
      <c r="F62" s="4"/>
      <c r="G62" s="4"/>
      <c r="H62" s="4"/>
      <c r="I62" s="2"/>
      <c r="J62" s="140"/>
      <c r="K62" s="2"/>
      <c r="L62" s="155"/>
      <c r="M62" s="2"/>
      <c r="N62" s="2"/>
      <c r="O62" s="2"/>
      <c r="P62" s="2"/>
      <c r="Q62" s="2"/>
      <c r="R62" s="2"/>
      <c r="T62" s="102"/>
      <c r="U62" s="102"/>
      <c r="V62" s="102"/>
      <c r="W62" s="102"/>
      <c r="Y62" s="102"/>
      <c r="Z62" s="102"/>
      <c r="AA62" s="102"/>
      <c r="AB62" s="102"/>
      <c r="AD62" s="2"/>
      <c r="AE62" s="2"/>
      <c r="AF62" s="102"/>
      <c r="AG62" s="102"/>
      <c r="AI62" s="109"/>
      <c r="AJ62" s="109"/>
      <c r="AK62" s="109"/>
      <c r="AL62" s="110"/>
      <c r="AM62" s="93"/>
    </row>
    <row r="63" spans="1:39" x14ac:dyDescent="0.25">
      <c r="A63" s="142">
        <v>1</v>
      </c>
      <c r="B63" s="122" t="s">
        <v>94</v>
      </c>
      <c r="C63" s="242" t="s">
        <v>113</v>
      </c>
      <c r="D63" s="242"/>
      <c r="E63" s="242"/>
      <c r="F63" s="242"/>
      <c r="G63" s="242"/>
      <c r="H63" s="242"/>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row>
    <row r="64" spans="1:39" x14ac:dyDescent="0.25">
      <c r="A64" s="141">
        <v>8</v>
      </c>
      <c r="B64" s="6" t="s">
        <v>158</v>
      </c>
      <c r="C64" s="242" t="s">
        <v>159</v>
      </c>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row>
    <row r="65" spans="1:39" x14ac:dyDescent="0.25">
      <c r="A65" s="141">
        <v>19</v>
      </c>
      <c r="B65" s="6" t="s">
        <v>95</v>
      </c>
      <c r="C65" s="242" t="s">
        <v>157</v>
      </c>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row>
    <row r="66" spans="1:39" ht="30" x14ac:dyDescent="0.25">
      <c r="A66" s="141">
        <v>3</v>
      </c>
      <c r="B66" s="123" t="s">
        <v>98</v>
      </c>
      <c r="C66" s="242" t="s">
        <v>114</v>
      </c>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row>
    <row r="68" spans="1:39" s="11" customFormat="1" ht="27" customHeight="1" x14ac:dyDescent="0.25">
      <c r="A68" s="208" t="s">
        <v>2</v>
      </c>
      <c r="B68" s="202" t="s">
        <v>3</v>
      </c>
      <c r="C68" s="240" t="s">
        <v>87</v>
      </c>
      <c r="D68" s="202" t="s">
        <v>67</v>
      </c>
      <c r="E68" s="240" t="s">
        <v>172</v>
      </c>
      <c r="F68" s="205" t="s">
        <v>101</v>
      </c>
      <c r="G68" s="248" t="s">
        <v>90</v>
      </c>
      <c r="H68" s="198" t="s">
        <v>173</v>
      </c>
      <c r="I68" s="10"/>
      <c r="J68" s="198">
        <v>2020</v>
      </c>
      <c r="K68" s="198"/>
      <c r="L68" s="198"/>
      <c r="M68" s="198"/>
      <c r="N68" s="10"/>
      <c r="O68" s="198">
        <v>2021</v>
      </c>
      <c r="P68" s="198"/>
      <c r="Q68" s="198"/>
      <c r="R68" s="198"/>
      <c r="T68" s="198">
        <v>2022</v>
      </c>
      <c r="U68" s="198"/>
      <c r="V68" s="198"/>
      <c r="W68" s="198"/>
      <c r="Y68" s="198">
        <v>2023</v>
      </c>
      <c r="Z68" s="198"/>
      <c r="AA68" s="198"/>
      <c r="AB68" s="198"/>
      <c r="AD68" s="219">
        <v>2024</v>
      </c>
      <c r="AE68" s="220"/>
      <c r="AF68" s="220"/>
      <c r="AG68" s="220"/>
      <c r="AI68" s="249" t="s">
        <v>102</v>
      </c>
      <c r="AJ68" s="249"/>
      <c r="AK68" s="249"/>
      <c r="AL68" s="249"/>
      <c r="AM68" s="98"/>
    </row>
    <row r="69" spans="1:39" s="11" customFormat="1" ht="16.5" customHeight="1" x14ac:dyDescent="0.25">
      <c r="A69" s="209"/>
      <c r="B69" s="203"/>
      <c r="C69" s="206"/>
      <c r="D69" s="203"/>
      <c r="E69" s="206"/>
      <c r="F69" s="206"/>
      <c r="G69" s="248"/>
      <c r="H69" s="198"/>
      <c r="I69" s="10"/>
      <c r="J69" s="197" t="s">
        <v>4</v>
      </c>
      <c r="K69" s="197"/>
      <c r="L69" s="197" t="s">
        <v>61</v>
      </c>
      <c r="M69" s="197"/>
      <c r="N69" s="10"/>
      <c r="O69" s="197" t="s">
        <v>6</v>
      </c>
      <c r="P69" s="197"/>
      <c r="Q69" s="197" t="s">
        <v>8</v>
      </c>
      <c r="R69" s="197"/>
      <c r="S69" s="10"/>
      <c r="T69" s="197" t="s">
        <v>7</v>
      </c>
      <c r="U69" s="197"/>
      <c r="V69" s="197" t="s">
        <v>8</v>
      </c>
      <c r="W69" s="197"/>
      <c r="Y69" s="197" t="s">
        <v>7</v>
      </c>
      <c r="Z69" s="197"/>
      <c r="AA69" s="197" t="s">
        <v>8</v>
      </c>
      <c r="AB69" s="197"/>
      <c r="AD69" s="197" t="s">
        <v>7</v>
      </c>
      <c r="AE69" s="197"/>
      <c r="AF69" s="197" t="s">
        <v>8</v>
      </c>
      <c r="AG69" s="197"/>
      <c r="AI69" s="235" t="s">
        <v>4</v>
      </c>
      <c r="AJ69" s="235" t="s">
        <v>66</v>
      </c>
      <c r="AK69" s="235" t="s">
        <v>8</v>
      </c>
      <c r="AL69" s="235" t="s">
        <v>5</v>
      </c>
      <c r="AM69" s="98"/>
    </row>
    <row r="70" spans="1:39" s="11" customFormat="1" ht="33" x14ac:dyDescent="0.25">
      <c r="A70" s="210"/>
      <c r="B70" s="204"/>
      <c r="C70" s="241"/>
      <c r="D70" s="204"/>
      <c r="E70" s="241"/>
      <c r="F70" s="207"/>
      <c r="G70" s="248"/>
      <c r="H70" s="198"/>
      <c r="I70" s="12"/>
      <c r="J70" s="153" t="s">
        <v>59</v>
      </c>
      <c r="K70" s="116" t="s">
        <v>60</v>
      </c>
      <c r="L70" s="157" t="s">
        <v>64</v>
      </c>
      <c r="M70" s="116" t="s">
        <v>63</v>
      </c>
      <c r="N70" s="12"/>
      <c r="O70" s="61" t="s">
        <v>59</v>
      </c>
      <c r="P70" s="116" t="s">
        <v>60</v>
      </c>
      <c r="Q70" s="61" t="s">
        <v>62</v>
      </c>
      <c r="R70" s="116" t="s">
        <v>63</v>
      </c>
      <c r="S70" s="10"/>
      <c r="T70" s="61" t="s">
        <v>59</v>
      </c>
      <c r="U70" s="116" t="s">
        <v>60</v>
      </c>
      <c r="V70" s="116" t="s">
        <v>62</v>
      </c>
      <c r="W70" s="116" t="s">
        <v>63</v>
      </c>
      <c r="Y70" s="116" t="s">
        <v>59</v>
      </c>
      <c r="Z70" s="116" t="s">
        <v>60</v>
      </c>
      <c r="AA70" s="116" t="s">
        <v>64</v>
      </c>
      <c r="AB70" s="116" t="s">
        <v>63</v>
      </c>
      <c r="AD70" s="116" t="s">
        <v>59</v>
      </c>
      <c r="AE70" s="116" t="s">
        <v>60</v>
      </c>
      <c r="AF70" s="116" t="s">
        <v>64</v>
      </c>
      <c r="AG70" s="116" t="s">
        <v>63</v>
      </c>
      <c r="AI70" s="236"/>
      <c r="AJ70" s="236"/>
      <c r="AK70" s="236"/>
      <c r="AL70" s="236"/>
      <c r="AM70" s="98"/>
    </row>
    <row r="71" spans="1:39" ht="75.75" customHeight="1" x14ac:dyDescent="0.25">
      <c r="A71" s="217" t="s">
        <v>134</v>
      </c>
      <c r="B71" s="214" t="s">
        <v>135</v>
      </c>
      <c r="C71" s="214" t="s">
        <v>88</v>
      </c>
      <c r="D71" s="214" t="s">
        <v>155</v>
      </c>
      <c r="E71" s="243" t="str">
        <f>C64</f>
        <v xml:space="preserve">Aumentar el acceso a vivienda digna, espacio público y equipamientos de la población vulnerable en suelo urbano y rural </v>
      </c>
      <c r="F71" s="138" t="s">
        <v>169</v>
      </c>
      <c r="G71" s="138" t="s">
        <v>177</v>
      </c>
      <c r="H71" s="246" t="str">
        <f>C66</f>
        <v>Sistema Distrital de cuidado</v>
      </c>
      <c r="I71" s="14"/>
      <c r="J71" s="148">
        <v>17305.599999999999</v>
      </c>
      <c r="K71" s="127">
        <v>17000</v>
      </c>
      <c r="L71" s="158"/>
      <c r="M71" s="128"/>
      <c r="N71" s="129"/>
      <c r="O71" s="144">
        <v>19694.400000000001</v>
      </c>
      <c r="P71" s="179">
        <v>305.60000000000002</v>
      </c>
      <c r="Q71" s="128"/>
      <c r="R71" s="128"/>
      <c r="S71" s="131"/>
      <c r="T71" s="144">
        <v>22500</v>
      </c>
      <c r="U71" s="145">
        <v>0</v>
      </c>
      <c r="V71" s="133"/>
      <c r="W71" s="134"/>
      <c r="X71" s="135"/>
      <c r="Y71" s="144">
        <v>23750</v>
      </c>
      <c r="Z71" s="145">
        <v>0</v>
      </c>
      <c r="AA71" s="133"/>
      <c r="AB71" s="134"/>
      <c r="AC71" s="135"/>
      <c r="AD71" s="146">
        <v>23750</v>
      </c>
      <c r="AE71" s="146">
        <v>0</v>
      </c>
      <c r="AF71" s="133"/>
      <c r="AG71" s="134"/>
      <c r="AH71" s="131"/>
      <c r="AI71" s="146">
        <f>J71+O71+T71+Y71+AD71</f>
        <v>107000</v>
      </c>
      <c r="AJ71" s="146">
        <f>K71+P71+U71+Z71+AE71</f>
        <v>17305.599999999999</v>
      </c>
      <c r="AK71" s="137">
        <f>L71+Q71+V71+AA71+AF71</f>
        <v>0</v>
      </c>
      <c r="AL71" s="137">
        <f>M71+R71+W71+AB71+AG71</f>
        <v>0</v>
      </c>
      <c r="AM71" s="99"/>
    </row>
    <row r="72" spans="1:39" ht="43.5" customHeight="1" x14ac:dyDescent="0.25">
      <c r="A72" s="218"/>
      <c r="B72" s="215"/>
      <c r="C72" s="215"/>
      <c r="D72" s="215"/>
      <c r="E72" s="244"/>
      <c r="F72" s="13" t="s">
        <v>176</v>
      </c>
      <c r="G72" s="13" t="s">
        <v>136</v>
      </c>
      <c r="H72" s="247"/>
      <c r="I72" s="14"/>
      <c r="J72" s="147">
        <v>17305.599999999999</v>
      </c>
      <c r="K72" s="107">
        <v>17000</v>
      </c>
      <c r="L72" s="161">
        <f>3602795429/L1</f>
        <v>3602.7954289999998</v>
      </c>
      <c r="M72" s="29">
        <v>3501.5279959999998</v>
      </c>
      <c r="N72" s="23"/>
      <c r="O72" s="167">
        <v>19694.400000000001</v>
      </c>
      <c r="P72" s="178">
        <v>305.60000000000002</v>
      </c>
      <c r="Q72" s="29">
        <f>62736309000/L1</f>
        <v>62736.309000000001</v>
      </c>
      <c r="R72" s="29">
        <v>15097.191695</v>
      </c>
      <c r="S72" s="100"/>
      <c r="T72" s="15">
        <v>22500</v>
      </c>
      <c r="U72" s="103">
        <v>0</v>
      </c>
      <c r="V72" s="104">
        <f>18764039550/L1</f>
        <v>18764.039550000001</v>
      </c>
      <c r="W72" s="105"/>
      <c r="X72" s="101"/>
      <c r="Y72" s="15">
        <v>23750</v>
      </c>
      <c r="Z72" s="103">
        <v>0</v>
      </c>
      <c r="AA72" s="104">
        <f>11175354970/L1</f>
        <v>11175.35497</v>
      </c>
      <c r="AB72" s="105"/>
      <c r="AC72" s="101"/>
      <c r="AD72" s="90">
        <v>23750</v>
      </c>
      <c r="AE72" s="90">
        <v>0</v>
      </c>
      <c r="AF72" s="104">
        <f>2304686059/L1</f>
        <v>2304.6860590000001</v>
      </c>
      <c r="AG72" s="105"/>
      <c r="AH72" s="100"/>
      <c r="AI72" s="90">
        <f>J72+O72+T72+Y72+AD72</f>
        <v>107000</v>
      </c>
      <c r="AJ72" s="90">
        <f>K72+P72+U72+Z72+AE72</f>
        <v>17305.599999999999</v>
      </c>
      <c r="AK72" s="62">
        <f t="shared" ref="AK72:AK73" si="20">L72+Q72+V72+AA72+AF72</f>
        <v>98583.185008</v>
      </c>
      <c r="AL72" s="62">
        <f t="shared" ref="AL72:AL73" si="21">M72+R72+W72+AB72+AG72</f>
        <v>18598.719690999998</v>
      </c>
      <c r="AM72" s="99"/>
    </row>
    <row r="73" spans="1:39" ht="30" x14ac:dyDescent="0.25">
      <c r="A73" s="218"/>
      <c r="B73" s="215"/>
      <c r="C73" s="215"/>
      <c r="D73" s="215"/>
      <c r="E73" s="244"/>
      <c r="F73" s="13" t="s">
        <v>137</v>
      </c>
      <c r="G73" s="13" t="s">
        <v>136</v>
      </c>
      <c r="H73" s="247"/>
      <c r="I73" s="14"/>
      <c r="J73" s="26">
        <v>1</v>
      </c>
      <c r="K73" s="149">
        <v>0.96689999999999998</v>
      </c>
      <c r="L73" s="159">
        <f>1600000000/L1</f>
        <v>1600</v>
      </c>
      <c r="M73" s="29">
        <v>1435.632384</v>
      </c>
      <c r="N73" s="23"/>
      <c r="O73" s="26">
        <v>1</v>
      </c>
      <c r="P73" s="177">
        <v>0.37</v>
      </c>
      <c r="Q73" s="29">
        <f>4000000000/L1</f>
        <v>4000</v>
      </c>
      <c r="R73" s="29">
        <v>1747.7667200000001</v>
      </c>
      <c r="S73" s="100"/>
      <c r="T73" s="139">
        <v>1</v>
      </c>
      <c r="U73" s="124">
        <v>0</v>
      </c>
      <c r="V73" s="104">
        <f>4000000000/L1</f>
        <v>4000</v>
      </c>
      <c r="W73" s="105"/>
      <c r="X73" s="101"/>
      <c r="Y73" s="139">
        <v>1</v>
      </c>
      <c r="Z73" s="124">
        <v>0</v>
      </c>
      <c r="AA73" s="104">
        <f>3000000000/L1</f>
        <v>3000</v>
      </c>
      <c r="AB73" s="105"/>
      <c r="AC73" s="101"/>
      <c r="AD73" s="111">
        <v>1</v>
      </c>
      <c r="AE73" s="111">
        <v>0</v>
      </c>
      <c r="AF73" s="104">
        <f>1500000000/L1</f>
        <v>1500</v>
      </c>
      <c r="AG73" s="105"/>
      <c r="AH73" s="100"/>
      <c r="AI73" s="111">
        <f>AD73</f>
        <v>1</v>
      </c>
      <c r="AJ73" s="149">
        <f>(K73+P73+U73+Z73+AE73)/5</f>
        <v>0.26738000000000001</v>
      </c>
      <c r="AK73" s="62">
        <f t="shared" si="20"/>
        <v>14100</v>
      </c>
      <c r="AL73" s="62">
        <f t="shared" si="21"/>
        <v>3183.3991040000001</v>
      </c>
      <c r="AM73" s="99"/>
    </row>
    <row r="74" spans="1:39" s="6" customFormat="1" ht="15.75" x14ac:dyDescent="0.25">
      <c r="A74" s="17"/>
      <c r="B74" s="118" t="s">
        <v>103</v>
      </c>
      <c r="C74" s="118"/>
      <c r="D74" s="118"/>
      <c r="E74" s="118"/>
      <c r="F74" s="39"/>
      <c r="G74" s="39"/>
      <c r="H74" s="39"/>
      <c r="I74" s="40"/>
      <c r="J74" s="41"/>
      <c r="K74" s="41"/>
      <c r="L74" s="160">
        <f>SUM(L71:L73)</f>
        <v>5202.7954289999998</v>
      </c>
      <c r="M74" s="42">
        <f>SUM(M71:M73)</f>
        <v>4937.1603799999993</v>
      </c>
      <c r="N74" s="51"/>
      <c r="O74" s="41"/>
      <c r="P74" s="41"/>
      <c r="Q74" s="42">
        <f>SUM(Q71:Q73)</f>
        <v>66736.309000000008</v>
      </c>
      <c r="R74" s="42">
        <f>SUM(R71:R73)</f>
        <v>16844.958415000001</v>
      </c>
      <c r="T74" s="41"/>
      <c r="U74" s="41"/>
      <c r="V74" s="42">
        <f>SUM(V71:V73)</f>
        <v>22764.039550000001</v>
      </c>
      <c r="W74" s="42">
        <f>SUM(W71:W73)</f>
        <v>0</v>
      </c>
      <c r="Y74" s="41"/>
      <c r="Z74" s="41"/>
      <c r="AA74" s="42">
        <f>SUM(AA71:AA73)</f>
        <v>14175.35497</v>
      </c>
      <c r="AB74" s="42">
        <f>SUM(AB71:AB73)</f>
        <v>0</v>
      </c>
      <c r="AC74" s="112"/>
      <c r="AD74" s="41"/>
      <c r="AE74" s="42"/>
      <c r="AF74" s="42">
        <f>SUM(AF71:AF73)</f>
        <v>3804.6860590000001</v>
      </c>
      <c r="AG74" s="42">
        <f>SUM(AG71:AG73)</f>
        <v>0</v>
      </c>
      <c r="AI74" s="96"/>
      <c r="AJ74" s="96"/>
      <c r="AK74" s="64">
        <f>SUM(AK71:AK73)</f>
        <v>112683.185008</v>
      </c>
      <c r="AL74" s="64">
        <f>SUM(AL71:AL73)</f>
        <v>21782.118794999998</v>
      </c>
      <c r="AM74" s="98"/>
    </row>
    <row r="76" spans="1:39" s="5" customFormat="1" ht="15.75" customHeight="1" x14ac:dyDescent="0.2">
      <c r="A76" s="251"/>
      <c r="B76" s="251"/>
      <c r="C76" s="251"/>
      <c r="D76" s="251"/>
      <c r="E76" s="251"/>
      <c r="F76" s="251"/>
      <c r="G76" s="251"/>
      <c r="H76" s="251"/>
      <c r="I76" s="251"/>
      <c r="J76" s="251"/>
      <c r="K76" s="251"/>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94"/>
    </row>
    <row r="77" spans="1:39" s="3" customFormat="1" ht="12.75" x14ac:dyDescent="0.2">
      <c r="A77" s="140"/>
      <c r="B77" s="4"/>
      <c r="C77" s="4"/>
      <c r="D77" s="4"/>
      <c r="E77" s="4"/>
      <c r="F77" s="4"/>
      <c r="G77" s="4"/>
      <c r="H77" s="4"/>
      <c r="I77" s="2"/>
      <c r="J77" s="140"/>
      <c r="K77" s="2"/>
      <c r="L77" s="155"/>
      <c r="M77" s="2"/>
      <c r="N77" s="2"/>
      <c r="O77" s="2"/>
      <c r="P77" s="2"/>
      <c r="Q77" s="2"/>
      <c r="R77" s="2"/>
      <c r="T77" s="102"/>
      <c r="U77" s="102"/>
      <c r="V77" s="102"/>
      <c r="W77" s="102"/>
      <c r="Y77" s="102"/>
      <c r="Z77" s="102"/>
      <c r="AA77" s="102"/>
      <c r="AB77" s="102"/>
      <c r="AD77" s="2"/>
      <c r="AE77" s="2"/>
      <c r="AF77" s="102"/>
      <c r="AG77" s="102"/>
      <c r="AI77" s="109"/>
      <c r="AJ77" s="109"/>
      <c r="AK77" s="109"/>
      <c r="AL77" s="110"/>
      <c r="AM77" s="93"/>
    </row>
    <row r="78" spans="1:39" x14ac:dyDescent="0.25">
      <c r="A78" s="142">
        <v>5</v>
      </c>
      <c r="B78" s="122" t="s">
        <v>94</v>
      </c>
      <c r="C78" s="242" t="s">
        <v>167</v>
      </c>
      <c r="D78" s="242"/>
      <c r="E78" s="242"/>
      <c r="F78" s="242"/>
      <c r="G78" s="242"/>
      <c r="H78" s="242"/>
      <c r="I78" s="242"/>
      <c r="J78" s="242"/>
      <c r="K78" s="242"/>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row>
    <row r="79" spans="1:39" x14ac:dyDescent="0.25">
      <c r="A79" s="141">
        <v>30</v>
      </c>
      <c r="B79" s="6" t="s">
        <v>158</v>
      </c>
      <c r="C79" s="242" t="s">
        <v>168</v>
      </c>
      <c r="D79" s="242"/>
      <c r="E79" s="242"/>
      <c r="F79" s="242"/>
      <c r="G79" s="242"/>
      <c r="H79" s="242"/>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row>
    <row r="80" spans="1:39" x14ac:dyDescent="0.25">
      <c r="A80" s="141">
        <v>56</v>
      </c>
      <c r="B80" s="6" t="s">
        <v>95</v>
      </c>
      <c r="C80" s="242" t="s">
        <v>138</v>
      </c>
      <c r="D80" s="242"/>
      <c r="E80" s="242"/>
      <c r="F80" s="242"/>
      <c r="G80" s="242"/>
      <c r="H80" s="242"/>
      <c r="I80" s="242"/>
      <c r="J80" s="242"/>
      <c r="K80" s="242"/>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row>
    <row r="81" spans="1:39" ht="30" x14ac:dyDescent="0.25">
      <c r="A81" s="141"/>
      <c r="B81" s="123" t="s">
        <v>98</v>
      </c>
      <c r="C81" s="242" t="s">
        <v>139</v>
      </c>
      <c r="D81" s="242"/>
      <c r="E81" s="242"/>
      <c r="F81" s="242"/>
      <c r="G81" s="242"/>
      <c r="H81" s="242"/>
      <c r="I81" s="242"/>
      <c r="J81" s="242"/>
      <c r="K81" s="242"/>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row>
    <row r="83" spans="1:39" s="11" customFormat="1" ht="27" customHeight="1" x14ac:dyDescent="0.25">
      <c r="A83" s="208" t="s">
        <v>2</v>
      </c>
      <c r="B83" s="202" t="s">
        <v>3</v>
      </c>
      <c r="C83" s="240" t="s">
        <v>87</v>
      </c>
      <c r="D83" s="202" t="s">
        <v>67</v>
      </c>
      <c r="E83" s="240" t="s">
        <v>172</v>
      </c>
      <c r="F83" s="205" t="s">
        <v>101</v>
      </c>
      <c r="G83" s="248" t="s">
        <v>90</v>
      </c>
      <c r="H83" s="198" t="s">
        <v>173</v>
      </c>
      <c r="I83" s="10"/>
      <c r="J83" s="198">
        <v>2020</v>
      </c>
      <c r="K83" s="198"/>
      <c r="L83" s="198"/>
      <c r="M83" s="198"/>
      <c r="N83" s="10"/>
      <c r="O83" s="198">
        <v>2021</v>
      </c>
      <c r="P83" s="198"/>
      <c r="Q83" s="198"/>
      <c r="R83" s="198"/>
      <c r="T83" s="198">
        <v>2022</v>
      </c>
      <c r="U83" s="198"/>
      <c r="V83" s="198"/>
      <c r="W83" s="198"/>
      <c r="Y83" s="198">
        <v>2023</v>
      </c>
      <c r="Z83" s="198"/>
      <c r="AA83" s="198"/>
      <c r="AB83" s="198"/>
      <c r="AD83" s="219">
        <v>2024</v>
      </c>
      <c r="AE83" s="220"/>
      <c r="AF83" s="220"/>
      <c r="AG83" s="220"/>
      <c r="AI83" s="249" t="s">
        <v>102</v>
      </c>
      <c r="AJ83" s="249"/>
      <c r="AK83" s="249"/>
      <c r="AL83" s="249"/>
      <c r="AM83" s="98"/>
    </row>
    <row r="84" spans="1:39" s="11" customFormat="1" ht="16.5" customHeight="1" x14ac:dyDescent="0.25">
      <c r="A84" s="209"/>
      <c r="B84" s="203"/>
      <c r="C84" s="206"/>
      <c r="D84" s="203"/>
      <c r="E84" s="206"/>
      <c r="F84" s="206"/>
      <c r="G84" s="248"/>
      <c r="H84" s="198"/>
      <c r="I84" s="10"/>
      <c r="J84" s="197" t="s">
        <v>4</v>
      </c>
      <c r="K84" s="197"/>
      <c r="L84" s="197" t="s">
        <v>61</v>
      </c>
      <c r="M84" s="197"/>
      <c r="N84" s="10"/>
      <c r="O84" s="197" t="s">
        <v>6</v>
      </c>
      <c r="P84" s="197"/>
      <c r="Q84" s="197" t="s">
        <v>8</v>
      </c>
      <c r="R84" s="197"/>
      <c r="S84" s="10"/>
      <c r="T84" s="197" t="s">
        <v>7</v>
      </c>
      <c r="U84" s="197"/>
      <c r="V84" s="197" t="s">
        <v>8</v>
      </c>
      <c r="W84" s="197"/>
      <c r="Y84" s="197" t="s">
        <v>7</v>
      </c>
      <c r="Z84" s="197"/>
      <c r="AA84" s="197" t="s">
        <v>8</v>
      </c>
      <c r="AB84" s="197"/>
      <c r="AD84" s="197" t="s">
        <v>7</v>
      </c>
      <c r="AE84" s="197"/>
      <c r="AF84" s="197" t="s">
        <v>8</v>
      </c>
      <c r="AG84" s="197"/>
      <c r="AI84" s="235" t="s">
        <v>4</v>
      </c>
      <c r="AJ84" s="235" t="s">
        <v>66</v>
      </c>
      <c r="AK84" s="235" t="s">
        <v>8</v>
      </c>
      <c r="AL84" s="235" t="s">
        <v>5</v>
      </c>
      <c r="AM84" s="98"/>
    </row>
    <row r="85" spans="1:39" s="11" customFormat="1" ht="33" x14ac:dyDescent="0.25">
      <c r="A85" s="210"/>
      <c r="B85" s="204"/>
      <c r="C85" s="241"/>
      <c r="D85" s="204"/>
      <c r="E85" s="241"/>
      <c r="F85" s="207"/>
      <c r="G85" s="248"/>
      <c r="H85" s="198"/>
      <c r="I85" s="12"/>
      <c r="J85" s="153" t="s">
        <v>59</v>
      </c>
      <c r="K85" s="116" t="s">
        <v>60</v>
      </c>
      <c r="L85" s="157" t="s">
        <v>64</v>
      </c>
      <c r="M85" s="116" t="s">
        <v>63</v>
      </c>
      <c r="N85" s="12"/>
      <c r="O85" s="61" t="s">
        <v>59</v>
      </c>
      <c r="P85" s="116" t="s">
        <v>60</v>
      </c>
      <c r="Q85" s="61" t="s">
        <v>62</v>
      </c>
      <c r="R85" s="116" t="s">
        <v>63</v>
      </c>
      <c r="S85" s="10"/>
      <c r="T85" s="61" t="s">
        <v>59</v>
      </c>
      <c r="U85" s="116" t="s">
        <v>60</v>
      </c>
      <c r="V85" s="116" t="s">
        <v>62</v>
      </c>
      <c r="W85" s="116" t="s">
        <v>63</v>
      </c>
      <c r="Y85" s="116" t="s">
        <v>59</v>
      </c>
      <c r="Z85" s="116" t="s">
        <v>60</v>
      </c>
      <c r="AA85" s="116" t="s">
        <v>64</v>
      </c>
      <c r="AB85" s="116" t="s">
        <v>63</v>
      </c>
      <c r="AD85" s="116" t="s">
        <v>59</v>
      </c>
      <c r="AE85" s="116" t="s">
        <v>60</v>
      </c>
      <c r="AF85" s="116" t="s">
        <v>64</v>
      </c>
      <c r="AG85" s="116" t="s">
        <v>63</v>
      </c>
      <c r="AI85" s="236"/>
      <c r="AJ85" s="236"/>
      <c r="AK85" s="236"/>
      <c r="AL85" s="236"/>
      <c r="AM85" s="98"/>
    </row>
    <row r="86" spans="1:39" ht="45" x14ac:dyDescent="0.25">
      <c r="A86" s="217" t="s">
        <v>140</v>
      </c>
      <c r="B86" s="214" t="s">
        <v>141</v>
      </c>
      <c r="C86" s="214" t="s">
        <v>142</v>
      </c>
      <c r="D86" s="214" t="s">
        <v>156</v>
      </c>
      <c r="E86" s="243" t="str">
        <f>C79</f>
        <v xml:space="preserve">Incrementar la efectividad de la gestión pública distrital y local. </v>
      </c>
      <c r="F86" s="138" t="s">
        <v>170</v>
      </c>
      <c r="G86" s="138" t="s">
        <v>143</v>
      </c>
      <c r="H86" s="246" t="str">
        <f>C81</f>
        <v>Gestión pública efectiva, abierta y transparente</v>
      </c>
      <c r="I86" s="14"/>
      <c r="J86" s="180">
        <v>0.1</v>
      </c>
      <c r="K86" s="181">
        <v>0.1</v>
      </c>
      <c r="L86" s="162"/>
      <c r="M86" s="128"/>
      <c r="N86" s="129"/>
      <c r="O86" s="180">
        <v>0.25</v>
      </c>
      <c r="P86" s="188">
        <v>0.109</v>
      </c>
      <c r="Q86" s="128"/>
      <c r="R86" s="128"/>
      <c r="S86" s="131"/>
      <c r="T86" s="184">
        <v>0.3</v>
      </c>
      <c r="U86" s="184">
        <v>0</v>
      </c>
      <c r="V86" s="133"/>
      <c r="W86" s="134"/>
      <c r="X86" s="135"/>
      <c r="Y86" s="184">
        <v>0.25</v>
      </c>
      <c r="Z86" s="132">
        <v>0</v>
      </c>
      <c r="AA86" s="133"/>
      <c r="AB86" s="134"/>
      <c r="AC86" s="135"/>
      <c r="AD86" s="186">
        <v>0.1</v>
      </c>
      <c r="AE86" s="184">
        <v>0</v>
      </c>
      <c r="AF86" s="133"/>
      <c r="AG86" s="134"/>
      <c r="AH86" s="131"/>
      <c r="AI86" s="186">
        <f>J86+O86+T86+Y86+AD86</f>
        <v>0.99999999999999989</v>
      </c>
      <c r="AJ86" s="181">
        <f t="shared" ref="AJ86:AJ88" si="22">K86+P86+U86+Z86+AE86</f>
        <v>0.20900000000000002</v>
      </c>
      <c r="AK86" s="137">
        <f t="shared" ref="AK86:AK87" si="23">L86+Q86+V86+AA86+AF86</f>
        <v>0</v>
      </c>
      <c r="AL86" s="137">
        <f t="shared" ref="AL86:AL87" si="24">M86+R86+W86+AB86+AG86</f>
        <v>0</v>
      </c>
      <c r="AM86" s="99"/>
    </row>
    <row r="87" spans="1:39" ht="45" x14ac:dyDescent="0.25">
      <c r="A87" s="218"/>
      <c r="B87" s="215"/>
      <c r="C87" s="215"/>
      <c r="D87" s="215"/>
      <c r="E87" s="244"/>
      <c r="F87" s="150" t="s">
        <v>144</v>
      </c>
      <c r="G87" s="150" t="s">
        <v>145</v>
      </c>
      <c r="H87" s="247"/>
      <c r="I87" s="14"/>
      <c r="J87" s="182">
        <v>0.1</v>
      </c>
      <c r="K87" s="183">
        <v>0.1</v>
      </c>
      <c r="L87" s="159">
        <v>3048.153773</v>
      </c>
      <c r="M87" s="29">
        <v>2948.422376</v>
      </c>
      <c r="N87" s="23"/>
      <c r="O87" s="182">
        <v>0.25</v>
      </c>
      <c r="P87" s="189">
        <v>0.122</v>
      </c>
      <c r="Q87" s="63">
        <f>2882065756/L1</f>
        <v>2882.065756</v>
      </c>
      <c r="R87" s="29">
        <v>1188.311138</v>
      </c>
      <c r="S87" s="100"/>
      <c r="T87" s="185">
        <v>0.3</v>
      </c>
      <c r="U87" s="190">
        <v>0</v>
      </c>
      <c r="V87" s="63">
        <f>7805715384/L1</f>
        <v>7805.7153840000001</v>
      </c>
      <c r="W87" s="105"/>
      <c r="X87" s="101"/>
      <c r="Y87" s="185">
        <v>0.25</v>
      </c>
      <c r="Z87" s="124">
        <v>0</v>
      </c>
      <c r="AA87" s="63">
        <f xml:space="preserve"> 7805715000 /L1</f>
        <v>7805.7150000000001</v>
      </c>
      <c r="AB87" s="105"/>
      <c r="AC87" s="101"/>
      <c r="AD87" s="187">
        <v>0.1</v>
      </c>
      <c r="AE87" s="190">
        <v>0</v>
      </c>
      <c r="AF87" s="63">
        <f>4037465000/L1</f>
        <v>4037.4650000000001</v>
      </c>
      <c r="AG87" s="105"/>
      <c r="AH87" s="100"/>
      <c r="AI87" s="187">
        <f>J87+O87+T87+Y87+AD87</f>
        <v>0.99999999999999989</v>
      </c>
      <c r="AJ87" s="191">
        <f t="shared" si="22"/>
        <v>0.222</v>
      </c>
      <c r="AK87" s="62">
        <f t="shared" si="23"/>
        <v>25579.114913000001</v>
      </c>
      <c r="AL87" s="62">
        <f t="shared" si="24"/>
        <v>4136.7335139999996</v>
      </c>
      <c r="AM87" s="99"/>
    </row>
    <row r="88" spans="1:39" ht="45" x14ac:dyDescent="0.25">
      <c r="A88" s="218"/>
      <c r="B88" s="215"/>
      <c r="C88" s="215"/>
      <c r="D88" s="215"/>
      <c r="E88" s="244"/>
      <c r="F88" s="150" t="s">
        <v>146</v>
      </c>
      <c r="G88" s="150" t="s">
        <v>147</v>
      </c>
      <c r="H88" s="247"/>
      <c r="I88" s="14"/>
      <c r="J88" s="182">
        <v>0.1</v>
      </c>
      <c r="K88" s="183">
        <v>0.1</v>
      </c>
      <c r="L88" s="159">
        <v>1331.746357</v>
      </c>
      <c r="M88" s="29">
        <v>1314.039006</v>
      </c>
      <c r="N88" s="23"/>
      <c r="O88" s="182">
        <v>0.25</v>
      </c>
      <c r="P88" s="189">
        <v>9.2999999999999999E-2</v>
      </c>
      <c r="Q88" s="63">
        <f>2718151000/L1</f>
        <v>2718.1509999999998</v>
      </c>
      <c r="R88" s="29">
        <v>2288.3478869999999</v>
      </c>
      <c r="S88" s="100"/>
      <c r="T88" s="185">
        <v>0.3</v>
      </c>
      <c r="U88" s="190">
        <v>0</v>
      </c>
      <c r="V88" s="63">
        <f xml:space="preserve"> 3377143000/L1</f>
        <v>3377.143</v>
      </c>
      <c r="W88" s="105"/>
      <c r="X88" s="101"/>
      <c r="Y88" s="185">
        <v>0.25</v>
      </c>
      <c r="Z88" s="124">
        <v>0</v>
      </c>
      <c r="AA88" s="63">
        <f>3377143000/L1</f>
        <v>3377.143</v>
      </c>
      <c r="AB88" s="105"/>
      <c r="AC88" s="101"/>
      <c r="AD88" s="187">
        <v>0.1</v>
      </c>
      <c r="AE88" s="190">
        <v>0</v>
      </c>
      <c r="AF88" s="63">
        <f xml:space="preserve"> 1970000000/L1</f>
        <v>1970</v>
      </c>
      <c r="AG88" s="105"/>
      <c r="AH88" s="100"/>
      <c r="AI88" s="187">
        <f t="shared" ref="AI88" si="25">J88+O88+T88+Y88+AD88</f>
        <v>0.99999999999999989</v>
      </c>
      <c r="AJ88" s="191">
        <f t="shared" si="22"/>
        <v>0.193</v>
      </c>
      <c r="AK88" s="62">
        <f t="shared" ref="AK88:AK90" si="26">L88+Q88+V88+AA88+AF88</f>
        <v>12774.183357</v>
      </c>
      <c r="AL88" s="62">
        <f t="shared" ref="AL88:AL90" si="27">M88+R88+W88+AB88+AG88</f>
        <v>3602.3868929999999</v>
      </c>
      <c r="AM88" s="99"/>
    </row>
    <row r="89" spans="1:39" ht="75" x14ac:dyDescent="0.25">
      <c r="A89" s="218"/>
      <c r="B89" s="215"/>
      <c r="C89" s="215"/>
      <c r="D89" s="215"/>
      <c r="E89" s="244"/>
      <c r="F89" s="150" t="s">
        <v>148</v>
      </c>
      <c r="G89" s="150" t="s">
        <v>149</v>
      </c>
      <c r="H89" s="247"/>
      <c r="I89" s="14"/>
      <c r="J89" s="165">
        <v>1.5</v>
      </c>
      <c r="K89" s="166">
        <v>1.5</v>
      </c>
      <c r="L89" s="159">
        <v>147.96897799999999</v>
      </c>
      <c r="M89" s="29">
        <v>147.96897799999999</v>
      </c>
      <c r="N89" s="23"/>
      <c r="O89" s="170">
        <v>3.75</v>
      </c>
      <c r="P89" s="170">
        <v>1.87</v>
      </c>
      <c r="Q89" s="63">
        <f>229306000/L1</f>
        <v>229.30600000000001</v>
      </c>
      <c r="R89" s="29">
        <v>163.28440499999999</v>
      </c>
      <c r="S89" s="100"/>
      <c r="T89" s="170">
        <v>4.5</v>
      </c>
      <c r="U89" s="170">
        <v>0</v>
      </c>
      <c r="V89" s="63">
        <f>342857000/L1</f>
        <v>342.85700000000003</v>
      </c>
      <c r="W89" s="105"/>
      <c r="X89" s="101"/>
      <c r="Y89" s="170">
        <v>3.75</v>
      </c>
      <c r="Z89" s="170">
        <v>0</v>
      </c>
      <c r="AA89" s="63">
        <f xml:space="preserve"> 342857000/L1</f>
        <v>342.85700000000003</v>
      </c>
      <c r="AB89" s="105"/>
      <c r="AC89" s="101"/>
      <c r="AD89" s="170">
        <v>1.5</v>
      </c>
      <c r="AE89" s="170">
        <v>0</v>
      </c>
      <c r="AF89" s="63">
        <f xml:space="preserve"> 200000000/L1</f>
        <v>200</v>
      </c>
      <c r="AG89" s="105"/>
      <c r="AH89" s="100"/>
      <c r="AI89" s="171">
        <f t="shared" ref="AI89:AI90" si="28">J89+O89+T89+Y89+AD89</f>
        <v>15</v>
      </c>
      <c r="AJ89" s="195">
        <f t="shared" ref="AJ89:AJ90" si="29">K89+P89+U89+Z89+AE89</f>
        <v>3.37</v>
      </c>
      <c r="AK89" s="62">
        <f t="shared" si="26"/>
        <v>1262.9889780000001</v>
      </c>
      <c r="AL89" s="62">
        <f t="shared" si="27"/>
        <v>311.25338299999999</v>
      </c>
      <c r="AM89" s="99"/>
    </row>
    <row r="90" spans="1:39" ht="60" x14ac:dyDescent="0.25">
      <c r="A90" s="218"/>
      <c r="B90" s="215"/>
      <c r="C90" s="215"/>
      <c r="D90" s="215"/>
      <c r="E90" s="244"/>
      <c r="F90" s="150" t="s">
        <v>171</v>
      </c>
      <c r="G90" s="150" t="s">
        <v>151</v>
      </c>
      <c r="H90" s="247"/>
      <c r="I90" s="14"/>
      <c r="J90" s="26">
        <v>0</v>
      </c>
      <c r="K90" s="176">
        <v>0</v>
      </c>
      <c r="L90" s="159">
        <v>0</v>
      </c>
      <c r="M90" s="29">
        <v>0</v>
      </c>
      <c r="N90" s="23"/>
      <c r="O90" s="26">
        <v>0.35</v>
      </c>
      <c r="P90" s="189">
        <v>0.112</v>
      </c>
      <c r="Q90" s="175">
        <f>316208040/L1</f>
        <v>316.20803999999998</v>
      </c>
      <c r="R90" s="29">
        <v>210.67292</v>
      </c>
      <c r="S90" s="100"/>
      <c r="T90" s="139">
        <v>0.3</v>
      </c>
      <c r="U90" s="124">
        <v>0</v>
      </c>
      <c r="V90" s="63">
        <f>1005714000/L1</f>
        <v>1005.7140000000001</v>
      </c>
      <c r="W90" s="105"/>
      <c r="X90" s="101"/>
      <c r="Y90" s="139">
        <v>0.25</v>
      </c>
      <c r="Z90" s="124">
        <v>0</v>
      </c>
      <c r="AA90" s="63">
        <f>1005714000/L1</f>
        <v>1005.7140000000001</v>
      </c>
      <c r="AB90" s="105"/>
      <c r="AC90" s="101"/>
      <c r="AD90" s="111">
        <v>0.1</v>
      </c>
      <c r="AE90" s="111">
        <v>0</v>
      </c>
      <c r="AF90" s="63">
        <f xml:space="preserve"> 320000000/L1</f>
        <v>320</v>
      </c>
      <c r="AG90" s="105"/>
      <c r="AH90" s="100"/>
      <c r="AI90" s="111">
        <f t="shared" si="28"/>
        <v>0.99999999999999989</v>
      </c>
      <c r="AJ90" s="149">
        <f t="shared" si="29"/>
        <v>0.112</v>
      </c>
      <c r="AK90" s="62">
        <f t="shared" si="26"/>
        <v>2647.6360399999999</v>
      </c>
      <c r="AL90" s="62">
        <f t="shared" si="27"/>
        <v>210.67292</v>
      </c>
      <c r="AM90" s="99"/>
    </row>
    <row r="91" spans="1:39" ht="15.75" x14ac:dyDescent="0.25">
      <c r="A91" s="152"/>
      <c r="B91" s="117"/>
      <c r="C91" s="117"/>
      <c r="D91" s="117"/>
      <c r="E91" s="119"/>
      <c r="F91" s="150" t="s">
        <v>150</v>
      </c>
      <c r="G91" s="150" t="s">
        <v>151</v>
      </c>
      <c r="H91" s="120"/>
      <c r="I91" s="14"/>
      <c r="J91" s="26">
        <v>0.05</v>
      </c>
      <c r="K91" s="149">
        <v>0.05</v>
      </c>
      <c r="L91" s="159">
        <v>2200.3575080000001</v>
      </c>
      <c r="M91" s="29">
        <v>1998.231702</v>
      </c>
      <c r="N91" s="23"/>
      <c r="O91" s="174">
        <v>0.125</v>
      </c>
      <c r="P91" s="196">
        <v>6.25E-2</v>
      </c>
      <c r="Q91" s="175">
        <f>2426042204/L1</f>
        <v>2426.0422039999999</v>
      </c>
      <c r="R91" s="29">
        <v>819.04499599999997</v>
      </c>
      <c r="S91" s="100"/>
      <c r="T91" s="139">
        <v>0.15</v>
      </c>
      <c r="U91" s="124">
        <v>0</v>
      </c>
      <c r="V91" s="63">
        <f xml:space="preserve"> 3468571000/L1</f>
        <v>3468.5709999999999</v>
      </c>
      <c r="W91" s="105"/>
      <c r="X91" s="101"/>
      <c r="Y91" s="172">
        <v>0.125</v>
      </c>
      <c r="Z91" s="124">
        <v>0</v>
      </c>
      <c r="AA91" s="63">
        <f xml:space="preserve"> 3468571000/L1</f>
        <v>3468.5709999999999</v>
      </c>
      <c r="AB91" s="105"/>
      <c r="AC91" s="101"/>
      <c r="AD91" s="111">
        <v>0.05</v>
      </c>
      <c r="AE91" s="111">
        <v>0</v>
      </c>
      <c r="AF91" s="63">
        <f>1472535000/L1</f>
        <v>1472.5350000000001</v>
      </c>
      <c r="AG91" s="105"/>
      <c r="AH91" s="100"/>
      <c r="AI91" s="111">
        <f t="shared" ref="AI91" si="30">J91+O91+T91+Y91+AD91</f>
        <v>0.49999999999999994</v>
      </c>
      <c r="AJ91" s="149">
        <f t="shared" ref="AJ91" si="31">K91+P91+U91+Z91+AE91</f>
        <v>0.1125</v>
      </c>
      <c r="AK91" s="62">
        <f t="shared" ref="AK91" si="32">L91+Q91+V91+AA91+AF91</f>
        <v>13036.076712</v>
      </c>
      <c r="AL91" s="62">
        <f t="shared" ref="AL91" si="33">M91+R91+W91+AB91+AG91</f>
        <v>2817.2766980000001</v>
      </c>
      <c r="AM91" s="99"/>
    </row>
    <row r="92" spans="1:39" s="6" customFormat="1" ht="15.75" x14ac:dyDescent="0.25">
      <c r="A92" s="17"/>
      <c r="B92" s="118" t="s">
        <v>103</v>
      </c>
      <c r="C92" s="118"/>
      <c r="D92" s="118"/>
      <c r="E92" s="118"/>
      <c r="F92" s="39"/>
      <c r="G92" s="39"/>
      <c r="H92" s="39"/>
      <c r="I92" s="40"/>
      <c r="J92" s="41"/>
      <c r="K92" s="41"/>
      <c r="L92" s="160">
        <f>SUM(L86:L91)</f>
        <v>6728.2266159999999</v>
      </c>
      <c r="M92" s="151">
        <f>SUM(M86:M91)</f>
        <v>6408.6620619999994</v>
      </c>
      <c r="N92" s="51"/>
      <c r="O92" s="41"/>
      <c r="P92" s="41"/>
      <c r="Q92" s="151">
        <f>SUM(Q86:Q91)</f>
        <v>8571.7729999999992</v>
      </c>
      <c r="R92" s="151">
        <f>SUM(R86:R91)</f>
        <v>4669.6613459999999</v>
      </c>
      <c r="T92" s="41"/>
      <c r="U92" s="41"/>
      <c r="V92" s="151">
        <f>SUM(V86:V91)</f>
        <v>16000.000383999999</v>
      </c>
      <c r="W92" s="151">
        <f>SUM(W86:W91)</f>
        <v>0</v>
      </c>
      <c r="Y92" s="41"/>
      <c r="Z92" s="41"/>
      <c r="AA92" s="151">
        <f>SUM(AA86:AA91)</f>
        <v>16000</v>
      </c>
      <c r="AB92" s="151">
        <f>SUM(AB86:AB91)</f>
        <v>0</v>
      </c>
      <c r="AC92" s="112"/>
      <c r="AD92" s="41"/>
      <c r="AE92" s="42"/>
      <c r="AF92" s="151">
        <f>SUM(AF86:AF91)</f>
        <v>8000</v>
      </c>
      <c r="AG92" s="151">
        <f>SUM(AG86:AG91)</f>
        <v>0</v>
      </c>
      <c r="AI92" s="96"/>
      <c r="AJ92" s="96"/>
      <c r="AK92" s="151">
        <f>SUM(AK86:AK91)</f>
        <v>55300</v>
      </c>
      <c r="AL92" s="151">
        <f>SUM(AL86:AL91)</f>
        <v>11078.323408</v>
      </c>
      <c r="AM92" s="98"/>
    </row>
    <row r="112" spans="17:18" x14ac:dyDescent="0.25">
      <c r="Q112" s="89">
        <f>+Q92+Q74+Q59+Q41+Q25</f>
        <v>118190.29502600001</v>
      </c>
      <c r="R112" s="89">
        <f>+R92+R74+R59+R41+R25</f>
        <v>42464.357405000002</v>
      </c>
    </row>
  </sheetData>
  <mergeCells count="200">
    <mergeCell ref="C53:C58"/>
    <mergeCell ref="D53:D58"/>
    <mergeCell ref="E53:E58"/>
    <mergeCell ref="B71:B73"/>
    <mergeCell ref="C71:C73"/>
    <mergeCell ref="A86:A90"/>
    <mergeCell ref="B86:B90"/>
    <mergeCell ref="C86:C90"/>
    <mergeCell ref="D86:D90"/>
    <mergeCell ref="E86:E90"/>
    <mergeCell ref="A53:A56"/>
    <mergeCell ref="B34:B36"/>
    <mergeCell ref="H86:H90"/>
    <mergeCell ref="A61:AL61"/>
    <mergeCell ref="C63:AL63"/>
    <mergeCell ref="C64:AL64"/>
    <mergeCell ref="C66:AL66"/>
    <mergeCell ref="A76:AL76"/>
    <mergeCell ref="C78:AL78"/>
    <mergeCell ref="C80:AL80"/>
    <mergeCell ref="C81:AL81"/>
    <mergeCell ref="AD83:AG83"/>
    <mergeCell ref="AI83:AL83"/>
    <mergeCell ref="J84:K84"/>
    <mergeCell ref="L84:M84"/>
    <mergeCell ref="O84:P84"/>
    <mergeCell ref="Q84:R84"/>
    <mergeCell ref="T84:U84"/>
    <mergeCell ref="AD84:AE84"/>
    <mergeCell ref="A83:A85"/>
    <mergeCell ref="B83:B85"/>
    <mergeCell ref="AJ84:AJ85"/>
    <mergeCell ref="AK84:AK85"/>
    <mergeCell ref="AL84:AL85"/>
    <mergeCell ref="A71:A73"/>
    <mergeCell ref="B53:B58"/>
    <mergeCell ref="A7:AL7"/>
    <mergeCell ref="A27:AL27"/>
    <mergeCell ref="C29:AL29"/>
    <mergeCell ref="C31:AL31"/>
    <mergeCell ref="C32:AL32"/>
    <mergeCell ref="A43:AL43"/>
    <mergeCell ref="C45:AL45"/>
    <mergeCell ref="C47:AL47"/>
    <mergeCell ref="C48:AL48"/>
    <mergeCell ref="O34:R34"/>
    <mergeCell ref="T34:W34"/>
    <mergeCell ref="Y34:AB34"/>
    <mergeCell ref="AD34:AG34"/>
    <mergeCell ref="AI34:AL34"/>
    <mergeCell ref="J35:K35"/>
    <mergeCell ref="L35:M35"/>
    <mergeCell ref="O35:P35"/>
    <mergeCell ref="Q35:R35"/>
    <mergeCell ref="AI35:AI36"/>
    <mergeCell ref="AJ35:AJ36"/>
    <mergeCell ref="AK35:AK36"/>
    <mergeCell ref="AL35:AL36"/>
    <mergeCell ref="A34:A36"/>
    <mergeCell ref="A68:A70"/>
    <mergeCell ref="B68:B70"/>
    <mergeCell ref="C68:C70"/>
    <mergeCell ref="D68:D70"/>
    <mergeCell ref="E68:E70"/>
    <mergeCell ref="F68:F70"/>
    <mergeCell ref="G68:G70"/>
    <mergeCell ref="H68:H70"/>
    <mergeCell ref="C65:AL65"/>
    <mergeCell ref="AD68:AG68"/>
    <mergeCell ref="AI68:AL68"/>
    <mergeCell ref="AD69:AE69"/>
    <mergeCell ref="AF69:AG69"/>
    <mergeCell ref="AI69:AI70"/>
    <mergeCell ref="AJ69:AJ70"/>
    <mergeCell ref="AK69:AK70"/>
    <mergeCell ref="AL69:AL70"/>
    <mergeCell ref="AK51:AK52"/>
    <mergeCell ref="AL51:AL52"/>
    <mergeCell ref="D71:D73"/>
    <mergeCell ref="E71:E73"/>
    <mergeCell ref="H71:H73"/>
    <mergeCell ref="V84:W84"/>
    <mergeCell ref="Y84:Z84"/>
    <mergeCell ref="AA84:AB84"/>
    <mergeCell ref="C79:AL79"/>
    <mergeCell ref="AF84:AG84"/>
    <mergeCell ref="AI84:AI85"/>
    <mergeCell ref="Q51:R51"/>
    <mergeCell ref="T51:U51"/>
    <mergeCell ref="V51:W51"/>
    <mergeCell ref="Y51:Z51"/>
    <mergeCell ref="AA51:AB51"/>
    <mergeCell ref="AD51:AE51"/>
    <mergeCell ref="AF51:AG51"/>
    <mergeCell ref="AI51:AI52"/>
    <mergeCell ref="AJ51:AJ52"/>
    <mergeCell ref="C83:C85"/>
    <mergeCell ref="D83:D85"/>
    <mergeCell ref="E83:E85"/>
    <mergeCell ref="F83:F85"/>
    <mergeCell ref="C34:C36"/>
    <mergeCell ref="D34:D36"/>
    <mergeCell ref="E34:E36"/>
    <mergeCell ref="F34:F36"/>
    <mergeCell ref="G34:G36"/>
    <mergeCell ref="H34:H36"/>
    <mergeCell ref="J34:M34"/>
    <mergeCell ref="T35:U35"/>
    <mergeCell ref="V35:W35"/>
    <mergeCell ref="Y35:Z35"/>
    <mergeCell ref="AA35:AB35"/>
    <mergeCell ref="AD35:AE35"/>
    <mergeCell ref="AF35:AG35"/>
    <mergeCell ref="G83:G85"/>
    <mergeCell ref="H83:H85"/>
    <mergeCell ref="J83:M83"/>
    <mergeCell ref="O83:R83"/>
    <mergeCell ref="T83:W83"/>
    <mergeCell ref="Y83:AB83"/>
    <mergeCell ref="J68:M68"/>
    <mergeCell ref="O68:R68"/>
    <mergeCell ref="T68:W68"/>
    <mergeCell ref="Y68:AB68"/>
    <mergeCell ref="J69:K69"/>
    <mergeCell ref="L69:M69"/>
    <mergeCell ref="O69:P69"/>
    <mergeCell ref="Q69:R69"/>
    <mergeCell ref="T69:U69"/>
    <mergeCell ref="V69:W69"/>
    <mergeCell ref="Y69:Z69"/>
    <mergeCell ref="AA69:AB69"/>
    <mergeCell ref="H53:H58"/>
    <mergeCell ref="A37:A40"/>
    <mergeCell ref="B37:B40"/>
    <mergeCell ref="C37:C40"/>
    <mergeCell ref="D37:D40"/>
    <mergeCell ref="E37:E40"/>
    <mergeCell ref="H37:H40"/>
    <mergeCell ref="A50:A52"/>
    <mergeCell ref="B50:B52"/>
    <mergeCell ref="C50:C52"/>
    <mergeCell ref="D50:D52"/>
    <mergeCell ref="E50:E52"/>
    <mergeCell ref="F50:F52"/>
    <mergeCell ref="G50:G52"/>
    <mergeCell ref="H50:H52"/>
    <mergeCell ref="C46:AL46"/>
    <mergeCell ref="J50:M50"/>
    <mergeCell ref="O50:R50"/>
    <mergeCell ref="T50:W50"/>
    <mergeCell ref="Y50:AB50"/>
    <mergeCell ref="AD50:AG50"/>
    <mergeCell ref="AI50:AL50"/>
    <mergeCell ref="J51:K51"/>
    <mergeCell ref="L51:M51"/>
    <mergeCell ref="O51:P51"/>
    <mergeCell ref="C30:AL30"/>
    <mergeCell ref="B17:B24"/>
    <mergeCell ref="C17:C24"/>
    <mergeCell ref="D17:D24"/>
    <mergeCell ref="E17:E24"/>
    <mergeCell ref="H17:H24"/>
    <mergeCell ref="A17:A24"/>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s>
  <pageMargins left="0.70866141732283472" right="0.70866141732283472" top="0.74803149606299213" bottom="0.74803149606299213" header="0.31496062992125984" footer="0.31496062992125984"/>
  <pageSetup paperSize="5" scale="27"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Junio 2021</vt:lpstr>
      <vt:lpstr>'Junio 2021'!Área_de_impresión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CRISTHIAN CAMILO RODRIGUEZ MELO</cp:lastModifiedBy>
  <cp:lastPrinted>2020-05-20T22:21:52Z</cp:lastPrinted>
  <dcterms:created xsi:type="dcterms:W3CDTF">2009-07-24T20:19:08Z</dcterms:created>
  <dcterms:modified xsi:type="dcterms:W3CDTF">2021-07-29T03:11:54Z</dcterms:modified>
</cp:coreProperties>
</file>