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28800" windowHeight="12030" tabRatio="553" firstSheet="2" activeTab="2"/>
  </bookViews>
  <sheets>
    <sheet name="DIFERENCIAS" sheetId="52" state="hidden" r:id="rId1"/>
    <sheet name="SOPORTE REPROGRAMACIÓN $ 2017" sheetId="53" state="hidden" r:id="rId2"/>
    <sheet name="NOV"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NOV!$A:$AL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V26" i="93" l="1"/>
  <c r="W24" i="93"/>
  <c r="V24" i="93"/>
  <c r="V21" i="93"/>
  <c r="V20" i="93"/>
  <c r="W19" i="93"/>
  <c r="V19" i="93"/>
  <c r="W18" i="93"/>
  <c r="V18" i="93"/>
  <c r="W43" i="93" l="1"/>
  <c r="V43" i="93"/>
  <c r="W42" i="93"/>
  <c r="V42" i="93"/>
  <c r="W41" i="93"/>
  <c r="V41" i="93"/>
  <c r="W40" i="93"/>
  <c r="V40" i="93"/>
  <c r="W79" i="93" l="1"/>
  <c r="V79" i="93"/>
  <c r="W78" i="93"/>
  <c r="V78" i="93"/>
  <c r="AJ79" i="93"/>
  <c r="W96" i="93" l="1"/>
  <c r="V95" i="93"/>
  <c r="W94" i="93"/>
  <c r="V94" i="93"/>
  <c r="W93" i="93"/>
  <c r="V93" i="93"/>
  <c r="V57" i="93" l="1"/>
  <c r="V58" i="93"/>
  <c r="W62" i="93"/>
  <c r="V60" i="93"/>
  <c r="V59" i="93"/>
  <c r="W63" i="93"/>
  <c r="V63" i="93"/>
  <c r="W61" i="93"/>
  <c r="V61" i="93"/>
  <c r="W58" i="93"/>
  <c r="W57" i="93"/>
  <c r="AJ63" i="93"/>
  <c r="AJ61" i="93" l="1"/>
  <c r="AF96" i="93"/>
  <c r="AF97" i="93"/>
  <c r="AF95" i="93"/>
  <c r="AF94" i="93"/>
  <c r="AF93" i="93"/>
  <c r="AF57" i="93"/>
  <c r="AF43" i="93" l="1"/>
  <c r="AF40" i="93"/>
  <c r="AA43" i="93"/>
  <c r="AG98" i="93" l="1"/>
  <c r="AF98" i="93"/>
  <c r="AB98" i="93"/>
  <c r="W98" i="93"/>
  <c r="M98" i="93"/>
  <c r="L98" i="93"/>
  <c r="AL97" i="93"/>
  <c r="AK97" i="93"/>
  <c r="AJ97" i="93"/>
  <c r="AI97" i="93"/>
  <c r="W97" i="93"/>
  <c r="V97" i="93"/>
  <c r="R97" i="93"/>
  <c r="Q97" i="93"/>
  <c r="AL96" i="93"/>
  <c r="AJ96" i="93"/>
  <c r="AI96" i="93"/>
  <c r="AA96" i="93"/>
  <c r="V96" i="93"/>
  <c r="V98" i="93" s="1"/>
  <c r="R96" i="93"/>
  <c r="Q96" i="93"/>
  <c r="AJ95" i="93"/>
  <c r="AI95" i="93"/>
  <c r="AA95" i="93"/>
  <c r="W95" i="93"/>
  <c r="R95" i="93"/>
  <c r="AL95" i="93" s="1"/>
  <c r="Q95" i="93"/>
  <c r="AK95" i="93" s="1"/>
  <c r="AL94" i="93"/>
  <c r="AK94" i="93"/>
  <c r="AJ94" i="93"/>
  <c r="AI94" i="93"/>
  <c r="AA94" i="93"/>
  <c r="R94" i="93"/>
  <c r="Q94" i="93"/>
  <c r="AJ93" i="93"/>
  <c r="AI93" i="93"/>
  <c r="AA93" i="93"/>
  <c r="AA98" i="93" s="1"/>
  <c r="R93" i="93"/>
  <c r="AL93" i="93" s="1"/>
  <c r="Q93" i="93"/>
  <c r="AK93" i="93" s="1"/>
  <c r="AL92" i="93"/>
  <c r="AK92" i="93"/>
  <c r="AJ92" i="93"/>
  <c r="AI92" i="93"/>
  <c r="H92" i="93"/>
  <c r="E92" i="93"/>
  <c r="AG80" i="93"/>
  <c r="AF80" i="93"/>
  <c r="AB80" i="93"/>
  <c r="AA80" i="93"/>
  <c r="W80" i="93"/>
  <c r="V80" i="93"/>
  <c r="R80" i="93"/>
  <c r="Q80" i="93"/>
  <c r="M80" i="93"/>
  <c r="AL79" i="93"/>
  <c r="AI79" i="93"/>
  <c r="AF79" i="93"/>
  <c r="L79" i="93"/>
  <c r="L80" i="93" s="1"/>
  <c r="AP80" i="93" s="1"/>
  <c r="AL78" i="93"/>
  <c r="AJ78" i="93"/>
  <c r="AI78" i="93"/>
  <c r="L78" i="93"/>
  <c r="AK78" i="93" s="1"/>
  <c r="AL77" i="93"/>
  <c r="AL80" i="93" s="1"/>
  <c r="AK77" i="93"/>
  <c r="AJ77" i="93"/>
  <c r="AI77" i="93"/>
  <c r="H77" i="93"/>
  <c r="E77" i="93"/>
  <c r="AG65" i="93"/>
  <c r="AF65" i="93"/>
  <c r="AB65" i="93"/>
  <c r="M65" i="93"/>
  <c r="L65" i="93"/>
  <c r="AL63" i="93"/>
  <c r="AI63" i="93"/>
  <c r="AF63" i="93"/>
  <c r="AA63" i="93"/>
  <c r="AK63" i="93" s="1"/>
  <c r="AL62" i="93"/>
  <c r="AJ62" i="93"/>
  <c r="AI62" i="93"/>
  <c r="AF62" i="93"/>
  <c r="AA62" i="93"/>
  <c r="V62" i="93"/>
  <c r="V65" i="93" s="1"/>
  <c r="AL61" i="93"/>
  <c r="AI61" i="93"/>
  <c r="AF61" i="93"/>
  <c r="AA61" i="93"/>
  <c r="AK61" i="93" s="1"/>
  <c r="R61" i="93"/>
  <c r="Q61" i="93"/>
  <c r="AJ60" i="93"/>
  <c r="AI60" i="93"/>
  <c r="AF60" i="93"/>
  <c r="AA60" i="93"/>
  <c r="W60" i="93"/>
  <c r="R60" i="93"/>
  <c r="AL60" i="93" s="1"/>
  <c r="Q60" i="93"/>
  <c r="AK60" i="93" s="1"/>
  <c r="AL59" i="93"/>
  <c r="AJ59" i="93"/>
  <c r="AI59" i="93"/>
  <c r="W59" i="93"/>
  <c r="W65" i="93" s="1"/>
  <c r="R59" i="93"/>
  <c r="Q59" i="93"/>
  <c r="AK59" i="93" s="1"/>
  <c r="AJ58" i="93"/>
  <c r="AI58" i="93"/>
  <c r="AA58" i="93"/>
  <c r="AK58" i="93" s="1"/>
  <c r="R58" i="93"/>
  <c r="AL58" i="93" s="1"/>
  <c r="Q58" i="93"/>
  <c r="AJ57" i="93"/>
  <c r="AI57" i="93"/>
  <c r="AA57" i="93"/>
  <c r="AA65" i="93" s="1"/>
  <c r="R57" i="93"/>
  <c r="AL57" i="93" s="1"/>
  <c r="Q57" i="93"/>
  <c r="AK57" i="93" s="1"/>
  <c r="AL56" i="93"/>
  <c r="AK56" i="93"/>
  <c r="AJ56" i="93"/>
  <c r="AI56" i="93"/>
  <c r="H56" i="93"/>
  <c r="E56" i="93"/>
  <c r="AG44" i="93"/>
  <c r="AF44" i="93"/>
  <c r="AB44" i="93"/>
  <c r="AA44" i="93"/>
  <c r="W44" i="93"/>
  <c r="V44" i="93"/>
  <c r="R44" i="93"/>
  <c r="Q44" i="93"/>
  <c r="M44" i="93"/>
  <c r="L44" i="93"/>
  <c r="AP44" i="93" s="1"/>
  <c r="AL43" i="93"/>
  <c r="AK43" i="93"/>
  <c r="AJ43" i="93"/>
  <c r="AI43" i="93"/>
  <c r="AL42" i="93"/>
  <c r="R42" i="93"/>
  <c r="Q42" i="93"/>
  <c r="AK42" i="93" s="1"/>
  <c r="AL41" i="93"/>
  <c r="AK41" i="93"/>
  <c r="AJ41" i="93"/>
  <c r="AI41" i="93"/>
  <c r="R41" i="93"/>
  <c r="Q41" i="93"/>
  <c r="AJ40" i="93"/>
  <c r="AI40" i="93"/>
  <c r="R40" i="93"/>
  <c r="AL40" i="93" s="1"/>
  <c r="Q40" i="93"/>
  <c r="AK40" i="93" s="1"/>
  <c r="AL39" i="93"/>
  <c r="AK39" i="93"/>
  <c r="AJ39" i="93"/>
  <c r="AI39" i="93"/>
  <c r="H39" i="93"/>
  <c r="E39" i="93"/>
  <c r="AG27" i="93"/>
  <c r="AF27" i="93"/>
  <c r="AB27" i="93"/>
  <c r="AA27" i="93"/>
  <c r="W27" i="93"/>
  <c r="V27" i="93"/>
  <c r="R27" i="93"/>
  <c r="Q27" i="93"/>
  <c r="M27" i="93"/>
  <c r="AJ26" i="93"/>
  <c r="AI26" i="93"/>
  <c r="W26" i="93"/>
  <c r="R26" i="93"/>
  <c r="AL26" i="93" s="1"/>
  <c r="Q26" i="93"/>
  <c r="L26" i="93"/>
  <c r="L27" i="93" s="1"/>
  <c r="AP27" i="93" s="1"/>
  <c r="AL25" i="93"/>
  <c r="AK25" i="93"/>
  <c r="AJ25" i="93"/>
  <c r="AI25" i="93"/>
  <c r="AJ24" i="93"/>
  <c r="AI24" i="93"/>
  <c r="R24" i="93"/>
  <c r="AL24" i="93" s="1"/>
  <c r="Q24" i="93"/>
  <c r="AK24" i="93" s="1"/>
  <c r="AL23" i="93"/>
  <c r="AK23" i="93"/>
  <c r="AJ23" i="93"/>
  <c r="AI23" i="93"/>
  <c r="AL22" i="93"/>
  <c r="AK22" i="93"/>
  <c r="AJ22" i="93"/>
  <c r="AI22" i="93"/>
  <c r="AK21" i="93"/>
  <c r="AJ21" i="93"/>
  <c r="AI21" i="93"/>
  <c r="W21" i="93"/>
  <c r="AL21" i="93" s="1"/>
  <c r="AL20" i="93"/>
  <c r="AK20" i="93"/>
  <c r="AJ20" i="93"/>
  <c r="AI20" i="93"/>
  <c r="W20" i="93"/>
  <c r="R20" i="93"/>
  <c r="Q20" i="93"/>
  <c r="AJ19" i="93"/>
  <c r="AI19" i="93"/>
  <c r="R19" i="93"/>
  <c r="AL19" i="93" s="1"/>
  <c r="Q19" i="93"/>
  <c r="AK19" i="93" s="1"/>
  <c r="AL18" i="93"/>
  <c r="AK18" i="93"/>
  <c r="AJ18" i="93"/>
  <c r="AI18" i="93"/>
  <c r="R18" i="93"/>
  <c r="Q18" i="93"/>
  <c r="AL17" i="93"/>
  <c r="AK17" i="93"/>
  <c r="AJ17" i="93"/>
  <c r="AI17" i="93"/>
  <c r="H17" i="93"/>
  <c r="E17" i="93"/>
  <c r="F72" i="53"/>
  <c r="S69" i="53"/>
  <c r="R69" i="53"/>
  <c r="Q69" i="53"/>
  <c r="F69" i="53"/>
  <c r="T67" i="53"/>
  <c r="R67" i="53"/>
  <c r="Q67" i="53"/>
  <c r="P67" i="53"/>
  <c r="O67" i="53"/>
  <c r="N67" i="53"/>
  <c r="M67" i="53"/>
  <c r="L67" i="53"/>
  <c r="K67" i="53"/>
  <c r="J67" i="53"/>
  <c r="I67" i="53"/>
  <c r="H67" i="53"/>
  <c r="F67" i="53"/>
  <c r="R66" i="53"/>
  <c r="Q66" i="53"/>
  <c r="P66" i="53"/>
  <c r="N66" i="53"/>
  <c r="L66" i="53"/>
  <c r="J66" i="53"/>
  <c r="T59" i="53"/>
  <c r="R59" i="53"/>
  <c r="Q59" i="53"/>
  <c r="P59" i="53"/>
  <c r="O59" i="53"/>
  <c r="N59" i="53"/>
  <c r="M59" i="53"/>
  <c r="L59" i="53"/>
  <c r="K59" i="53"/>
  <c r="J59" i="53"/>
  <c r="I59" i="53"/>
  <c r="H59" i="53"/>
  <c r="F59" i="53"/>
  <c r="R58" i="53"/>
  <c r="Q58" i="53"/>
  <c r="P58" i="53"/>
  <c r="N58" i="53"/>
  <c r="L58" i="53"/>
  <c r="J58" i="53"/>
  <c r="R57" i="53"/>
  <c r="Q57" i="53"/>
  <c r="P57" i="53"/>
  <c r="N57" i="53"/>
  <c r="L57" i="53"/>
  <c r="J57" i="53"/>
  <c r="T50" i="53"/>
  <c r="R50" i="53"/>
  <c r="Q50" i="53"/>
  <c r="P50" i="53"/>
  <c r="O50" i="53"/>
  <c r="N50" i="53"/>
  <c r="M50" i="53"/>
  <c r="L50" i="53"/>
  <c r="K50" i="53"/>
  <c r="J50" i="53"/>
  <c r="I50" i="53"/>
  <c r="H50" i="53"/>
  <c r="F50" i="53"/>
  <c r="R49" i="53"/>
  <c r="Q49" i="53"/>
  <c r="P49" i="53"/>
  <c r="N49" i="53"/>
  <c r="L49" i="53"/>
  <c r="J49" i="53"/>
  <c r="R48" i="53"/>
  <c r="Q48" i="53"/>
  <c r="P48" i="53"/>
  <c r="N48" i="53"/>
  <c r="L48" i="53"/>
  <c r="J48" i="53"/>
  <c r="T40" i="53"/>
  <c r="R40" i="53"/>
  <c r="Q40" i="53"/>
  <c r="P40" i="53"/>
  <c r="O40" i="53"/>
  <c r="N40" i="53"/>
  <c r="M40" i="53"/>
  <c r="L40" i="53"/>
  <c r="K40" i="53"/>
  <c r="J40" i="53"/>
  <c r="I40" i="53"/>
  <c r="H40" i="53"/>
  <c r="F40" i="53"/>
  <c r="R39" i="53"/>
  <c r="Q39" i="53"/>
  <c r="P39" i="53"/>
  <c r="N39" i="53"/>
  <c r="L39" i="53"/>
  <c r="J39" i="53"/>
  <c r="R38" i="53"/>
  <c r="Q38" i="53"/>
  <c r="P38" i="53"/>
  <c r="N38" i="53"/>
  <c r="L38" i="53"/>
  <c r="J38" i="53"/>
  <c r="R37" i="53"/>
  <c r="Q37" i="53"/>
  <c r="P37" i="53"/>
  <c r="N37" i="53"/>
  <c r="L37" i="53"/>
  <c r="J37" i="53"/>
  <c r="T36" i="53"/>
  <c r="R36" i="53"/>
  <c r="Q36" i="53"/>
  <c r="P36" i="53"/>
  <c r="O36" i="53"/>
  <c r="N36" i="53"/>
  <c r="M36" i="53"/>
  <c r="L36" i="53"/>
  <c r="K36" i="53"/>
  <c r="J36" i="53"/>
  <c r="I36" i="53"/>
  <c r="H36" i="53"/>
  <c r="F36" i="53"/>
  <c r="R35" i="53"/>
  <c r="Q35" i="53"/>
  <c r="P35" i="53"/>
  <c r="N35" i="53"/>
  <c r="L35" i="53"/>
  <c r="J35" i="53"/>
  <c r="R34" i="53"/>
  <c r="Q34" i="53"/>
  <c r="P34" i="53"/>
  <c r="N34" i="53"/>
  <c r="L34" i="53"/>
  <c r="J34" i="53"/>
  <c r="R33" i="53"/>
  <c r="Q33" i="53"/>
  <c r="P33" i="53"/>
  <c r="N33" i="53"/>
  <c r="L33" i="53"/>
  <c r="J33" i="53"/>
  <c r="T32" i="53"/>
  <c r="R32" i="53"/>
  <c r="Q32" i="53"/>
  <c r="P32" i="53"/>
  <c r="O32" i="53"/>
  <c r="N32" i="53"/>
  <c r="M32" i="53"/>
  <c r="L32" i="53"/>
  <c r="K32" i="53"/>
  <c r="J32" i="53"/>
  <c r="I32" i="53"/>
  <c r="H32" i="53"/>
  <c r="F32" i="53"/>
  <c r="R31" i="53"/>
  <c r="Q31" i="53"/>
  <c r="P31" i="53"/>
  <c r="N31" i="53"/>
  <c r="L31" i="53"/>
  <c r="J31" i="53"/>
  <c r="R30" i="53"/>
  <c r="Q30" i="53"/>
  <c r="P30" i="53"/>
  <c r="N30" i="53"/>
  <c r="L30" i="53"/>
  <c r="J30" i="53"/>
  <c r="T21" i="53"/>
  <c r="R21" i="53"/>
  <c r="Q21" i="53"/>
  <c r="P21" i="53"/>
  <c r="O21" i="53"/>
  <c r="N21" i="53"/>
  <c r="M21" i="53"/>
  <c r="L21" i="53"/>
  <c r="K21" i="53"/>
  <c r="J21" i="53"/>
  <c r="I21" i="53"/>
  <c r="H21" i="53"/>
  <c r="F21" i="53"/>
  <c r="R20" i="53"/>
  <c r="Q20" i="53"/>
  <c r="P20" i="53"/>
  <c r="N20" i="53"/>
  <c r="L20" i="53"/>
  <c r="J20" i="53"/>
  <c r="R19" i="53"/>
  <c r="Q19" i="53"/>
  <c r="P19" i="53"/>
  <c r="N19" i="53"/>
  <c r="L19" i="53"/>
  <c r="J19" i="53"/>
  <c r="R18" i="53"/>
  <c r="Q18" i="53"/>
  <c r="P18" i="53"/>
  <c r="N18" i="53"/>
  <c r="L18" i="53"/>
  <c r="J18" i="53"/>
  <c r="R17" i="53"/>
  <c r="Q17" i="53"/>
  <c r="P17" i="53"/>
  <c r="N17" i="53"/>
  <c r="L17" i="53"/>
  <c r="J17" i="53"/>
  <c r="R16" i="53"/>
  <c r="Q16" i="53"/>
  <c r="P16" i="53"/>
  <c r="N16" i="53"/>
  <c r="L16" i="53"/>
  <c r="J16" i="53"/>
  <c r="C9" i="52"/>
  <c r="B9" i="52"/>
  <c r="C8" i="52"/>
  <c r="C7" i="52"/>
  <c r="C6" i="52"/>
  <c r="C5" i="52"/>
  <c r="C4" i="52"/>
  <c r="C3" i="52"/>
  <c r="C2" i="52"/>
  <c r="AK79" i="93" l="1"/>
  <c r="AK80" i="93" s="1"/>
  <c r="AO80" i="93" s="1"/>
  <c r="AK96" i="93"/>
  <c r="Q98" i="93"/>
  <c r="AP98" i="93" s="1"/>
  <c r="R98" i="93"/>
  <c r="AK26" i="93"/>
  <c r="R65" i="93"/>
  <c r="Q65" i="93"/>
  <c r="AL44" i="93"/>
  <c r="AK62" i="93"/>
  <c r="AK65" i="93" s="1"/>
  <c r="AL27" i="93"/>
  <c r="AK27" i="93"/>
  <c r="AO27" i="93" s="1"/>
  <c r="AK44" i="93"/>
  <c r="AO44" i="93" s="1"/>
  <c r="AL98" i="93"/>
  <c r="AL65" i="93"/>
  <c r="AK98" i="93"/>
  <c r="AO98" i="93" s="1"/>
</calcChain>
</file>

<file path=xl/comments1.xml><?xml version="1.0" encoding="utf-8"?>
<comments xmlns="http://schemas.openxmlformats.org/spreadsheetml/2006/main">
  <authors>
    <author>Adriana Gomez Martinez</author>
  </authors>
  <commentList>
    <comment ref="AI59" authorId="0" shapeId="0">
      <text>
        <r>
          <rPr>
            <b/>
            <sz val="9"/>
            <color indexed="81"/>
            <rFont val="Tahoma"/>
            <family val="2"/>
          </rPr>
          <t>Creciente</t>
        </r>
        <r>
          <rPr>
            <sz val="9"/>
            <color indexed="81"/>
            <rFont val="Tahoma"/>
            <family val="2"/>
          </rPr>
          <t xml:space="preserve">
</t>
        </r>
      </text>
    </comment>
    <comment ref="AJ59" authorId="0" shapeId="0">
      <text>
        <r>
          <rPr>
            <b/>
            <sz val="9"/>
            <color indexed="81"/>
            <rFont val="Tahoma"/>
            <family val="2"/>
          </rPr>
          <t>Creciente</t>
        </r>
        <r>
          <rPr>
            <sz val="9"/>
            <color indexed="81"/>
            <rFont val="Tahoma"/>
            <family val="2"/>
          </rPr>
          <t xml:space="preserve">
</t>
        </r>
      </text>
    </comment>
    <comment ref="AI79" authorId="0" shapeId="0">
      <text>
        <r>
          <rPr>
            <b/>
            <sz val="11"/>
            <color indexed="81"/>
            <rFont val="Tahoma"/>
            <family val="2"/>
          </rPr>
          <t>Constante</t>
        </r>
        <r>
          <rPr>
            <sz val="9"/>
            <color indexed="81"/>
            <rFont val="Tahoma"/>
            <family val="2"/>
          </rPr>
          <t xml:space="preserve">
</t>
        </r>
      </text>
    </comment>
  </commentList>
</comments>
</file>

<file path=xl/sharedStrings.xml><?xml version="1.0" encoding="utf-8"?>
<sst xmlns="http://schemas.openxmlformats.org/spreadsheetml/2006/main" count="550" uniqueCount="197">
  <si>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</si>
  <si>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</si>
  <si>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</si>
  <si>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</si>
  <si>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</si>
  <si>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</si>
  <si>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</si>
  <si>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</si>
  <si>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</si>
  <si>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</si>
  <si>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</si>
  <si>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</si>
  <si>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</si>
  <si>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</si>
  <si>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</si>
  <si>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</si>
  <si>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</si>
  <si>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</si>
  <si>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</si>
  <si>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</si>
  <si>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</si>
  <si>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</si>
  <si>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</si>
  <si>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</si>
  <si>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</si>
  <si>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</si>
  <si>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</si>
  <si>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</si>
  <si>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</si>
  <si>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</si>
  <si>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</si>
  <si>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</si>
  <si>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</si>
  <si>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</si>
  <si>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</si>
  <si>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</si>
  <si>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</si>
  <si>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</si>
  <si>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</si>
  <si>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</si>
  <si>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</si>
  <si>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</si>
  <si>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</si>
  <si>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</si>
  <si>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</si>
  <si>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</si>
  <si>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</si>
  <si>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</si>
  <si>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</si>
  <si>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</si>
  <si>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</si>
  <si>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</si>
  <si>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</si>
  <si>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</si>
  <si>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</si>
  <si>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</si>
  <si>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</si>
  <si>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</si>
  <si>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</si>
  <si>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</si>
  <si>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</si>
  <si>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</si>
  <si>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</si>
  <si>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</si>
  <si>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</si>
  <si>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</si>
  <si>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</si>
  <si>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</si>
  <si>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</si>
  <si>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</si>
  <si>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</si>
  <si>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</si>
  <si>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</si>
  <si>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</si>
  <si>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</si>
  <si>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</si>
  <si>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</si>
  <si>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</si>
  <si>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</si>
  <si>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</si>
  <si>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</si>
  <si>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</si>
  <si>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</si>
  <si>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</si>
  <si>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</si>
  <si>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</si>
  <si>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</si>
  <si>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RESPONSABLE DEL PROYECTO</t>
  </si>
  <si>
    <t>Dirección de Mejoramiento de Barrios</t>
  </si>
  <si>
    <t>Dirección de Mejoramiento de Vivienda</t>
  </si>
  <si>
    <t>INDICADOR</t>
  </si>
  <si>
    <t>Número de predios titulados</t>
  </si>
  <si>
    <t>PLAN DE ACCIÓN - PLAN DE DESARROLLO "UN NUEVO CONTRATO SOCIAL Y AMBIENTAL PARA LA BOGOTÁ DEL SIGLO XXI"</t>
  </si>
  <si>
    <t>METAS PLAN DE DESARROLLO 2020 - 2024</t>
  </si>
  <si>
    <t xml:space="preserve">PROPÓSITO: </t>
  </si>
  <si>
    <t xml:space="preserve">PROGRAMA: </t>
  </si>
  <si>
    <t>Sistema Distrital de Cuidado</t>
  </si>
  <si>
    <t>Hacer un nuevo contrato social con igualdad de oportunidades para la inclusión social, productiva y política</t>
  </si>
  <si>
    <t>PROYECTO ESTRATÉGICO:</t>
  </si>
  <si>
    <t>7680</t>
  </si>
  <si>
    <t>IMPLEMENTACIÓN DEL PLAN TERRAZAS, COMO VEHÍCULO DEL CONTRATO SOCIAL DE LA BOGOTÁ DEL SIGLO XXI, PARA EL MEJORAMIENTO Y LA CONSTRUCCIÓN DE VIVIENDA NUEVA EN SITIO PROPIO</t>
  </si>
  <si>
    <t>META
2020 -2024</t>
  </si>
  <si>
    <t>PROGRAMADO PLAN "UN NUEVO CONTRATO SOCIAL Y AMBIENTAL PARA LA BOGOTÁ DEL SIGLO XXI"</t>
  </si>
  <si>
    <t xml:space="preserve">Total </t>
  </si>
  <si>
    <t>Porcentaje de avance en la implementación del proyecto piloto "Plan Terrazas"</t>
  </si>
  <si>
    <t>Estructurar 1250 proyectos que desarrollen un esquema de solución habitacional "Plan Terrazas", con los componentes técnico, social, jurídico y financiero para determinar la viabilidad del predio y el hogar por modalidad de intervención (habitabilidad, reforzamiento, construcción en sitio propio).</t>
  </si>
  <si>
    <t>Ejecutar 1250 intervenciones en desarrollo del proyecto piloto del Plan Terrazas para el mejoramiento de vivienda y el apoyo social requerido por la población para mejorar sus condiciones habitacionales con la supervisión e interventoría requerida para este tipo de proyectos</t>
  </si>
  <si>
    <t>Número de predios intervenidos en el proyecto piloto del Plan Terrazas</t>
  </si>
  <si>
    <t>Curaduría social implementada como parte de la estructura misional de la CVP</t>
  </si>
  <si>
    <t>Expedir 1500 actos de reconocimiento de viviendas de interés social en barrios legalizados urbanísticamente, a través de la Curaduría pública social definida en la estructura misional de la CVP</t>
  </si>
  <si>
    <t>Número de actos de reconocimiento expedidos</t>
  </si>
  <si>
    <t>Porcentaje de avance en la implementación del Banco de materiales</t>
  </si>
  <si>
    <t>Implementar el 100% del banco de materiales como un instrumento de soporte técnico y financiero para la ejecución del proyecto piloto del Plan Terrazas que contribuya a mejorar la calidad de los materiales y disminuir los costos de transacción</t>
  </si>
  <si>
    <t>Hacer un nuevo contrato social con igualdad de oportunidades para la inclusión social, productiva y política.</t>
  </si>
  <si>
    <t>Sistema Distrital de cuidado</t>
  </si>
  <si>
    <t>7684</t>
  </si>
  <si>
    <t>Titulación de predios estratos 1 y 2 y saneamiento de espacio público en la ciudad Bogotá D.C.</t>
  </si>
  <si>
    <t>Dirección de Urbanización y Titulación</t>
  </si>
  <si>
    <t>Titular 2400 predios registrados en las 20 localidades / Obtener 2400 títulos predios registrados</t>
  </si>
  <si>
    <t>Entregar 4 zonas de cesión obligatoria</t>
  </si>
  <si>
    <t>Zonas de cesión entregadas</t>
  </si>
  <si>
    <t>Hacer el cierre de 2 proyectos constructivos y de urbanismo para vivienda VIP</t>
  </si>
  <si>
    <t>Cierre de proyectos constructivos y de urbanismo para vivienda VIP</t>
  </si>
  <si>
    <t>7698</t>
  </si>
  <si>
    <t>Dirección de Reasentamientos</t>
  </si>
  <si>
    <t>Traslado de hogares localizados en zonas de alto riesgo No mitigable o los ordenados mediante sentencias judiciales o actos administrativos. Bogotá.</t>
  </si>
  <si>
    <t>220 - Reasentar 2.150 hogares localizados en zonas de alto riesgo no mitigable mediante las modalidades establecidas en el Decreto 255 de 2013 o la última norma vigente; o los ordenados mediante sentencias judiciales o actos administrativos</t>
  </si>
  <si>
    <t>Número de hogares trasladados</t>
  </si>
  <si>
    <t>Beneficiar 1.223 hogares localizados en zonas de alto riesgo no mitigable o los ordenados mediante sentencias judiciales o actos administrativos, con instrumentos financieros para su reubicación definitiva.</t>
  </si>
  <si>
    <t>Hogares beneficiados con instrumentos financieros para su reubicación definitiva.</t>
  </si>
  <si>
    <t>Asignar 116 instrumentos financieros para la adquisición de predios localizados zonas de alto riesgo no mitigable o los ordenados mediante sentencias judiciales o actos administrativos.</t>
  </si>
  <si>
    <t>Resoluciones de oferta para adquisición de predios.</t>
  </si>
  <si>
    <t>Hogares beneficiados con ayuda en recursos para relocalización transitoria</t>
  </si>
  <si>
    <t>7703</t>
  </si>
  <si>
    <t xml:space="preserve">MEJORAMIENTO INTEGRAL DE BARRIOS CON PARTICIPACIÓN CIUDADANA </t>
  </si>
  <si>
    <t>Espacio público Construido</t>
  </si>
  <si>
    <t>Ejecutar el 100% de la estructuración, formulación y seguimiento del proyecto.</t>
  </si>
  <si>
    <t>Gestión Pública Efectiva</t>
  </si>
  <si>
    <t>Gestión pública efectiva, abierta y transparente</t>
  </si>
  <si>
    <t>7696</t>
  </si>
  <si>
    <t>Fortalecimiento del modelo de gestión institucional y modernización de los sistemas de información de la Caja de la Vivienda Popular</t>
  </si>
  <si>
    <t>Dirección Corporativa</t>
  </si>
  <si>
    <t>Gestión institucional y modelo de gestión de La Caja de la Vivienda Popular, fortalecidos.</t>
  </si>
  <si>
    <t>Fortalecer el 100 % de las dimensiones y políticas del desempeño institucional que integran el Modelo Integrado de Planeación y Gestión de la CVP.</t>
  </si>
  <si>
    <t>Dimensiones y políticas implementadas</t>
  </si>
  <si>
    <t>Garantizar el 100% de los servicios de apoyo y desarrollo institucional requeridos para el buen funcionamiento de la Entidad</t>
  </si>
  <si>
    <t>Servicios de apoyo y desarrollo institucional</t>
  </si>
  <si>
    <t>Aumentar en 15 puntos la calificación del índice de Transparencia de Bogotá 2018-2019, en particular en los ítems "Divulgación de trámites y servicios al ciudadano", "Políticas y medidas anticorrupción", "Control social y participación ciudadana"</t>
  </si>
  <si>
    <t>Calificación del grado de satisfacción de la ciudadanía</t>
  </si>
  <si>
    <t>Renovar y fortalecer el 50% de la infraestructura TIC.</t>
  </si>
  <si>
    <t>Infraestructura TIC</t>
  </si>
  <si>
    <t xml:space="preserve">Implementar un instrumento de política pública distrital de mejoramiento y construcción de vivienda denominado Plan Terrazas.
</t>
  </si>
  <si>
    <t xml:space="preserve">Realizar el acompañamiento técnico, jurídico y social a las familias asentadas VIS o VIP, con el fin de obtener un título de propiedad registrado y concretar la entrega de zonas de cesión obligatorias; facilitando el acceso a una ciudad legal.
</t>
  </si>
  <si>
    <t xml:space="preserve">Disminuir el número de hogares que habitan en predios localizados en zonas de Alto Riesgo no mitigable o los ordenados mediante sentencias judiciales o actos administrativos.
</t>
  </si>
  <si>
    <t xml:space="preserve">Realizar mejoramiento integral de espacio publico en 8 territorios priorizados
</t>
  </si>
  <si>
    <t xml:space="preserve">Fortalecer el modelo de gestión, la infraestructura operacional y los sistemas de información de la Caja de Vivienda Popular
</t>
  </si>
  <si>
    <t xml:space="preserve">Vivienda y entornos dignos en el territorio urbano y rural  </t>
  </si>
  <si>
    <t>LOGRO:</t>
  </si>
  <si>
    <t xml:space="preserve">Aumentar el acceso a vivienda digna, espacio público y equipamientos de la población vulnerable en suelo urbano y rural </t>
  </si>
  <si>
    <t>125. Crear una curaduría pública social.</t>
  </si>
  <si>
    <t>129. Formular e implementar un proyecto piloto que desarrolle un esquema de solución habitacional "Plan Terrazas".</t>
  </si>
  <si>
    <t>124. Crear el Banco Distrital de materiales para la construcción del Plan Terrazas</t>
  </si>
  <si>
    <t>134. Titular 2400 predios registrados en las 20 localidades / Obtener 2400 títulos predios registrados</t>
  </si>
  <si>
    <t xml:space="preserve">Cambiar nuestros hábitos de vida para reverdecer a Bogotá y adaptarnos y mitigar la crisis climática  
</t>
  </si>
  <si>
    <t xml:space="preserve">Intervenir integralmente áreas estratégicas de Bogotá teniendo en cuenta las dinámicas patrimoniales, ambientales, sociales y culturales  
</t>
  </si>
  <si>
    <t xml:space="preserve">Asentamientos y entornos protectores. 
</t>
  </si>
  <si>
    <t>Contruir Bogotá región con gobierno abierto, transparente y ciudadanía consciente</t>
  </si>
  <si>
    <t>133. Realizar mejoramiento integral de barrios con participación ciudadana en 8 territorios priorizados (Puede incluir espacios públicos, malla vial, andenes, alamedas a escala barrial o bandas eléctricas)</t>
  </si>
  <si>
    <t>509. Fortalecer la gestión institucional y el modelo de gestión de la SDHT, CVP y UAESP</t>
  </si>
  <si>
    <t>Articular e implementar el 100.00 % el proceso de arquitectura empresarial de TIC, los sistemas de información de los procesos misionales y administrativos, y el sistema de seguridad de la información.</t>
  </si>
  <si>
    <t>LOGRO</t>
  </si>
  <si>
    <t>PROYECTO ESTRATÉGICO</t>
  </si>
  <si>
    <t>Numero de proyectos estructurados que desarrollan un esquema de solución habitacional "Plan Terrazas"</t>
  </si>
  <si>
    <t>Curaduría Pública Social Creada</t>
  </si>
  <si>
    <t>107.000 m2 de en espacio público en los territorios priorizados para realizar el mejoramiento de barrios en las Upz tipo1.</t>
  </si>
  <si>
    <t>Gestionar el 100% de las actividades del programa de reasentamiento mediante las acciones establecidas en el Decreto 330 de 2020 con el cual “Por el cual se regula el programa de reasentamiento de familias por encontrarse en condiciones de alto riesgo no mitigable en el Distrito Capital y se dictan otras disposiciones.”.</t>
  </si>
  <si>
    <t>Beneficiar 1.850 hogares localizados en zonas de alto riesgo no mitigable o los ordenados mediante sentencias judiciales o actos administrativos, con instrumentos financieros para relocalización transitoria.</t>
  </si>
  <si>
    <t>Implementar 5.000 acciones administrativas técnicas y sociales que generen condiciones para iniciar las intervenciones del proyecto Piloto Plan Terrazas.</t>
  </si>
  <si>
    <t>26.5%</t>
  </si>
  <si>
    <t>ok</t>
  </si>
  <si>
    <t>metas</t>
  </si>
  <si>
    <t>valores</t>
  </si>
  <si>
    <t xml:space="preserve"> Incrementar la efectividad de la gestión pública distrital y local. </t>
  </si>
  <si>
    <t>Gestión predial para saneamiento, enajenación onerosa, adquisición e intervención de predios con posible afectación a terceros.</t>
  </si>
  <si>
    <t xml:space="preserve"> Porcentaje de actividades de gestión predial desarrolladas. </t>
  </si>
  <si>
    <t>Entregar y firmar acuerdo para la sostenibilidad de 1250 viviendas mejoradas en el marco de Plan Terrazas</t>
  </si>
  <si>
    <t>Construir 100.000 m2 de en espacio público en los territorios priorizados para realizar el mejoramiento de barrios en las Upz tipo1</t>
  </si>
  <si>
    <t>Entregar 1.749 viviendas a hogares para su reubicación definitiva.</t>
  </si>
  <si>
    <t>Beneficiar 262 nuevos hogares que ingresan al programa de relocalización transitoria, localizados en zonas de alto riesgo no mitigable o los ordenados mediante sentencias judiciales o actos administrativos.</t>
  </si>
  <si>
    <t xml:space="preserve">Atender el 100% de la demanda efectiva de hogares localizados en zonas de alto riesgo no mitigable o los ordenados mediante sentencias judiciales o actos administrativos, que cumplan los requisitos para permanecer en la modalidad de Relocalización Transitoria. </t>
  </si>
  <si>
    <t>0k</t>
  </si>
  <si>
    <t>OK</t>
  </si>
  <si>
    <t>1,3</t>
  </si>
  <si>
    <t>0,7</t>
  </si>
  <si>
    <t>0,55</t>
  </si>
  <si>
    <t>2,55</t>
  </si>
  <si>
    <t>0K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</si>
</sst>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_(&quot;$&quot;\ * #,##0_);_(&quot;$&quot;\ * \(#,##0\);_(&quot;$&quot;\ * &quot;-&quot;_);_(@_)"/>
    <numFmt numFmtId="168" formatCode="_(&quot;$&quot;\ * #,##0.00_);_(&quot;$&quot;\ * \(#,##0.00\);_(&quot;$&quot;\ * &quot;-&quot;??_);_(@_)"/>
    <numFmt numFmtId="169" formatCode="_(* #,##0.00_);_(* \(#,##0.00\);_(* &quot;-&quot;??_);_(@_)"/>
    <numFmt numFmtId="170" formatCode="0.0%"/>
    <numFmt numFmtId="171" formatCode="_(&quot;$&quot;\ * #,##0_);_(&quot;$&quot;\ * \(#,##0\);_(&quot;$&quot;\ * &quot;-&quot;??_);_(@_)"/>
    <numFmt numFmtId="172" formatCode="_ [$€-2]\ * #,##0.00_ ;_ [$€-2]\ * \-#,##0.00_ ;_ [$€-2]\ * &quot;-&quot;??_ "/>
    <numFmt numFmtId="173" formatCode="_(* #,##0_);_(* \(#,##0\);_(* &quot;-&quot;??_);_(@_)"/>
    <numFmt numFmtId="174" formatCode="&quot;$&quot;\ #,##0"/>
    <numFmt numFmtId="175" formatCode="_(* #,##0.0_);_(* \(#,##0.0\);_(* &quot;-&quot;??_);_(@_)"/>
    <numFmt numFmtId="176" formatCode="[$€-2]\ #,##0.00_);[Red]\([$€-2]\ #,##0.00\)"/>
    <numFmt numFmtId="177" formatCode="&quot;$&quot;\ #,##0.00;&quot;$&quot;\ \-#,##0.00"/>
    <numFmt numFmtId="178" formatCode="&quot;$&quot;\ #,##0.00;[Red]&quot;$&quot;\ \-#,##0.00"/>
    <numFmt numFmtId="179" formatCode="_ &quot;$&quot;\ * #,##0.00_ ;_ &quot;$&quot;\ * \-#,##0.00_ ;_ &quot;$&quot;\ * &quot;-&quot;??_ ;_ @_ "/>
    <numFmt numFmtId="180" formatCode="_ * #,##0.00_ ;_ * \-#,##0.00_ ;_ * &quot;-&quot;??_ ;_ @_ "/>
    <numFmt numFmtId="181" formatCode="_(&quot;$&quot;* #,##0.00_);_(&quot;$&quot;* \(#,##0.00\);_(&quot;$&quot;* &quot;-&quot;??_);_(@_)"/>
    <numFmt numFmtId="182" formatCode="_-* #,##0.00\ _P_t_a_-;\-* #,##0.00\ _P_t_a_-;_-* &quot;-&quot;??\ _P_t_a_-;_-@_-"/>
    <numFmt numFmtId="183" formatCode="[$$-80A]#,##0.00"/>
    <numFmt numFmtId="184" formatCode="_-* #,##0.00\ _p_t_a_-;\-* #,##0.00\ _p_t_a_-;_-* &quot;-&quot;??\ _p_t_a_-;_-@_-"/>
    <numFmt numFmtId="185" formatCode="_-* #,##0\ _P_t_a_-;\-* #,##0\ _P_t_a_-;_-* &quot;-&quot;\ _P_t_a_-;_-@_-"/>
    <numFmt numFmtId="186" formatCode="_ [$€]\ * #,##0.00_ ;_ [$€]\ * \-#,##0.00_ ;_ [$€]\ * &quot;-&quot;??_ ;_ @_ "/>
    <numFmt numFmtId="187" formatCode="#,##0.0"/>
    <numFmt numFmtId="188" formatCode="_-[$$-240A]* #,##0_-;\-[$$-240A]* #,##0_-;_-[$$-240A]* &quot;-&quot;??_-;_-@_-"/>
    <numFmt numFmtId="189" formatCode="_-&quot;$&quot;* #,##0_-;\-&quot;$&quot;* #,##0_-;_-&quot;$&quot;* &quot;-&quot;??_-;_-@_-"/>
    <numFmt numFmtId="190" formatCode="_-* #,##0.00_-;\-* #,##0.00_-;_-* &quot;-&quot;_-;_-@_-"/>
    <numFmt numFmtId="191" formatCode="_-* #,##0.0_-;\-* #,##0.0_-;_-* &quot;-&quot;_-;_-@_-"/>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sz val="10"/>
      <name val="Arial"/>
      <family val="2"/>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sz val="9"/>
      <color indexed="81"/>
      <name val="Tahoma"/>
      <family val="2"/>
    </font>
    <font>
      <b/>
      <sz val="9"/>
      <color indexed="81"/>
      <name val="Tahoma"/>
      <family val="2"/>
    </font>
    <font>
      <b/>
      <sz val="11"/>
      <color indexed="81"/>
      <name val="Tahoma"/>
      <family val="2"/>
    </font>
    <font>
      <b/>
      <sz val="10"/>
      <color theme="2"/>
      <name val="Arial Narrow"/>
      <family val="2"/>
    </font>
  </fonts>
  <fills count="17">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s>
  <borders count="27">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s>
  <cellStyleXfs count="3519">
    <xf numFmtId="0" fontId="0" fillId="0" borderId="0"/>
    <xf numFmtId="0" fontId="11" fillId="2" borderId="0" applyNumberFormat="0" applyBorder="0" applyAlignment="0" applyProtection="0"/>
    <xf numFmtId="166"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1" fillId="2" borderId="0" applyNumberFormat="0" applyBorder="0" applyAlignment="0" applyProtection="0"/>
    <xf numFmtId="0" fontId="11" fillId="2" borderId="0" applyNumberFormat="0" applyBorder="0" applyAlignment="0" applyProtection="0"/>
    <xf numFmtId="172" fontId="3"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2" fontId="1" fillId="0" borderId="0" applyFont="0" applyFill="0" applyBorder="0" applyAlignment="0" applyProtection="0"/>
    <xf numFmtId="186" fontId="3" fillId="0" borderId="0" applyFont="0" applyFill="0" applyBorder="0" applyAlignment="0" applyProtection="0"/>
    <xf numFmtId="182" fontId="1" fillId="0" borderId="0" applyFont="0" applyFill="0" applyBorder="0" applyAlignment="0" applyProtection="0"/>
    <xf numFmtId="0" fontId="1" fillId="0" borderId="0"/>
    <xf numFmtId="0" fontId="22"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169" fontId="18" fillId="0" borderId="0" applyFont="0" applyFill="0" applyBorder="0" applyAlignment="0" applyProtection="0"/>
    <xf numFmtId="176"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1" fontId="1" fillId="0" borderId="0" applyFont="0" applyFill="0" applyBorder="0" applyAlignment="0" applyProtection="0"/>
    <xf numFmtId="181"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3" fillId="0" borderId="0" applyFont="0" applyFill="0" applyBorder="0" applyAlignment="0" applyProtection="0"/>
    <xf numFmtId="166" fontId="2"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67"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8"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168" fontId="3" fillId="0" borderId="0" applyFont="0" applyFill="0" applyBorder="0" applyAlignment="0" applyProtection="0"/>
    <xf numFmtId="177" fontId="3" fillId="0" borderId="0" applyFont="0" applyFill="0" applyBorder="0" applyAlignment="0" applyProtection="0"/>
    <xf numFmtId="0"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3" fillId="0" borderId="0"/>
    <xf numFmtId="0" fontId="18"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3" fillId="0" borderId="0"/>
    <xf numFmtId="0" fontId="3" fillId="0" borderId="0"/>
    <xf numFmtId="0" fontId="18" fillId="0" borderId="0"/>
    <xf numFmtId="0" fontId="18" fillId="0" borderId="0"/>
    <xf numFmtId="0" fontId="3" fillId="0" borderId="0"/>
    <xf numFmtId="0" fontId="3" fillId="0" borderId="0"/>
    <xf numFmtId="0" fontId="18" fillId="0" borderId="0"/>
    <xf numFmtId="0" fontId="18" fillId="0" borderId="0"/>
    <xf numFmtId="0" fontId="3" fillId="0" borderId="0" applyNumberFormat="0" applyFont="0" applyFill="0" applyBorder="0" applyAlignment="0" applyProtection="0">
      <alignment vertical="top"/>
    </xf>
    <xf numFmtId="0" fontId="18" fillId="0" borderId="0"/>
    <xf numFmtId="0" fontId="3" fillId="0" borderId="0" applyNumberFormat="0" applyFont="0" applyFill="0" applyBorder="0" applyAlignment="0" applyProtection="0">
      <alignment vertical="top"/>
    </xf>
    <xf numFmtId="0" fontId="3" fillId="0" borderId="0"/>
    <xf numFmtId="0" fontId="18" fillId="0" borderId="0"/>
    <xf numFmtId="0" fontId="18"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0" fontId="3" fillId="0" borderId="0"/>
    <xf numFmtId="9" fontId="1" fillId="0" borderId="0" applyFont="0" applyFill="0" applyBorder="0" applyAlignment="0" applyProtection="0"/>
    <xf numFmtId="168" fontId="1" fillId="0" borderId="0" applyFont="0" applyFill="0" applyBorder="0" applyAlignment="0" applyProtection="0"/>
    <xf numFmtId="0" fontId="42"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3" fillId="0" borderId="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 fillId="0" borderId="0"/>
    <xf numFmtId="9" fontId="18" fillId="0" borderId="0" applyFont="0" applyFill="0" applyBorder="0" applyAlignment="0" applyProtection="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0" fontId="3" fillId="0" borderId="0"/>
    <xf numFmtId="0" fontId="3"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41"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7" fillId="0" borderId="0"/>
    <xf numFmtId="0" fontId="17" fillId="0" borderId="0"/>
    <xf numFmtId="0" fontId="3" fillId="0" borderId="0"/>
    <xf numFmtId="0" fontId="18" fillId="0" borderId="0"/>
    <xf numFmtId="0" fontId="17" fillId="0" borderId="0"/>
    <xf numFmtId="43" fontId="18" fillId="0" borderId="0" applyFont="0" applyFill="0" applyBorder="0" applyAlignment="0" applyProtection="0"/>
    <xf numFmtId="43" fontId="18" fillId="0" borderId="0" applyFont="0" applyFill="0" applyBorder="0" applyAlignment="0" applyProtection="0"/>
    <xf numFmtId="9" fontId="3"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1"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7" fontId="3" fillId="0" borderId="0" applyFont="0" applyFill="0" applyBorder="0" applyAlignment="0" applyProtection="0"/>
    <xf numFmtId="0" fontId="12" fillId="3" borderId="0" applyNumberFormat="0" applyBorder="0" applyAlignment="0" applyProtection="0"/>
    <xf numFmtId="168"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166" fontId="1" fillId="0" borderId="0" applyFont="0" applyFill="0" applyBorder="0" applyAlignment="0" applyProtection="0"/>
    <xf numFmtId="0" fontId="18"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3"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1"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0" fontId="12" fillId="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3" fillId="0" borderId="0" applyFont="0" applyFill="0" applyBorder="0" applyAlignment="0" applyProtection="0"/>
    <xf numFmtId="9" fontId="1" fillId="0" borderId="0" applyFont="0" applyFill="0" applyBorder="0" applyAlignment="0" applyProtection="0"/>
    <xf numFmtId="0" fontId="13" fillId="0" borderId="1" applyNumberFormat="0" applyFill="0" applyAlignment="0" applyProtection="0"/>
    <xf numFmtId="164"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3" fontId="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3" fillId="0" borderId="0"/>
    <xf numFmtId="0" fontId="17" fillId="0" borderId="0"/>
    <xf numFmtId="0" fontId="17" fillId="0" borderId="0"/>
    <xf numFmtId="168" fontId="18" fillId="0" borderId="0" applyFont="0" applyFill="0" applyBorder="0" applyAlignment="0" applyProtection="0"/>
    <xf numFmtId="0" fontId="3" fillId="0" borderId="0"/>
    <xf numFmtId="41" fontId="18" fillId="0" borderId="0" applyFont="0" applyFill="0" applyBorder="0" applyAlignment="0" applyProtection="0"/>
    <xf numFmtId="0" fontId="18" fillId="0" borderId="0"/>
    <xf numFmtId="0" fontId="44" fillId="0" borderId="0"/>
    <xf numFmtId="0" fontId="43" fillId="14"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5" fillId="15" borderId="0" applyNumberFormat="0" applyBorder="0" applyAlignment="0" applyProtection="0"/>
    <xf numFmtId="0" fontId="3" fillId="0" borderId="0"/>
    <xf numFmtId="0" fontId="18" fillId="0" borderId="0"/>
    <xf numFmtId="0" fontId="18" fillId="0" borderId="0"/>
    <xf numFmtId="0" fontId="18"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3"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80" fontId="3" fillId="0" borderId="0" applyFont="0" applyFill="0" applyBorder="0" applyAlignment="0" applyProtection="0"/>
    <xf numFmtId="0" fontId="46" fillId="0" borderId="0"/>
    <xf numFmtId="164" fontId="46"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3" fillId="0" borderId="0" applyFont="0" applyFill="0" applyBorder="0" applyAlignment="0" applyProtection="0"/>
    <xf numFmtId="41" fontId="18"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8" fillId="0" borderId="0" applyFont="0" applyFill="0" applyBorder="0" applyAlignment="0" applyProtection="0"/>
    <xf numFmtId="168" fontId="3" fillId="0" borderId="0" applyFont="0" applyFill="0" applyBorder="0" applyAlignment="0" applyProtection="0"/>
    <xf numFmtId="43" fontId="18" fillId="0" borderId="0" applyFont="0" applyFill="0" applyBorder="0" applyAlignment="0" applyProtection="0"/>
    <xf numFmtId="164" fontId="46" fillId="0" borderId="0" applyFont="0" applyFill="0" applyBorder="0" applyAlignment="0" applyProtection="0"/>
    <xf numFmtId="165" fontId="3" fillId="0" borderId="0" applyFont="0" applyFill="0" applyBorder="0" applyAlignment="0" applyProtection="0"/>
    <xf numFmtId="41" fontId="46"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8" fillId="0" borderId="0" applyFont="0" applyFill="0" applyBorder="0" applyAlignment="0" applyProtection="0"/>
    <xf numFmtId="44" fontId="18" fillId="0" borderId="0" applyFont="0" applyFill="0" applyBorder="0" applyAlignment="0" applyProtection="0"/>
    <xf numFmtId="41" fontId="18" fillId="0" borderId="0" applyFont="0" applyFill="0" applyBorder="0" applyAlignment="0" applyProtection="0"/>
    <xf numFmtId="0" fontId="18" fillId="0" borderId="0"/>
    <xf numFmtId="0" fontId="18" fillId="0" borderId="0"/>
  </cellStyleXfs>
  <cellXfs count="282">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4" fillId="0" borderId="0" xfId="128" applyFont="1"/>
    <xf numFmtId="0" fontId="18" fillId="0" borderId="0" xfId="128" applyBorder="1"/>
    <xf numFmtId="0" fontId="18" fillId="0" borderId="0" xfId="128"/>
    <xf numFmtId="0" fontId="24" fillId="0" borderId="0" xfId="128" applyFont="1" applyAlignment="1">
      <alignment horizontal="left"/>
    </xf>
    <xf numFmtId="0" fontId="25" fillId="0" borderId="17" xfId="128" applyFont="1" applyBorder="1"/>
    <xf numFmtId="0" fontId="25" fillId="0" borderId="0" xfId="128" applyFont="1"/>
    <xf numFmtId="0" fontId="25" fillId="0" borderId="17" xfId="128" applyFont="1" applyBorder="1" applyAlignment="1">
      <alignment horizontal="center" vertical="center" wrapText="1"/>
    </xf>
    <xf numFmtId="0" fontId="26" fillId="0" borderId="3" xfId="128" applyFont="1" applyFill="1" applyBorder="1" applyAlignment="1" applyProtection="1">
      <alignment horizontal="justify" vertical="center" wrapText="1"/>
    </xf>
    <xf numFmtId="171" fontId="27" fillId="0" borderId="0" xfId="81" applyNumberFormat="1" applyFont="1" applyFill="1" applyBorder="1"/>
    <xf numFmtId="3" fontId="27" fillId="0" borderId="3" xfId="81" applyNumberFormat="1" applyFont="1" applyFill="1" applyBorder="1" applyAlignment="1">
      <alignment horizontal="center" vertical="center"/>
    </xf>
    <xf numFmtId="0" fontId="28" fillId="0" borderId="0" xfId="128" applyFont="1" applyBorder="1"/>
    <xf numFmtId="49" fontId="9" fillId="5" borderId="0" xfId="106" applyNumberFormat="1" applyFont="1" applyFill="1" applyBorder="1" applyAlignment="1">
      <alignment horizontal="center" vertical="center" wrapText="1"/>
    </xf>
    <xf numFmtId="0" fontId="26" fillId="5" borderId="3" xfId="128" applyFont="1" applyFill="1" applyBorder="1" applyAlignment="1" applyProtection="1">
      <alignment horizontal="justify" vertical="center" wrapText="1"/>
    </xf>
    <xf numFmtId="4" fontId="27" fillId="0" borderId="3" xfId="81" applyNumberFormat="1" applyFont="1" applyFill="1" applyBorder="1" applyAlignment="1">
      <alignment horizontal="center" vertical="center"/>
    </xf>
    <xf numFmtId="3" fontId="27" fillId="0" borderId="3" xfId="81" applyNumberFormat="1" applyFont="1" applyFill="1" applyBorder="1" applyAlignment="1">
      <alignment horizontal="center" vertical="center" wrapText="1"/>
    </xf>
    <xf numFmtId="171" fontId="27" fillId="5" borderId="0" xfId="81" applyNumberFormat="1" applyFont="1" applyFill="1" applyBorder="1"/>
    <xf numFmtId="0" fontId="18" fillId="5" borderId="0" xfId="128" applyFill="1"/>
    <xf numFmtId="0" fontId="28" fillId="0" borderId="0" xfId="128" applyFont="1" applyFill="1" applyBorder="1"/>
    <xf numFmtId="0" fontId="24" fillId="0" borderId="3" xfId="128" applyFont="1" applyFill="1" applyBorder="1" applyAlignment="1">
      <alignment vertical="center" wrapText="1"/>
    </xf>
    <xf numFmtId="171" fontId="24" fillId="0" borderId="0" xfId="128" applyNumberFormat="1" applyFont="1"/>
    <xf numFmtId="9" fontId="27" fillId="0" borderId="3" xfId="149" applyFont="1" applyFill="1" applyBorder="1" applyAlignment="1">
      <alignment horizontal="center" vertical="center"/>
    </xf>
    <xf numFmtId="171" fontId="27" fillId="0" borderId="3" xfId="80" applyNumberFormat="1" applyFont="1" applyFill="1" applyBorder="1" applyAlignment="1">
      <alignment vertical="center"/>
    </xf>
    <xf numFmtId="171" fontId="27" fillId="0" borderId="3" xfId="88" applyNumberFormat="1" applyFont="1" applyFill="1" applyBorder="1" applyAlignment="1">
      <alignment horizontal="center" vertical="center"/>
    </xf>
    <xf numFmtId="171" fontId="27" fillId="0" borderId="3" xfId="80" applyNumberFormat="1" applyFont="1" applyFill="1" applyBorder="1" applyAlignment="1">
      <alignment horizontal="center" vertical="center"/>
    </xf>
    <xf numFmtId="171" fontId="27" fillId="5" borderId="3" xfId="88" applyNumberFormat="1" applyFont="1" applyFill="1" applyBorder="1" applyAlignment="1">
      <alignment horizontal="center" vertical="center"/>
    </xf>
    <xf numFmtId="171" fontId="27" fillId="5" borderId="3" xfId="80" applyNumberFormat="1" applyFont="1" applyFill="1" applyBorder="1" applyAlignment="1">
      <alignment horizontal="center" vertical="center"/>
    </xf>
    <xf numFmtId="171" fontId="27" fillId="0" borderId="5" xfId="88" applyNumberFormat="1" applyFont="1" applyFill="1" applyBorder="1" applyAlignment="1">
      <alignment horizontal="center" vertical="center"/>
    </xf>
    <xf numFmtId="0" fontId="24" fillId="0" borderId="0" xfId="128" applyFont="1" applyAlignment="1">
      <alignment vertical="center"/>
    </xf>
    <xf numFmtId="171" fontId="27" fillId="0" borderId="3" xfId="88" applyNumberFormat="1" applyFont="1" applyFill="1" applyBorder="1" applyAlignment="1">
      <alignment vertical="center"/>
    </xf>
    <xf numFmtId="171" fontId="27" fillId="5" borderId="3" xfId="88" applyNumberFormat="1" applyFont="1" applyFill="1" applyBorder="1" applyAlignment="1">
      <alignment vertical="center"/>
    </xf>
    <xf numFmtId="171" fontId="27" fillId="5" borderId="3" xfId="80" applyNumberFormat="1" applyFont="1" applyFill="1" applyBorder="1" applyAlignment="1">
      <alignment vertical="center"/>
    </xf>
    <xf numFmtId="0" fontId="29"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0" fillId="0" borderId="3" xfId="128" applyFont="1" applyFill="1" applyBorder="1" applyAlignment="1" applyProtection="1">
      <alignment horizontal="justify" vertical="center" wrapText="1"/>
    </xf>
    <xf numFmtId="171" fontId="31" fillId="0" borderId="0" xfId="81" applyNumberFormat="1" applyFont="1" applyFill="1" applyBorder="1"/>
    <xf numFmtId="3" fontId="31" fillId="0" borderId="3" xfId="81" applyNumberFormat="1" applyFont="1" applyFill="1" applyBorder="1" applyAlignment="1">
      <alignment horizontal="center" vertical="center"/>
    </xf>
    <xf numFmtId="171" fontId="31" fillId="0" borderId="3" xfId="80" applyNumberFormat="1" applyFont="1" applyFill="1" applyBorder="1" applyAlignment="1">
      <alignment horizontal="center" vertical="center"/>
    </xf>
    <xf numFmtId="0" fontId="32" fillId="0" borderId="0" xfId="128" applyFont="1" applyBorder="1"/>
    <xf numFmtId="49" fontId="9" fillId="7" borderId="5" xfId="106" applyNumberFormat="1" applyFont="1" applyFill="1" applyBorder="1" applyAlignment="1">
      <alignment horizontal="center" vertical="center" wrapText="1"/>
    </xf>
    <xf numFmtId="0" fontId="30" fillId="5" borderId="3" xfId="128" applyFont="1" applyFill="1" applyBorder="1" applyAlignment="1" applyProtection="1">
      <alignment horizontal="justify" vertical="center" wrapText="1"/>
    </xf>
    <xf numFmtId="171" fontId="31" fillId="0" borderId="3" xfId="88" applyNumberFormat="1" applyFont="1" applyFill="1" applyBorder="1" applyAlignment="1">
      <alignment horizontal="center" vertical="center"/>
    </xf>
    <xf numFmtId="171" fontId="31" fillId="5" borderId="0" xfId="81" applyNumberFormat="1" applyFont="1" applyFill="1" applyBorder="1"/>
    <xf numFmtId="171" fontId="31" fillId="5" borderId="3" xfId="88" applyNumberFormat="1" applyFont="1" applyFill="1" applyBorder="1" applyAlignment="1">
      <alignment horizontal="center" vertical="center"/>
    </xf>
    <xf numFmtId="0" fontId="24" fillId="5" borderId="0" xfId="128" applyFont="1" applyFill="1"/>
    <xf numFmtId="0" fontId="18" fillId="0" borderId="0" xfId="128" applyFont="1"/>
    <xf numFmtId="0" fontId="32" fillId="0" borderId="0" xfId="128" applyFont="1" applyFill="1" applyBorder="1"/>
    <xf numFmtId="0" fontId="24" fillId="0" borderId="3" xfId="128" applyFont="1" applyBorder="1"/>
    <xf numFmtId="0" fontId="24" fillId="0" borderId="3" xfId="128" applyFont="1" applyBorder="1" applyAlignment="1">
      <alignment horizontal="center"/>
    </xf>
    <xf numFmtId="0" fontId="24" fillId="0" borderId="0" xfId="128" applyFont="1" applyBorder="1"/>
    <xf numFmtId="0" fontId="24" fillId="0" borderId="0" xfId="128" applyFont="1" applyBorder="1" applyAlignment="1">
      <alignment horizontal="center"/>
    </xf>
    <xf numFmtId="0" fontId="30" fillId="5" borderId="0" xfId="128" applyFont="1" applyFill="1" applyBorder="1" applyAlignment="1" applyProtection="1">
      <alignment horizontal="justify" vertical="center" wrapText="1"/>
    </xf>
    <xf numFmtId="171" fontId="31" fillId="0" borderId="0" xfId="80" applyNumberFormat="1" applyFont="1" applyFill="1" applyBorder="1" applyAlignment="1">
      <alignment horizontal="center" vertical="center"/>
    </xf>
    <xf numFmtId="171" fontId="31" fillId="0" borderId="0" xfId="80" applyNumberFormat="1" applyFont="1" applyFill="1" applyBorder="1" applyAlignment="1">
      <alignment vertical="center"/>
    </xf>
    <xf numFmtId="171" fontId="33" fillId="0" borderId="0" xfId="80" applyNumberFormat="1" applyFont="1" applyFill="1" applyBorder="1" applyAlignment="1">
      <alignment horizontal="center" vertical="center"/>
    </xf>
    <xf numFmtId="171" fontId="27" fillId="0" borderId="4" xfId="80" applyNumberFormat="1" applyFont="1" applyFill="1" applyBorder="1" applyAlignment="1">
      <alignment horizontal="center" vertical="center"/>
    </xf>
    <xf numFmtId="0" fontId="34" fillId="8" borderId="3" xfId="128" applyFont="1" applyFill="1" applyBorder="1" applyAlignment="1">
      <alignment vertical="center" wrapText="1"/>
    </xf>
    <xf numFmtId="171" fontId="35" fillId="0" borderId="3" xfId="80" applyNumberFormat="1" applyFont="1" applyFill="1" applyBorder="1" applyAlignment="1">
      <alignment vertical="center"/>
    </xf>
    <xf numFmtId="171" fontId="35" fillId="0" borderId="3" xfId="80" applyNumberFormat="1" applyFont="1" applyFill="1" applyBorder="1" applyAlignment="1">
      <alignment horizontal="center" vertical="center"/>
    </xf>
    <xf numFmtId="171" fontId="36" fillId="0" borderId="3" xfId="80" applyNumberFormat="1" applyFont="1" applyFill="1" applyBorder="1" applyAlignment="1">
      <alignment horizontal="center" vertical="center"/>
    </xf>
    <xf numFmtId="0" fontId="24" fillId="0" borderId="4" xfId="128" applyFont="1" applyFill="1" applyBorder="1" applyAlignment="1">
      <alignment vertical="center" wrapText="1"/>
    </xf>
    <xf numFmtId="0" fontId="24" fillId="0" borderId="5"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173" fontId="18" fillId="0" borderId="0" xfId="24" applyNumberFormat="1" applyBorder="1"/>
    <xf numFmtId="171" fontId="18" fillId="0" borderId="0" xfId="128" applyNumberFormat="1" applyBorder="1"/>
    <xf numFmtId="0" fontId="24" fillId="0" borderId="3" xfId="0" applyFont="1" applyBorder="1"/>
    <xf numFmtId="0" fontId="0" fillId="0" borderId="3" xfId="0" applyBorder="1"/>
    <xf numFmtId="171" fontId="0" fillId="0" borderId="3" xfId="0" applyNumberFormat="1" applyBorder="1"/>
    <xf numFmtId="171" fontId="24" fillId="0" borderId="3" xfId="0" applyNumberFormat="1" applyFont="1" applyBorder="1"/>
    <xf numFmtId="171" fontId="31" fillId="10" borderId="3" xfId="80" applyNumberFormat="1" applyFont="1" applyFill="1" applyBorder="1" applyAlignment="1">
      <alignment horizontal="center" vertical="center"/>
    </xf>
    <xf numFmtId="0" fontId="25" fillId="0" borderId="3" xfId="128" applyFont="1" applyBorder="1"/>
    <xf numFmtId="0" fontId="25" fillId="0" borderId="3" xfId="128" applyFont="1" applyBorder="1" applyAlignment="1">
      <alignment horizontal="center" vertical="center" wrapText="1"/>
    </xf>
    <xf numFmtId="0" fontId="28" fillId="0" borderId="3" xfId="128" applyFont="1" applyBorder="1"/>
    <xf numFmtId="0" fontId="18" fillId="0" borderId="3" xfId="128" applyBorder="1"/>
    <xf numFmtId="0" fontId="32" fillId="0" borderId="3" xfId="128" applyFont="1" applyBorder="1"/>
    <xf numFmtId="0" fontId="28" fillId="5" borderId="3" xfId="128" applyFont="1" applyFill="1" applyBorder="1"/>
    <xf numFmtId="0" fontId="32" fillId="5" borderId="3" xfId="128" applyFont="1" applyFill="1" applyBorder="1"/>
    <xf numFmtId="171" fontId="31" fillId="0" borderId="3" xfId="80" applyNumberFormat="1" applyFont="1" applyFill="1" applyBorder="1" applyAlignment="1">
      <alignment vertical="center"/>
    </xf>
    <xf numFmtId="171" fontId="18" fillId="11" borderId="0" xfId="128" applyNumberFormat="1" applyFill="1"/>
    <xf numFmtId="171" fontId="24" fillId="11" borderId="0" xfId="128" applyNumberFormat="1" applyFont="1" applyFill="1"/>
    <xf numFmtId="171" fontId="18" fillId="0" borderId="0" xfId="128" applyNumberFormat="1"/>
    <xf numFmtId="3" fontId="35" fillId="0" borderId="3" xfId="81" applyNumberFormat="1" applyFont="1" applyFill="1" applyBorder="1" applyAlignment="1">
      <alignment horizontal="center" vertical="center"/>
    </xf>
    <xf numFmtId="0" fontId="19" fillId="0" borderId="0" xfId="128" applyFont="1" applyBorder="1"/>
    <xf numFmtId="0" fontId="23" fillId="0" borderId="0" xfId="128" applyFont="1"/>
    <xf numFmtId="0" fontId="38" fillId="0" borderId="0" xfId="106" applyFont="1"/>
    <xf numFmtId="0" fontId="39" fillId="0" borderId="0" xfId="106" applyFont="1"/>
    <xf numFmtId="0" fontId="23" fillId="0" borderId="0" xfId="128" applyFont="1" applyBorder="1"/>
    <xf numFmtId="3" fontId="33" fillId="0" borderId="3" xfId="81" applyNumberFormat="1" applyFont="1" applyFill="1" applyBorder="1" applyAlignment="1">
      <alignment horizontal="center" vertical="center"/>
    </xf>
    <xf numFmtId="173" fontId="23" fillId="0" borderId="0" xfId="24" applyNumberFormat="1" applyFont="1" applyBorder="1"/>
    <xf numFmtId="0" fontId="40" fillId="0" borderId="0" xfId="128" applyFont="1"/>
    <xf numFmtId="173" fontId="23" fillId="0" borderId="0" xfId="24" applyNumberFormat="1" applyFont="1" applyAlignment="1">
      <alignment vertical="center"/>
    </xf>
    <xf numFmtId="0" fontId="18" fillId="0" borderId="0" xfId="128" applyFill="1"/>
    <xf numFmtId="0" fontId="41" fillId="0" borderId="0" xfId="128" applyFont="1" applyFill="1"/>
    <xf numFmtId="0" fontId="4" fillId="0" borderId="0" xfId="168" applyFont="1" applyBorder="1" applyAlignment="1"/>
    <xf numFmtId="1" fontId="10"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4" fontId="3" fillId="0" borderId="3" xfId="0" applyNumberFormat="1" applyFont="1" applyFill="1" applyBorder="1" applyAlignment="1">
      <alignment horizontal="right" vertical="center"/>
    </xf>
    <xf numFmtId="174" fontId="29" fillId="0" borderId="3" xfId="0" applyNumberFormat="1" applyFont="1" applyFill="1" applyBorder="1" applyAlignment="1">
      <alignment horizontal="right" vertical="center"/>
    </xf>
    <xf numFmtId="3" fontId="27" fillId="0" borderId="4" xfId="81" applyNumberFormat="1" applyFont="1" applyFill="1" applyBorder="1" applyAlignment="1">
      <alignment horizontal="center" vertical="center"/>
    </xf>
    <xf numFmtId="0" fontId="18" fillId="0" borderId="0" xfId="128" applyFill="1" applyBorder="1"/>
    <xf numFmtId="0" fontId="37" fillId="0" borderId="0" xfId="168" applyFont="1" applyBorder="1" applyAlignment="1"/>
    <xf numFmtId="0" fontId="38" fillId="0" borderId="0" xfId="168" applyFont="1"/>
    <xf numFmtId="9" fontId="35" fillId="0" borderId="3" xfId="149" applyFont="1" applyFill="1" applyBorder="1" applyAlignment="1">
      <alignment horizontal="center" vertical="center"/>
    </xf>
    <xf numFmtId="0" fontId="24" fillId="0" borderId="0" xfId="128" applyFont="1" applyFill="1"/>
    <xf numFmtId="1" fontId="10" fillId="0" borderId="3" xfId="150"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4" fillId="0" borderId="6" xfId="128"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24" fillId="0" borderId="6" xfId="128" applyFont="1" applyFill="1" applyBorder="1" applyAlignment="1">
      <alignment horizontal="left" vertical="center" wrapText="1"/>
    </xf>
    <xf numFmtId="0" fontId="26" fillId="0" borderId="2" xfId="128" applyFont="1" applyFill="1" applyBorder="1" applyAlignment="1" applyProtection="1">
      <alignment horizontal="center" vertical="center" wrapText="1"/>
    </xf>
    <xf numFmtId="0" fontId="18" fillId="0" borderId="0" xfId="128" applyAlignment="1">
      <alignment horizontal="center"/>
    </xf>
    <xf numFmtId="0" fontId="24" fillId="0" borderId="0" xfId="128" applyFont="1" applyAlignment="1">
      <alignment vertical="center" wrapText="1"/>
    </xf>
    <xf numFmtId="0" fontId="24" fillId="0" borderId="0" xfId="128" applyFont="1" applyAlignment="1">
      <alignment wrapText="1"/>
    </xf>
    <xf numFmtId="9" fontId="10" fillId="0" borderId="3" xfId="149" applyFont="1" applyFill="1" applyBorder="1" applyAlignment="1">
      <alignment horizontal="center" vertical="center" wrapText="1"/>
    </xf>
    <xf numFmtId="173" fontId="23" fillId="0" borderId="0" xfId="24" applyNumberFormat="1" applyFont="1" applyFill="1" applyAlignment="1">
      <alignment vertical="center"/>
    </xf>
    <xf numFmtId="9" fontId="27" fillId="16" borderId="4" xfId="149" applyFont="1" applyFill="1" applyBorder="1" applyAlignment="1">
      <alignment horizontal="center" vertical="center"/>
    </xf>
    <xf numFmtId="3" fontId="27" fillId="16" borderId="4" xfId="81" applyNumberFormat="1" applyFont="1" applyFill="1" applyBorder="1" applyAlignment="1">
      <alignment horizontal="center" vertical="center"/>
    </xf>
    <xf numFmtId="171" fontId="27" fillId="16" borderId="3" xfId="80" applyNumberFormat="1" applyFont="1" applyFill="1" applyBorder="1" applyAlignment="1">
      <alignment horizontal="center" vertical="center"/>
    </xf>
    <xf numFmtId="0" fontId="28" fillId="16" borderId="0" xfId="128" applyFont="1" applyFill="1" applyBorder="1"/>
    <xf numFmtId="9" fontId="27" fillId="16" borderId="3" xfId="149" applyFont="1" applyFill="1" applyBorder="1" applyAlignment="1">
      <alignment horizontal="center" vertical="center"/>
    </xf>
    <xf numFmtId="0" fontId="18" fillId="16" borderId="0" xfId="128" applyFill="1"/>
    <xf numFmtId="9" fontId="10" fillId="16" borderId="3" xfId="149" applyFont="1" applyFill="1" applyBorder="1" applyAlignment="1">
      <alignment horizontal="center" vertical="center" wrapText="1"/>
    </xf>
    <xf numFmtId="6" fontId="3" fillId="16" borderId="3" xfId="0" applyNumberFormat="1" applyFont="1" applyFill="1" applyBorder="1" applyAlignment="1">
      <alignment horizontal="right" vertical="center"/>
    </xf>
    <xf numFmtId="174" fontId="3" fillId="16" borderId="3" xfId="0" applyNumberFormat="1" applyFont="1" applyFill="1" applyBorder="1" applyAlignment="1">
      <alignment horizontal="right" vertical="center"/>
    </xf>
    <xf numFmtId="0" fontId="41" fillId="16" borderId="0" xfId="128" applyFont="1" applyFill="1"/>
    <xf numFmtId="9" fontId="35" fillId="16" borderId="3" xfId="149" applyFont="1" applyFill="1" applyBorder="1" applyAlignment="1">
      <alignment horizontal="center" vertical="center"/>
    </xf>
    <xf numFmtId="171" fontId="35" fillId="16" borderId="3" xfId="80" applyNumberFormat="1" applyFont="1" applyFill="1" applyBorder="1" applyAlignment="1">
      <alignment vertical="center"/>
    </xf>
    <xf numFmtId="0" fontId="26" fillId="16" borderId="3" xfId="128" applyFont="1" applyFill="1" applyBorder="1" applyAlignment="1" applyProtection="1">
      <alignment horizontal="justify" vertical="center" wrapText="1"/>
    </xf>
    <xf numFmtId="9" fontId="10" fillId="5" borderId="3" xfId="149" applyFont="1" applyFill="1" applyBorder="1" applyAlignment="1">
      <alignment horizontal="center" vertical="center" wrapText="1"/>
    </xf>
    <xf numFmtId="0" fontId="4" fillId="0" borderId="0" xfId="106" applyFont="1" applyBorder="1" applyAlignment="1">
      <alignment horizontal="center"/>
    </xf>
    <xf numFmtId="0" fontId="24" fillId="0" borderId="0" xfId="128" applyFont="1" applyAlignment="1">
      <alignment horizontal="center"/>
    </xf>
    <xf numFmtId="0" fontId="24" fillId="0" borderId="0" xfId="128" applyFont="1" applyAlignment="1">
      <alignment horizontal="center" vertical="center"/>
    </xf>
    <xf numFmtId="0" fontId="18" fillId="0" borderId="0" xfId="128" applyFont="1" applyAlignment="1">
      <alignment horizontal="center"/>
    </xf>
    <xf numFmtId="3" fontId="27" fillId="16" borderId="3" xfId="81" applyNumberFormat="1" applyFont="1" applyFill="1" applyBorder="1" applyAlignment="1">
      <alignment horizontal="center" vertical="center"/>
    </xf>
    <xf numFmtId="1" fontId="10" fillId="16" borderId="3" xfId="319" applyNumberFormat="1" applyFont="1" applyFill="1" applyBorder="1" applyAlignment="1">
      <alignment horizontal="center" vertical="center" wrapText="1"/>
    </xf>
    <xf numFmtId="3" fontId="35" fillId="16" borderId="3" xfId="81" applyNumberFormat="1" applyFont="1" applyFill="1" applyBorder="1" applyAlignment="1">
      <alignment horizontal="center" vertical="center"/>
    </xf>
    <xf numFmtId="187" fontId="27" fillId="0" borderId="4" xfId="81" applyNumberFormat="1" applyFont="1" applyFill="1" applyBorder="1" applyAlignment="1">
      <alignment horizontal="center" vertical="center"/>
    </xf>
    <xf numFmtId="187" fontId="27" fillId="16" borderId="4" xfId="81" applyNumberFormat="1" applyFont="1" applyFill="1" applyBorder="1" applyAlignment="1">
      <alignment horizontal="center" vertical="center"/>
    </xf>
    <xf numFmtId="170" fontId="35" fillId="0" borderId="3" xfId="149" applyNumberFormat="1" applyFont="1" applyFill="1" applyBorder="1" applyAlignment="1">
      <alignment horizontal="center" vertical="center"/>
    </xf>
    <xf numFmtId="0" fontId="0" fillId="0" borderId="3" xfId="128" applyFont="1" applyBorder="1" applyAlignment="1">
      <alignment wrapText="1"/>
    </xf>
    <xf numFmtId="188" fontId="31" fillId="0" borderId="3" xfId="80" applyNumberFormat="1" applyFont="1" applyFill="1" applyBorder="1" applyAlignment="1">
      <alignment horizontal="center" vertical="center"/>
    </xf>
    <xf numFmtId="49" fontId="9" fillId="6" borderId="0" xfId="106"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189" fontId="18" fillId="0" borderId="0" xfId="3515" applyNumberFormat="1"/>
    <xf numFmtId="189" fontId="4" fillId="0" borderId="0" xfId="3515" applyNumberFormat="1" applyFont="1" applyBorder="1" applyAlignment="1"/>
    <xf numFmtId="189" fontId="18" fillId="0" borderId="0" xfId="3515" applyNumberFormat="1" applyBorder="1"/>
    <xf numFmtId="189" fontId="34" fillId="8" borderId="3" xfId="3515" applyNumberFormat="1" applyFont="1" applyFill="1" applyBorder="1" applyAlignment="1">
      <alignment vertical="center" wrapText="1"/>
    </xf>
    <xf numFmtId="189" fontId="27" fillId="16" borderId="4" xfId="3515" applyNumberFormat="1" applyFont="1" applyFill="1" applyBorder="1" applyAlignment="1">
      <alignment horizontal="center" vertical="center"/>
    </xf>
    <xf numFmtId="189" fontId="27" fillId="0" borderId="3" xfId="3515" applyNumberFormat="1" applyFont="1" applyFill="1" applyBorder="1" applyAlignment="1">
      <alignment horizontal="center" vertical="center"/>
    </xf>
    <xf numFmtId="189" fontId="31" fillId="0" borderId="3" xfId="3515" applyNumberFormat="1" applyFont="1" applyFill="1" applyBorder="1" applyAlignment="1">
      <alignment horizontal="center" vertical="center"/>
    </xf>
    <xf numFmtId="189" fontId="27" fillId="0" borderId="4" xfId="3515" applyNumberFormat="1" applyFont="1" applyFill="1" applyBorder="1" applyAlignment="1">
      <alignment horizontal="center" vertical="center"/>
    </xf>
    <xf numFmtId="189" fontId="27" fillId="16" borderId="3" xfId="3515" applyNumberFormat="1" applyFont="1" applyFill="1" applyBorder="1" applyAlignment="1">
      <alignment horizontal="center" vertical="center"/>
    </xf>
    <xf numFmtId="189" fontId="19" fillId="0" borderId="0" xfId="3515" applyNumberFormat="1" applyFont="1"/>
    <xf numFmtId="0" fontId="18" fillId="0" borderId="0" xfId="128" applyBorder="1" applyAlignment="1">
      <alignment horizontal="center"/>
    </xf>
    <xf numFmtId="169" fontId="27" fillId="0" borderId="3" xfId="24" applyFont="1" applyFill="1" applyBorder="1" applyAlignment="1">
      <alignment horizontal="center" vertical="center"/>
    </xf>
    <xf numFmtId="169" fontId="35" fillId="0" borderId="3" xfId="24" applyFont="1" applyFill="1" applyBorder="1" applyAlignment="1">
      <alignment horizontal="center" vertical="center"/>
    </xf>
    <xf numFmtId="44" fontId="27" fillId="0" borderId="3" xfId="3515" applyNumberFormat="1" applyFont="1" applyFill="1" applyBorder="1" applyAlignment="1">
      <alignment horizontal="center" vertical="center"/>
    </xf>
    <xf numFmtId="168" fontId="27" fillId="0" borderId="3" xfId="80" applyNumberFormat="1" applyFont="1" applyFill="1" applyBorder="1" applyAlignment="1">
      <alignment horizontal="center" vertical="center"/>
    </xf>
    <xf numFmtId="190" fontId="27" fillId="0" borderId="3" xfId="3516" applyNumberFormat="1" applyFont="1" applyFill="1" applyBorder="1" applyAlignment="1">
      <alignment horizontal="center" vertical="center"/>
    </xf>
    <xf numFmtId="41" fontId="35" fillId="0" borderId="3" xfId="3516" applyFont="1" applyFill="1" applyBorder="1" applyAlignment="1">
      <alignment horizontal="center" vertical="center"/>
    </xf>
    <xf numFmtId="170" fontId="10" fillId="5" borderId="3" xfId="149" applyNumberFormat="1" applyFont="1" applyFill="1" applyBorder="1" applyAlignment="1">
      <alignment horizontal="center" vertical="center" wrapText="1"/>
    </xf>
    <xf numFmtId="170" fontId="27" fillId="16" borderId="3" xfId="149" applyNumberFormat="1" applyFont="1" applyFill="1" applyBorder="1" applyAlignment="1">
      <alignment horizontal="center" vertical="center"/>
    </xf>
    <xf numFmtId="170" fontId="27" fillId="0" borderId="3" xfId="149" applyNumberFormat="1" applyFont="1" applyFill="1" applyBorder="1" applyAlignment="1">
      <alignment horizontal="center" vertical="center"/>
    </xf>
    <xf numFmtId="189" fontId="35" fillId="0" borderId="3" xfId="80" applyNumberFormat="1" applyFont="1" applyFill="1" applyBorder="1" applyAlignment="1">
      <alignment horizontal="center" vertical="center"/>
    </xf>
    <xf numFmtId="9" fontId="35" fillId="0" borderId="3" xfId="149" applyNumberFormat="1" applyFont="1" applyFill="1" applyBorder="1" applyAlignment="1">
      <alignment horizontal="center" vertical="center"/>
    </xf>
    <xf numFmtId="9" fontId="27" fillId="16" borderId="3" xfId="3459" applyFont="1" applyFill="1" applyBorder="1" applyAlignment="1">
      <alignment horizontal="center" vertical="center"/>
    </xf>
    <xf numFmtId="170" fontId="35" fillId="16" borderId="3" xfId="3459" applyNumberFormat="1" applyFont="1" applyFill="1" applyBorder="1" applyAlignment="1">
      <alignment horizontal="center" vertical="center"/>
    </xf>
    <xf numFmtId="9" fontId="27" fillId="0" borderId="3" xfId="3459" applyFont="1" applyFill="1" applyBorder="1" applyAlignment="1">
      <alignment horizontal="center" vertical="center"/>
    </xf>
    <xf numFmtId="9" fontId="10" fillId="16" borderId="3" xfId="3459" applyFont="1" applyFill="1" applyBorder="1" applyAlignment="1">
      <alignment horizontal="center" vertical="center" wrapText="1"/>
    </xf>
    <xf numFmtId="9" fontId="10" fillId="5" borderId="3" xfId="3459" applyFont="1" applyFill="1" applyBorder="1" applyAlignment="1">
      <alignment horizontal="center" vertical="center" wrapText="1"/>
    </xf>
    <xf numFmtId="9" fontId="35" fillId="16" borderId="3" xfId="3459" applyFont="1" applyFill="1" applyBorder="1" applyAlignment="1">
      <alignment horizontal="center" vertical="center"/>
    </xf>
    <xf numFmtId="9" fontId="35" fillId="0" borderId="3" xfId="3459" applyFont="1" applyFill="1" applyBorder="1" applyAlignment="1">
      <alignment horizontal="center" vertical="center"/>
    </xf>
    <xf numFmtId="170" fontId="27" fillId="0" borderId="3" xfId="3459" applyNumberFormat="1" applyFont="1" applyFill="1" applyBorder="1" applyAlignment="1">
      <alignment horizontal="center" vertical="center"/>
    </xf>
    <xf numFmtId="9" fontId="10" fillId="0" borderId="3" xfId="3459" applyFont="1" applyFill="1" applyBorder="1" applyAlignment="1">
      <alignment horizontal="center" vertical="center" wrapText="1"/>
    </xf>
    <xf numFmtId="170" fontId="35" fillId="0" borderId="3" xfId="3459" applyNumberFormat="1" applyFont="1" applyFill="1" applyBorder="1" applyAlignment="1">
      <alignment horizontal="center" vertical="center"/>
    </xf>
    <xf numFmtId="170" fontId="35" fillId="16" borderId="3" xfId="149" applyNumberFormat="1" applyFont="1" applyFill="1" applyBorder="1" applyAlignment="1">
      <alignment horizontal="center" vertical="center"/>
    </xf>
    <xf numFmtId="0" fontId="26" fillId="0" borderId="2" xfId="128" applyFont="1" applyFill="1" applyBorder="1" applyAlignment="1" applyProtection="1">
      <alignment horizontal="center" vertical="center" wrapText="1"/>
    </xf>
    <xf numFmtId="9" fontId="35" fillId="0" borderId="3" xfId="3459" applyNumberFormat="1" applyFont="1" applyFill="1" applyBorder="1" applyAlignment="1">
      <alignment horizontal="center" vertical="center"/>
    </xf>
    <xf numFmtId="10" fontId="27" fillId="0" borderId="3" xfId="149" applyNumberFormat="1" applyFont="1" applyFill="1" applyBorder="1" applyAlignment="1">
      <alignment horizontal="center" vertical="center"/>
    </xf>
    <xf numFmtId="2" fontId="10" fillId="5" borderId="3" xfId="319" applyNumberFormat="1" applyFont="1" applyFill="1" applyBorder="1" applyAlignment="1">
      <alignment horizontal="center" vertical="center" wrapText="1"/>
    </xf>
    <xf numFmtId="189" fontId="24" fillId="0" borderId="0" xfId="128" applyNumberFormat="1" applyFont="1"/>
    <xf numFmtId="189" fontId="18" fillId="0" borderId="0" xfId="128" applyNumberFormat="1"/>
    <xf numFmtId="187" fontId="27" fillId="16" borderId="3" xfId="81" applyNumberFormat="1" applyFont="1" applyFill="1" applyBorder="1" applyAlignment="1">
      <alignment horizontal="center" vertical="center"/>
    </xf>
    <xf numFmtId="187" fontId="35" fillId="0" borderId="3" xfId="81" applyNumberFormat="1" applyFont="1" applyFill="1" applyBorder="1" applyAlignment="1">
      <alignment horizontal="center" vertical="center"/>
    </xf>
    <xf numFmtId="4" fontId="35" fillId="0" borderId="3" xfId="81" applyNumberFormat="1" applyFont="1" applyFill="1" applyBorder="1" applyAlignment="1">
      <alignment horizontal="center" vertical="center"/>
    </xf>
    <xf numFmtId="170" fontId="10" fillId="0" borderId="3" xfId="149" applyNumberFormat="1" applyFont="1" applyFill="1" applyBorder="1" applyAlignment="1">
      <alignment horizontal="center" vertical="center" wrapText="1"/>
    </xf>
    <xf numFmtId="171" fontId="23" fillId="0" borderId="0" xfId="128" applyNumberFormat="1" applyFont="1"/>
    <xf numFmtId="3" fontId="23" fillId="0" borderId="0" xfId="128" applyNumberFormat="1" applyFont="1"/>
    <xf numFmtId="1" fontId="10" fillId="0" borderId="3" xfId="319" applyNumberFormat="1" applyFont="1" applyFill="1" applyBorder="1" applyAlignment="1">
      <alignment horizontal="center" vertical="center" wrapText="1"/>
    </xf>
    <xf numFmtId="9" fontId="27" fillId="16" borderId="3" xfId="3459" applyNumberFormat="1" applyFont="1" applyFill="1" applyBorder="1" applyAlignment="1">
      <alignment horizontal="center" vertical="center"/>
    </xf>
    <xf numFmtId="9" fontId="27" fillId="0" borderId="3" xfId="3459" applyNumberFormat="1" applyFont="1" applyFill="1" applyBorder="1" applyAlignment="1">
      <alignment horizontal="center" vertical="center"/>
    </xf>
    <xf numFmtId="170" fontId="27" fillId="16" borderId="3" xfId="3459" applyNumberFormat="1" applyFont="1" applyFill="1" applyBorder="1" applyAlignment="1">
      <alignment horizontal="center" vertical="center"/>
    </xf>
    <xf numFmtId="10" fontId="27" fillId="16" borderId="3" xfId="149" applyNumberFormat="1" applyFont="1" applyFill="1" applyBorder="1" applyAlignment="1">
      <alignment horizontal="center" vertical="center"/>
    </xf>
    <xf numFmtId="9" fontId="10" fillId="16" borderId="3" xfId="149" applyNumberFormat="1" applyFont="1" applyFill="1" applyBorder="1" applyAlignment="1">
      <alignment horizontal="center" vertical="center" wrapText="1"/>
    </xf>
    <xf numFmtId="0" fontId="0" fillId="0" borderId="0" xfId="128" applyFont="1" applyFill="1"/>
    <xf numFmtId="170" fontId="10" fillId="0" borderId="3" xfId="3459" applyNumberFormat="1" applyFont="1" applyFill="1" applyBorder="1" applyAlignment="1">
      <alignment horizontal="center" vertical="center" wrapText="1"/>
    </xf>
    <xf numFmtId="170" fontId="10" fillId="16" borderId="3" xfId="3459" applyNumberFormat="1" applyFont="1" applyFill="1" applyBorder="1" applyAlignment="1">
      <alignment horizontal="center" vertical="center" wrapText="1"/>
    </xf>
    <xf numFmtId="169" fontId="23" fillId="0" borderId="0" xfId="24" applyNumberFormat="1" applyFont="1" applyAlignment="1">
      <alignment vertical="center"/>
    </xf>
    <xf numFmtId="0" fontId="41" fillId="0" borderId="3" xfId="128" applyFont="1" applyFill="1" applyBorder="1" applyAlignment="1" applyProtection="1">
      <alignment horizontal="justify" vertical="center" wrapText="1"/>
    </xf>
    <xf numFmtId="0" fontId="0" fillId="0" borderId="0" xfId="128" applyFont="1"/>
    <xf numFmtId="3" fontId="0" fillId="0" borderId="0" xfId="128" applyNumberFormat="1" applyFont="1"/>
    <xf numFmtId="171" fontId="0" fillId="0" borderId="0" xfId="128" applyNumberFormat="1" applyFont="1"/>
    <xf numFmtId="0" fontId="26" fillId="0" borderId="2" xfId="128" applyFont="1" applyFill="1" applyBorder="1" applyAlignment="1" applyProtection="1">
      <alignment horizontal="center" vertical="center" wrapText="1"/>
    </xf>
    <xf numFmtId="0" fontId="26" fillId="0" borderId="3" xfId="128" applyFont="1" applyFill="1" applyBorder="1" applyAlignment="1" applyProtection="1">
      <alignment horizontal="left" vertical="center" wrapText="1"/>
    </xf>
    <xf numFmtId="0" fontId="26" fillId="0" borderId="2" xfId="128" applyFont="1" applyFill="1" applyBorder="1" applyAlignment="1" applyProtection="1">
      <alignment horizontal="center" vertical="center" wrapText="1"/>
    </xf>
    <xf numFmtId="0" fontId="27" fillId="0" borderId="3" xfId="149" applyNumberFormat="1" applyFont="1" applyFill="1" applyBorder="1" applyAlignment="1">
      <alignment horizontal="center" vertical="center"/>
    </xf>
    <xf numFmtId="170" fontId="10" fillId="16" borderId="3" xfId="149" applyNumberFormat="1" applyFont="1" applyFill="1" applyBorder="1" applyAlignment="1">
      <alignment horizontal="center" vertical="center" wrapText="1"/>
    </xf>
    <xf numFmtId="191" fontId="35" fillId="0" borderId="3" xfId="3516" applyNumberFormat="1" applyFont="1" applyFill="1" applyBorder="1" applyAlignment="1">
      <alignment horizontal="center" vertical="center"/>
    </xf>
    <xf numFmtId="188" fontId="24" fillId="0" borderId="0" xfId="128" applyNumberFormat="1" applyFont="1"/>
    <xf numFmtId="2" fontId="10" fillId="0" borderId="3" xfId="319" applyNumberFormat="1" applyFont="1" applyFill="1" applyBorder="1" applyAlignment="1">
      <alignment horizontal="center" vertical="center" wrapText="1"/>
    </xf>
    <xf numFmtId="0" fontId="35" fillId="0" borderId="3" xfId="81" applyNumberFormat="1" applyFont="1" applyFill="1" applyBorder="1" applyAlignment="1">
      <alignment horizontal="center" vertical="center"/>
    </xf>
    <xf numFmtId="9" fontId="10" fillId="0" borderId="3" xfId="149" applyNumberFormat="1" applyFont="1" applyFill="1" applyBorder="1" applyAlignment="1">
      <alignment horizontal="center" vertical="center" wrapText="1"/>
    </xf>
    <xf numFmtId="0" fontId="34" fillId="8" borderId="3" xfId="128" applyFont="1" applyFill="1" applyBorder="1" applyAlignment="1">
      <alignment horizontal="center" vertical="center" wrapText="1"/>
    </xf>
    <xf numFmtId="0" fontId="25" fillId="8" borderId="3" xfId="128" applyFont="1" applyFill="1" applyBorder="1" applyAlignment="1">
      <alignment horizontal="center" vertical="center" wrapText="1"/>
    </xf>
    <xf numFmtId="0" fontId="25" fillId="8" borderId="8" xfId="128" applyFont="1" applyFill="1" applyBorder="1" applyAlignment="1">
      <alignment horizontal="center" vertical="center" wrapText="1"/>
    </xf>
    <xf numFmtId="0" fontId="25" fillId="8" borderId="9" xfId="128" applyFont="1" applyFill="1" applyBorder="1" applyAlignment="1">
      <alignment horizontal="center" vertical="center" wrapText="1"/>
    </xf>
    <xf numFmtId="0" fontId="34" fillId="8" borderId="5" xfId="128" applyFont="1" applyFill="1" applyBorder="1" applyAlignment="1">
      <alignment horizontal="center" vertical="center" wrapText="1"/>
    </xf>
    <xf numFmtId="0" fontId="34" fillId="8" borderId="4" xfId="128" applyFont="1" applyFill="1" applyBorder="1" applyAlignment="1">
      <alignment horizontal="center" vertical="center" wrapText="1"/>
    </xf>
    <xf numFmtId="0" fontId="25" fillId="8" borderId="18" xfId="128" applyFont="1" applyFill="1" applyBorder="1" applyAlignment="1">
      <alignment horizontal="center" vertical="center" wrapText="1"/>
    </xf>
    <xf numFmtId="0" fontId="25" fillId="8" borderId="19" xfId="128" applyFont="1" applyFill="1" applyBorder="1" applyAlignment="1">
      <alignment horizontal="center" vertical="center" wrapText="1"/>
    </xf>
    <xf numFmtId="0" fontId="25" fillId="8" borderId="20" xfId="128" applyFont="1" applyFill="1" applyBorder="1" applyAlignment="1">
      <alignment horizontal="center" vertical="center" wrapText="1"/>
    </xf>
    <xf numFmtId="0" fontId="24" fillId="0" borderId="5" xfId="128" applyFont="1" applyFill="1" applyBorder="1" applyAlignment="1">
      <alignment horizontal="center" vertical="center" wrapText="1"/>
    </xf>
    <xf numFmtId="0" fontId="24" fillId="0" borderId="4"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0" fontId="24" fillId="0" borderId="6" xfId="128"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4" fillId="5" borderId="5" xfId="128" applyFont="1" applyFill="1" applyBorder="1" applyAlignment="1">
      <alignment horizontal="center" vertical="center" wrapText="1"/>
    </xf>
    <xf numFmtId="0" fontId="24" fillId="5" borderId="6" xfId="128" applyFont="1" applyFill="1" applyBorder="1" applyAlignment="1">
      <alignment horizontal="center" vertical="center" wrapText="1"/>
    </xf>
    <xf numFmtId="0" fontId="24"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4" fillId="0"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5" fillId="8" borderId="24" xfId="128" applyFont="1" applyFill="1" applyBorder="1" applyAlignment="1">
      <alignment horizontal="center" vertical="center" wrapText="1"/>
    </xf>
    <xf numFmtId="0" fontId="25" fillId="8" borderId="6" xfId="128" applyFont="1" applyFill="1" applyBorder="1" applyAlignment="1">
      <alignment horizontal="center" vertical="center" wrapText="1"/>
    </xf>
    <xf numFmtId="0" fontId="25" fillId="8" borderId="25" xfId="128" applyFont="1" applyFill="1" applyBorder="1" applyAlignment="1">
      <alignment horizontal="center" vertical="center" wrapText="1"/>
    </xf>
    <xf numFmtId="0" fontId="25" fillId="8" borderId="21" xfId="128" applyFont="1" applyFill="1" applyBorder="1" applyAlignment="1">
      <alignment horizontal="center" vertical="center" wrapText="1"/>
    </xf>
    <xf numFmtId="0" fontId="25" fillId="8" borderId="22" xfId="128" applyFont="1" applyFill="1" applyBorder="1" applyAlignment="1">
      <alignment horizontal="center" vertical="center" wrapText="1"/>
    </xf>
    <xf numFmtId="0" fontId="25"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4" fillId="0" borderId="0" xfId="128" applyFont="1" applyAlignment="1">
      <alignment horizontal="left"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5" fillId="8" borderId="10" xfId="128" applyFont="1" applyFill="1" applyBorder="1" applyAlignment="1">
      <alignment horizontal="center" vertical="center" wrapText="1"/>
    </xf>
    <xf numFmtId="0" fontId="24" fillId="0" borderId="5" xfId="128" applyFont="1" applyFill="1" applyBorder="1" applyAlignment="1">
      <alignment horizontal="left" vertical="center" wrapText="1"/>
    </xf>
    <xf numFmtId="0" fontId="24" fillId="0" borderId="6" xfId="128" applyFont="1" applyFill="1" applyBorder="1" applyAlignment="1">
      <alignment horizontal="left" vertical="center" wrapText="1"/>
    </xf>
    <xf numFmtId="49" fontId="9" fillId="6" borderId="26" xfId="106" applyNumberFormat="1" applyFont="1" applyFill="1" applyBorder="1" applyAlignment="1">
      <alignment horizontal="center" vertical="center" wrapText="1"/>
    </xf>
    <xf numFmtId="49" fontId="9" fillId="6" borderId="0" xfId="106" applyNumberFormat="1" applyFont="1" applyFill="1" applyBorder="1" applyAlignment="1">
      <alignment horizontal="center" vertical="center" wrapText="1"/>
    </xf>
    <xf numFmtId="0" fontId="25" fillId="8" borderId="5" xfId="128" applyFont="1" applyFill="1" applyBorder="1" applyAlignment="1">
      <alignment horizontal="center" vertical="center" wrapText="1"/>
    </xf>
    <xf numFmtId="0" fontId="25" fillId="8" borderId="4" xfId="128" applyFont="1" applyFill="1" applyBorder="1" applyAlignment="1">
      <alignment horizontal="center" vertical="center" wrapText="1"/>
    </xf>
    <xf numFmtId="0" fontId="0" fillId="0" borderId="0" xfId="128" applyFont="1" applyAlignment="1">
      <alignment horizontal="left" vertical="center" wrapText="1"/>
    </xf>
    <xf numFmtId="0" fontId="20" fillId="8" borderId="3" xfId="128" applyFont="1" applyFill="1" applyBorder="1" applyAlignment="1">
      <alignment horizontal="center" vertical="center" wrapText="1"/>
    </xf>
    <xf numFmtId="0" fontId="26" fillId="0" borderId="15" xfId="128" applyFont="1" applyFill="1" applyBorder="1" applyAlignment="1" applyProtection="1">
      <alignment horizontal="center" vertical="center" wrapText="1"/>
    </xf>
    <xf numFmtId="0" fontId="26" fillId="0" borderId="2" xfId="128" applyFont="1" applyFill="1" applyBorder="1" applyAlignment="1" applyProtection="1">
      <alignment horizontal="center" vertical="center" wrapText="1"/>
    </xf>
    <xf numFmtId="0" fontId="6" fillId="12" borderId="0" xfId="106" applyFont="1" applyFill="1" applyBorder="1" applyAlignment="1">
      <alignment horizontal="center" vertical="center"/>
    </xf>
    <xf numFmtId="0" fontId="50" fillId="8" borderId="5" xfId="128" applyFont="1" applyFill="1" applyBorder="1" applyAlignment="1">
      <alignment horizontal="center" vertical="center" wrapText="1"/>
    </xf>
    <xf numFmtId="0" fontId="50" fillId="8" borderId="4" xfId="128" applyFont="1" applyFill="1" applyBorder="1" applyAlignment="1">
      <alignment horizontal="center" vertical="center" wrapText="1"/>
    </xf>
    <xf numFmtId="0" fontId="25" fillId="8" borderId="2" xfId="128" applyFont="1" applyFill="1" applyBorder="1" applyAlignment="1">
      <alignment horizontal="center" vertical="center" wrapText="1"/>
    </xf>
    <xf numFmtId="0" fontId="28" fillId="0" borderId="0" xfId="128" applyFont="1" applyAlignment="1">
      <alignment horizontal="left" vertical="center" wrapText="1"/>
    </xf>
    <xf numFmtId="0" fontId="24" fillId="0" borderId="4" xfId="128" applyFont="1" applyFill="1" applyBorder="1" applyAlignment="1">
      <alignment horizontal="left" vertical="center" wrapText="1"/>
    </xf>
    <xf numFmtId="0" fontId="24" fillId="0" borderId="11" xfId="128" applyFont="1" applyBorder="1" applyAlignment="1">
      <alignment horizontal="left"/>
    </xf>
    <xf numFmtId="0" fontId="24" fillId="0" borderId="12" xfId="128" applyFont="1" applyBorder="1" applyAlignment="1">
      <alignment horizontal="left"/>
    </xf>
    <xf numFmtId="0" fontId="24" fillId="0" borderId="13" xfId="128" applyFont="1" applyBorder="1" applyAlignment="1">
      <alignment horizontal="left"/>
    </xf>
  </cellXfs>
  <cellStyles count="3519">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xfId="3516" builtinId="6"/>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xfId="3515" builtinId="4"/>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26" xfId="3517"/>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11" xfId="3518"/>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C9"/>
  <sheetViews>
    <sheetView workbookViewId="0">
      <selection activeCell="B8" sqref="B8"/>
    </sheetView>
  </sheetViews>
  <sheetFormatPr baseColWidth="10" defaultRowHeight="15" x14ac:dyDescent="0.25"/>
  <sheetData>
    <row r="1" spans="1:3" x14ac:dyDescent="0.25">
      <c r="A1" s="74" t="s">
        <v>77</v>
      </c>
      <c r="B1" s="74" t="s">
        <v>75</v>
      </c>
      <c r="C1" s="74" t="s">
        <v>76</v>
      </c>
    </row>
    <row r="2" spans="1:3" x14ac:dyDescent="0.25">
      <c r="A2" s="75">
        <v>3075</v>
      </c>
      <c r="B2" s="42">
        <v>188629.99454699998</v>
      </c>
      <c r="C2" s="76" t="e">
        <f>+B2-#REF!</f>
        <v>#REF!</v>
      </c>
    </row>
    <row r="3" spans="1:3" x14ac:dyDescent="0.25">
      <c r="A3" s="75">
        <v>208</v>
      </c>
      <c r="B3" s="46">
        <v>46860.264536000002</v>
      </c>
      <c r="C3" s="76" t="e">
        <f>+B3-#REF!</f>
        <v>#REF!</v>
      </c>
    </row>
    <row r="4" spans="1:3" x14ac:dyDescent="0.25">
      <c r="A4" s="75">
        <v>3075</v>
      </c>
      <c r="B4" s="48">
        <v>16911.999999</v>
      </c>
      <c r="C4" s="76" t="e">
        <f>+B4-#REF!</f>
        <v>#REF!</v>
      </c>
    </row>
    <row r="5" spans="1:3" x14ac:dyDescent="0.25">
      <c r="A5" s="75">
        <v>471</v>
      </c>
      <c r="B5" s="64">
        <v>29280</v>
      </c>
      <c r="C5" s="76" t="e">
        <f>+B5-#REF!</f>
        <v>#REF!</v>
      </c>
    </row>
    <row r="6" spans="1:3" x14ac:dyDescent="0.25">
      <c r="A6" s="75">
        <v>943</v>
      </c>
      <c r="B6" s="42">
        <v>1910.88</v>
      </c>
      <c r="C6" s="76" t="e">
        <f>+B6-#REF!</f>
        <v>#REF!</v>
      </c>
    </row>
    <row r="7" spans="1:3" x14ac:dyDescent="0.25">
      <c r="A7" s="75">
        <v>404</v>
      </c>
      <c r="B7" s="42">
        <v>13556.24</v>
      </c>
      <c r="C7" s="76" t="e">
        <f>+B7-#REF!</f>
        <v>#REF!</v>
      </c>
    </row>
    <row r="8" spans="1:3" x14ac:dyDescent="0.25">
      <c r="A8" s="75">
        <v>1174</v>
      </c>
      <c r="B8" s="42">
        <v>7858.6167699999996</v>
      </c>
      <c r="C8" s="76" t="e">
        <f>+B8-#REF!</f>
        <v>#REF!</v>
      </c>
    </row>
    <row r="9" spans="1:3" x14ac:dyDescent="0.25">
      <c r="A9" s="74" t="s">
        <v>75</v>
      </c>
      <c r="B9" s="77">
        <f>SUM(B2:B8)</f>
        <v>305007.99585200002</v>
      </c>
      <c r="C9" s="76" t="e">
        <f>+B9-#REF!</f>
        <v>#REF!</v>
      </c>
    </row>
  </sheetData>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65</v>
      </c>
    </row>
    <row r="3" spans="1:18" s="3" customFormat="1" ht="12.75" x14ac:dyDescent="0.2">
      <c r="A3" s="248" t="s">
        <v>0</v>
      </c>
      <c r="B3" s="249"/>
      <c r="C3" s="249"/>
      <c r="D3" s="250"/>
      <c r="E3" s="1"/>
      <c r="F3" s="2"/>
      <c r="G3" s="2"/>
      <c r="H3" s="2"/>
      <c r="I3" s="2"/>
      <c r="J3" s="2"/>
      <c r="K3" s="2"/>
      <c r="M3" s="2"/>
      <c r="O3" s="2"/>
      <c r="Q3" s="2"/>
    </row>
    <row r="4" spans="1:18" s="3" customFormat="1" ht="12.75" x14ac:dyDescent="0.2">
      <c r="A4" s="248" t="s">
        <v>14</v>
      </c>
      <c r="B4" s="249"/>
      <c r="C4" s="249"/>
      <c r="D4" s="250"/>
      <c r="E4" s="1"/>
      <c r="F4" s="2"/>
      <c r="G4" s="2"/>
      <c r="H4" s="2"/>
      <c r="I4" s="2"/>
      <c r="J4" s="2"/>
      <c r="K4" s="2"/>
      <c r="M4" s="2"/>
      <c r="O4" s="2"/>
      <c r="Q4" s="2"/>
    </row>
    <row r="5" spans="1:18" s="3" customFormat="1" ht="12.75" x14ac:dyDescent="0.2">
      <c r="A5" s="248" t="s">
        <v>0</v>
      </c>
      <c r="B5" s="249"/>
      <c r="C5" s="249"/>
      <c r="D5" s="250"/>
      <c r="E5" s="1"/>
      <c r="F5" s="2"/>
      <c r="G5" s="2"/>
      <c r="H5" s="2"/>
      <c r="I5" s="2"/>
      <c r="J5" s="2"/>
      <c r="K5" s="2"/>
      <c r="M5" s="2"/>
      <c r="O5" s="2"/>
      <c r="Q5" s="2"/>
    </row>
    <row r="6" spans="1:18" s="3" customFormat="1" ht="12.75" x14ac:dyDescent="0.2">
      <c r="A6" s="248" t="s">
        <v>15</v>
      </c>
      <c r="B6" s="249"/>
      <c r="C6" s="249"/>
      <c r="D6" s="250"/>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57" t="s">
        <v>85</v>
      </c>
      <c r="B8" s="258"/>
      <c r="C8" s="258"/>
      <c r="D8" s="258"/>
    </row>
    <row r="9" spans="1:18" s="3" customFormat="1" ht="12.75" x14ac:dyDescent="0.2">
      <c r="A9" s="4"/>
      <c r="B9" s="4"/>
      <c r="C9" s="4"/>
      <c r="D9" s="4"/>
      <c r="E9" s="2"/>
      <c r="F9" s="2"/>
      <c r="G9" s="2"/>
      <c r="H9" s="2"/>
      <c r="I9" s="2"/>
      <c r="J9" s="2"/>
      <c r="K9" s="2"/>
      <c r="M9" s="2"/>
      <c r="O9" s="2"/>
      <c r="Q9" s="2"/>
    </row>
    <row r="10" spans="1:18" ht="34.5" customHeight="1" x14ac:dyDescent="0.25">
      <c r="A10" s="33" t="s">
        <v>1</v>
      </c>
      <c r="B10" s="259" t="s">
        <v>16</v>
      </c>
      <c r="C10" s="259"/>
      <c r="D10" s="259"/>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54" t="s">
        <v>2</v>
      </c>
      <c r="B13" s="229" t="s">
        <v>3</v>
      </c>
      <c r="C13" s="229" t="s">
        <v>67</v>
      </c>
      <c r="D13" s="251" t="s">
        <v>19</v>
      </c>
      <c r="E13" s="10"/>
      <c r="F13" s="67">
        <v>2016</v>
      </c>
      <c r="G13" s="10"/>
      <c r="H13" s="225">
        <v>2017</v>
      </c>
      <c r="I13" s="226"/>
      <c r="J13" s="262"/>
      <c r="K13" s="225">
        <v>2018</v>
      </c>
      <c r="L13" s="262"/>
      <c r="M13" s="225">
        <v>2019</v>
      </c>
      <c r="N13" s="262"/>
      <c r="O13" s="225">
        <v>2020</v>
      </c>
      <c r="P13" s="226"/>
      <c r="Q13" s="226" t="s">
        <v>78</v>
      </c>
      <c r="R13" s="226"/>
    </row>
    <row r="14" spans="1:18" s="11" customFormat="1" ht="15" customHeight="1" x14ac:dyDescent="0.25">
      <c r="A14" s="255"/>
      <c r="B14" s="230"/>
      <c r="C14" s="230"/>
      <c r="D14" s="252"/>
      <c r="E14" s="10"/>
      <c r="F14" s="223" t="s">
        <v>8</v>
      </c>
      <c r="G14" s="10"/>
      <c r="H14" s="223" t="s">
        <v>8</v>
      </c>
      <c r="I14" s="223" t="s">
        <v>84</v>
      </c>
      <c r="J14" s="223" t="s">
        <v>80</v>
      </c>
      <c r="K14" s="223" t="s">
        <v>8</v>
      </c>
      <c r="L14" s="223" t="s">
        <v>79</v>
      </c>
      <c r="M14" s="223" t="s">
        <v>8</v>
      </c>
      <c r="N14" s="223" t="s">
        <v>79</v>
      </c>
      <c r="O14" s="227" t="s">
        <v>8</v>
      </c>
      <c r="P14" s="223" t="s">
        <v>79</v>
      </c>
      <c r="Q14" s="227" t="s">
        <v>8</v>
      </c>
      <c r="R14" s="223" t="s">
        <v>79</v>
      </c>
    </row>
    <row r="15" spans="1:18" s="11" customFormat="1" ht="47.25" customHeight="1" x14ac:dyDescent="0.25">
      <c r="A15" s="256"/>
      <c r="B15" s="231"/>
      <c r="C15" s="231"/>
      <c r="D15" s="253"/>
      <c r="E15" s="12"/>
      <c r="F15" s="223"/>
      <c r="G15" s="12"/>
      <c r="H15" s="223"/>
      <c r="I15" s="223"/>
      <c r="J15" s="223"/>
      <c r="K15" s="223"/>
      <c r="L15" s="223"/>
      <c r="M15" s="223"/>
      <c r="N15" s="223"/>
      <c r="O15" s="228"/>
      <c r="P15" s="223"/>
      <c r="Q15" s="228"/>
      <c r="R15" s="223"/>
    </row>
    <row r="16" spans="1:18" ht="60" customHeight="1" x14ac:dyDescent="0.25">
      <c r="A16" s="260" t="s">
        <v>11</v>
      </c>
      <c r="B16" s="232" t="s">
        <v>12</v>
      </c>
      <c r="C16" s="232" t="s">
        <v>68</v>
      </c>
      <c r="D16" s="13" t="s">
        <v>20</v>
      </c>
      <c r="E16" s="14"/>
      <c r="F16" s="60">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61"/>
      <c r="B17" s="239"/>
      <c r="C17" s="239"/>
      <c r="D17" s="13" t="s">
        <v>81</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61"/>
      <c r="B18" s="239"/>
      <c r="C18" s="239"/>
      <c r="D18" s="13" t="s">
        <v>82</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61"/>
      <c r="B19" s="239"/>
      <c r="C19" s="239"/>
      <c r="D19" s="13" t="s">
        <v>86</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61"/>
      <c r="B20" s="233"/>
      <c r="C20" s="233"/>
      <c r="D20" s="13" t="s">
        <v>83</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68" t="s">
        <v>52</v>
      </c>
      <c r="C21" s="68"/>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78">
        <f t="shared" si="0"/>
        <v>188629.99454699998</v>
      </c>
      <c r="R21" s="78">
        <f t="shared" si="0"/>
        <v>188629.99454699998</v>
      </c>
      <c r="S21" s="42">
        <v>188629.99454699998</v>
      </c>
      <c r="T21" s="87">
        <f>+S21-R21</f>
        <v>0</v>
      </c>
    </row>
    <row r="22" spans="1:20" ht="21.75" customHeight="1" x14ac:dyDescent="0.25">
      <c r="A22" s="50"/>
      <c r="D22" s="7"/>
      <c r="E22" s="8"/>
      <c r="F22" s="7"/>
      <c r="G22" s="8"/>
      <c r="H22" s="7"/>
      <c r="I22" s="8"/>
      <c r="J22" s="8"/>
      <c r="K22" s="7"/>
      <c r="M22" s="7"/>
      <c r="O22" s="7"/>
      <c r="Q22" s="72"/>
    </row>
    <row r="23" spans="1:20" ht="12.75" customHeight="1" x14ac:dyDescent="0.25">
      <c r="A23" s="6" t="s">
        <v>21</v>
      </c>
      <c r="B23" s="6" t="s">
        <v>22</v>
      </c>
      <c r="C23" s="6"/>
      <c r="D23" s="7"/>
      <c r="E23" s="8"/>
      <c r="F23" s="7"/>
      <c r="G23" s="8"/>
      <c r="H23" s="7"/>
      <c r="I23" s="8"/>
      <c r="J23" s="8"/>
      <c r="K23" s="7"/>
      <c r="M23" s="7"/>
      <c r="O23" s="7"/>
      <c r="Q23" s="73"/>
    </row>
    <row r="24" spans="1:20" ht="12.75" customHeight="1" x14ac:dyDescent="0.25">
      <c r="A24" s="9">
        <v>14</v>
      </c>
      <c r="B24" s="6" t="s">
        <v>23</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24" t="s">
        <v>2</v>
      </c>
      <c r="B26" s="224" t="s">
        <v>3</v>
      </c>
      <c r="C26" s="229" t="s">
        <v>67</v>
      </c>
      <c r="D26" s="224" t="s">
        <v>19</v>
      </c>
      <c r="E26" s="10"/>
      <c r="F26" s="71">
        <v>2016</v>
      </c>
      <c r="G26" s="79"/>
      <c r="H26" s="224">
        <v>2017</v>
      </c>
      <c r="I26" s="224"/>
      <c r="J26" s="224"/>
      <c r="K26" s="224">
        <v>2018</v>
      </c>
      <c r="L26" s="224"/>
      <c r="M26" s="224">
        <v>2019</v>
      </c>
      <c r="N26" s="224"/>
      <c r="O26" s="224">
        <v>2020</v>
      </c>
      <c r="P26" s="224"/>
      <c r="Q26" s="224" t="s">
        <v>78</v>
      </c>
      <c r="R26" s="224"/>
    </row>
    <row r="27" spans="1:20" s="11" customFormat="1" ht="15" customHeight="1" x14ac:dyDescent="0.25">
      <c r="A27" s="224"/>
      <c r="B27" s="224"/>
      <c r="C27" s="230"/>
      <c r="D27" s="224"/>
      <c r="E27" s="10"/>
      <c r="F27" s="223" t="s">
        <v>8</v>
      </c>
      <c r="G27" s="79"/>
      <c r="H27" s="223" t="s">
        <v>8</v>
      </c>
      <c r="I27" s="223" t="s">
        <v>84</v>
      </c>
      <c r="J27" s="223" t="s">
        <v>80</v>
      </c>
      <c r="K27" s="223" t="s">
        <v>8</v>
      </c>
      <c r="L27" s="223" t="s">
        <v>79</v>
      </c>
      <c r="M27" s="223" t="s">
        <v>8</v>
      </c>
      <c r="N27" s="223" t="s">
        <v>79</v>
      </c>
      <c r="O27" s="223" t="s">
        <v>8</v>
      </c>
      <c r="P27" s="223" t="s">
        <v>79</v>
      </c>
      <c r="Q27" s="223" t="s">
        <v>8</v>
      </c>
      <c r="R27" s="223" t="s">
        <v>79</v>
      </c>
    </row>
    <row r="28" spans="1:20" s="11" customFormat="1" ht="47.25" customHeight="1" x14ac:dyDescent="0.25">
      <c r="A28" s="224"/>
      <c r="B28" s="224"/>
      <c r="C28" s="231"/>
      <c r="D28" s="224"/>
      <c r="E28" s="12"/>
      <c r="F28" s="223"/>
      <c r="G28" s="80"/>
      <c r="H28" s="223"/>
      <c r="I28" s="223"/>
      <c r="J28" s="223"/>
      <c r="K28" s="223"/>
      <c r="L28" s="223"/>
      <c r="M28" s="223"/>
      <c r="N28" s="223"/>
      <c r="O28" s="223"/>
      <c r="P28" s="223"/>
      <c r="Q28" s="223"/>
      <c r="R28" s="223"/>
    </row>
    <row r="29" spans="1:20" ht="51" hidden="1" customHeight="1" x14ac:dyDescent="0.25">
      <c r="A29" s="246" t="s">
        <v>24</v>
      </c>
      <c r="B29" s="247" t="s">
        <v>25</v>
      </c>
      <c r="C29" s="68"/>
      <c r="D29" s="18" t="s">
        <v>9</v>
      </c>
      <c r="E29" s="14"/>
      <c r="F29" s="28"/>
      <c r="G29" s="81"/>
      <c r="H29" s="28"/>
      <c r="I29" s="81"/>
      <c r="J29" s="81"/>
      <c r="K29" s="29"/>
      <c r="L29" s="82"/>
      <c r="M29" s="20"/>
      <c r="N29" s="82"/>
      <c r="O29" s="20"/>
      <c r="P29" s="82"/>
      <c r="Q29" s="15"/>
      <c r="R29" s="82"/>
    </row>
    <row r="30" spans="1:20" ht="95.25" customHeight="1" x14ac:dyDescent="0.25">
      <c r="A30" s="246"/>
      <c r="B30" s="247"/>
      <c r="C30" s="247" t="s">
        <v>69</v>
      </c>
      <c r="D30" s="13" t="s">
        <v>47</v>
      </c>
      <c r="E30" s="14"/>
      <c r="F30" s="15">
        <v>2310.5661340000001</v>
      </c>
      <c r="G30" s="81"/>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46"/>
      <c r="B31" s="247"/>
      <c r="C31" s="247"/>
      <c r="D31" s="18" t="s">
        <v>48</v>
      </c>
      <c r="E31" s="14"/>
      <c r="F31" s="27">
        <v>6931.698402</v>
      </c>
      <c r="G31" s="81"/>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6" t="s">
        <v>53</v>
      </c>
      <c r="C32" s="65"/>
      <c r="D32" s="45"/>
      <c r="E32" s="40"/>
      <c r="F32" s="46">
        <f>SUM(F30:F31)</f>
        <v>9242.2645360000006</v>
      </c>
      <c r="G32" s="83"/>
      <c r="H32" s="46">
        <f t="shared" ref="H32:R32" si="1">SUM(H30:H31)</f>
        <v>10137</v>
      </c>
      <c r="I32" s="46">
        <f t="shared" si="1"/>
        <v>9171.0519999999997</v>
      </c>
      <c r="J32" s="46">
        <f t="shared" si="1"/>
        <v>965.94800000000032</v>
      </c>
      <c r="K32" s="46">
        <f t="shared" si="1"/>
        <v>8782</v>
      </c>
      <c r="L32" s="46">
        <f t="shared" si="1"/>
        <v>9103.9826666666668</v>
      </c>
      <c r="M32" s="46">
        <f t="shared" si="1"/>
        <v>8636</v>
      </c>
      <c r="N32" s="46">
        <f t="shared" si="1"/>
        <v>8957.9826666666668</v>
      </c>
      <c r="O32" s="46">
        <f t="shared" si="1"/>
        <v>10063</v>
      </c>
      <c r="P32" s="46">
        <f t="shared" si="1"/>
        <v>10384.982666666667</v>
      </c>
      <c r="Q32" s="46">
        <f t="shared" si="1"/>
        <v>46860.264536000002</v>
      </c>
      <c r="R32" s="46">
        <f t="shared" si="1"/>
        <v>46860.264536000002</v>
      </c>
      <c r="S32" s="46">
        <v>46860.264536000002</v>
      </c>
      <c r="T32" s="88">
        <f>+S32-R32</f>
        <v>0</v>
      </c>
    </row>
    <row r="33" spans="1:20" s="22" customFormat="1" ht="144.75" customHeight="1" x14ac:dyDescent="0.25">
      <c r="A33" s="240" t="s">
        <v>10</v>
      </c>
      <c r="B33" s="243" t="s">
        <v>26</v>
      </c>
      <c r="C33" s="243" t="s">
        <v>70</v>
      </c>
      <c r="D33" s="18" t="s">
        <v>49</v>
      </c>
      <c r="E33" s="21"/>
      <c r="F33" s="35">
        <v>843.23047499999996</v>
      </c>
      <c r="G33" s="84"/>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41"/>
      <c r="B34" s="244"/>
      <c r="C34" s="244"/>
      <c r="D34" s="18" t="s">
        <v>50</v>
      </c>
      <c r="E34" s="21"/>
      <c r="F34" s="35">
        <v>607.23047499999996</v>
      </c>
      <c r="G34" s="84"/>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42"/>
      <c r="B35" s="245"/>
      <c r="C35" s="245"/>
      <c r="D35" s="18" t="s">
        <v>51</v>
      </c>
      <c r="E35" s="21"/>
      <c r="F35" s="30">
        <v>814.53904999999997</v>
      </c>
      <c r="G35" s="84"/>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49" customFormat="1" ht="15" customHeight="1" x14ac:dyDescent="0.25">
      <c r="A36" s="69"/>
      <c r="B36" s="70" t="s">
        <v>54</v>
      </c>
      <c r="C36" s="70"/>
      <c r="D36" s="45"/>
      <c r="E36" s="47"/>
      <c r="F36" s="48">
        <f>SUM(F33:F35)</f>
        <v>2265</v>
      </c>
      <c r="G36" s="85"/>
      <c r="H36" s="48">
        <f t="shared" ref="H36:R36" si="3">SUM(H33:H35)</f>
        <v>3946.9999989999997</v>
      </c>
      <c r="I36" s="48">
        <f t="shared" si="3"/>
        <v>2995.5460000000003</v>
      </c>
      <c r="J36" s="48">
        <f t="shared" si="3"/>
        <v>951.45399899999984</v>
      </c>
      <c r="K36" s="48">
        <f t="shared" si="3"/>
        <v>3419</v>
      </c>
      <c r="L36" s="48">
        <f t="shared" si="3"/>
        <v>3736.1513330000002</v>
      </c>
      <c r="M36" s="48">
        <f t="shared" si="3"/>
        <v>3363</v>
      </c>
      <c r="N36" s="48">
        <f t="shared" si="3"/>
        <v>3680.1513329999998</v>
      </c>
      <c r="O36" s="48">
        <f t="shared" si="3"/>
        <v>3918</v>
      </c>
      <c r="P36" s="48">
        <f t="shared" si="3"/>
        <v>4235.1513329999998</v>
      </c>
      <c r="Q36" s="48">
        <f t="shared" si="3"/>
        <v>16911.999999</v>
      </c>
      <c r="R36" s="48">
        <f t="shared" si="3"/>
        <v>16911.999999</v>
      </c>
      <c r="S36" s="48">
        <v>16911.999999</v>
      </c>
      <c r="T36" s="88">
        <f>+S36-R36</f>
        <v>0</v>
      </c>
    </row>
    <row r="37" spans="1:20" s="22" customFormat="1" ht="30" customHeight="1" x14ac:dyDescent="0.25">
      <c r="A37" s="236" t="s">
        <v>27</v>
      </c>
      <c r="B37" s="232" t="s">
        <v>28</v>
      </c>
      <c r="C37" s="232" t="s">
        <v>71</v>
      </c>
      <c r="D37" s="18" t="s">
        <v>29</v>
      </c>
      <c r="E37" s="21"/>
      <c r="F37" s="30">
        <v>1039</v>
      </c>
      <c r="G37" s="84"/>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37"/>
      <c r="B38" s="239"/>
      <c r="C38" s="239"/>
      <c r="D38" s="18" t="s">
        <v>30</v>
      </c>
      <c r="E38" s="21"/>
      <c r="F38" s="30">
        <v>257</v>
      </c>
      <c r="G38" s="84"/>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2">
        <f>+F38+H38+K38+M38+O38</f>
        <v>1771</v>
      </c>
      <c r="R38" s="29">
        <f t="shared" si="2"/>
        <v>1771</v>
      </c>
      <c r="S38" s="11"/>
    </row>
    <row r="39" spans="1:20" ht="60" x14ac:dyDescent="0.25">
      <c r="A39" s="238"/>
      <c r="B39" s="233"/>
      <c r="C39" s="233"/>
      <c r="D39" s="18" t="s">
        <v>31</v>
      </c>
      <c r="E39" s="14"/>
      <c r="F39" s="29">
        <v>2758</v>
      </c>
      <c r="G39" s="81"/>
      <c r="H39" s="29">
        <v>2547</v>
      </c>
      <c r="I39" s="31">
        <v>1897.029</v>
      </c>
      <c r="J39" s="31">
        <f>+H39-I39</f>
        <v>649.971</v>
      </c>
      <c r="K39" s="29">
        <v>0</v>
      </c>
      <c r="L39" s="31">
        <f>+($J$39/3)+K39</f>
        <v>216.65700000000001</v>
      </c>
      <c r="M39" s="27">
        <v>0</v>
      </c>
      <c r="N39" s="31">
        <f>+($J$39/3)+M39</f>
        <v>216.65700000000001</v>
      </c>
      <c r="O39" s="29">
        <v>0</v>
      </c>
      <c r="P39" s="31">
        <f>+($J$39/3)+O39</f>
        <v>216.65700000000001</v>
      </c>
      <c r="Q39" s="63">
        <f>+F39+H39+K39+M39+O39</f>
        <v>5305</v>
      </c>
      <c r="R39" s="29">
        <f t="shared" si="2"/>
        <v>5305.0000000000009</v>
      </c>
      <c r="S39" s="11"/>
    </row>
    <row r="40" spans="1:20" s="6" customFormat="1" ht="18.75" customHeight="1" x14ac:dyDescent="0.25">
      <c r="A40" s="52"/>
      <c r="B40" s="53" t="s">
        <v>55</v>
      </c>
      <c r="C40" s="53"/>
      <c r="D40" s="45"/>
      <c r="E40" s="40"/>
      <c r="F40" s="42">
        <f>SUM(F37:F39)</f>
        <v>4054</v>
      </c>
      <c r="G40" s="83"/>
      <c r="H40" s="42">
        <f t="shared" ref="H40:R40" si="4">SUM(H37:H39)</f>
        <v>8784</v>
      </c>
      <c r="I40" s="42">
        <f t="shared" si="4"/>
        <v>6542.4040000000005</v>
      </c>
      <c r="J40" s="42">
        <f t="shared" si="4"/>
        <v>2241.596</v>
      </c>
      <c r="K40" s="42">
        <f t="shared" si="4"/>
        <v>9662</v>
      </c>
      <c r="L40" s="42">
        <f t="shared" si="4"/>
        <v>10409.198666666665</v>
      </c>
      <c r="M40" s="86">
        <f t="shared" si="4"/>
        <v>4930</v>
      </c>
      <c r="N40" s="86">
        <f t="shared" si="4"/>
        <v>5677.1986666666662</v>
      </c>
      <c r="O40" s="42">
        <f t="shared" si="4"/>
        <v>1850</v>
      </c>
      <c r="P40" s="42">
        <f t="shared" si="4"/>
        <v>2597.1986666666671</v>
      </c>
      <c r="Q40" s="64">
        <f t="shared" si="4"/>
        <v>29280</v>
      </c>
      <c r="R40" s="64">
        <f t="shared" si="4"/>
        <v>29280</v>
      </c>
      <c r="S40" s="64">
        <v>29280</v>
      </c>
      <c r="T40" s="88">
        <f>+S40-R40</f>
        <v>0</v>
      </c>
    </row>
    <row r="41" spans="1:20" x14ac:dyDescent="0.25">
      <c r="B41" s="50"/>
      <c r="C41" s="50"/>
    </row>
    <row r="42" spans="1:20" ht="12.75" customHeight="1" x14ac:dyDescent="0.25">
      <c r="A42" s="6" t="s">
        <v>32</v>
      </c>
      <c r="B42" s="6" t="s">
        <v>33</v>
      </c>
      <c r="C42" s="6"/>
      <c r="D42" s="7"/>
      <c r="E42" s="8"/>
      <c r="F42" s="7"/>
      <c r="G42" s="8"/>
      <c r="H42" s="7"/>
      <c r="I42" s="8"/>
      <c r="J42" s="8"/>
      <c r="K42" s="7"/>
      <c r="M42" s="7"/>
      <c r="O42" s="7"/>
      <c r="Q42" s="7"/>
    </row>
    <row r="43" spans="1:20" ht="12.75" customHeight="1" x14ac:dyDescent="0.25">
      <c r="A43" s="9">
        <v>42</v>
      </c>
      <c r="B43" s="6" t="s">
        <v>34</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24" t="s">
        <v>2</v>
      </c>
      <c r="B45" s="224" t="s">
        <v>3</v>
      </c>
      <c r="C45" s="229" t="s">
        <v>67</v>
      </c>
      <c r="D45" s="224" t="s">
        <v>19</v>
      </c>
      <c r="E45" s="10"/>
      <c r="F45" s="71">
        <v>2016</v>
      </c>
      <c r="G45" s="79"/>
      <c r="H45" s="224">
        <v>2017</v>
      </c>
      <c r="I45" s="224"/>
      <c r="J45" s="224"/>
      <c r="K45" s="224">
        <v>2018</v>
      </c>
      <c r="L45" s="224"/>
      <c r="M45" s="224">
        <v>2019</v>
      </c>
      <c r="N45" s="224"/>
      <c r="O45" s="224">
        <v>2020</v>
      </c>
      <c r="P45" s="224"/>
      <c r="Q45" s="224" t="s">
        <v>78</v>
      </c>
      <c r="R45" s="224"/>
    </row>
    <row r="46" spans="1:20" s="11" customFormat="1" ht="15" customHeight="1" x14ac:dyDescent="0.25">
      <c r="A46" s="224"/>
      <c r="B46" s="224"/>
      <c r="C46" s="230"/>
      <c r="D46" s="224"/>
      <c r="E46" s="10"/>
      <c r="F46" s="227" t="s">
        <v>8</v>
      </c>
      <c r="G46" s="79"/>
      <c r="H46" s="227" t="s">
        <v>8</v>
      </c>
      <c r="I46" s="223" t="s">
        <v>84</v>
      </c>
      <c r="J46" s="223" t="s">
        <v>80</v>
      </c>
      <c r="K46" s="227" t="s">
        <v>8</v>
      </c>
      <c r="L46" s="223" t="s">
        <v>79</v>
      </c>
      <c r="M46" s="227" t="s">
        <v>8</v>
      </c>
      <c r="N46" s="223" t="s">
        <v>79</v>
      </c>
      <c r="O46" s="223" t="s">
        <v>8</v>
      </c>
      <c r="P46" s="223" t="s">
        <v>79</v>
      </c>
      <c r="Q46" s="227" t="s">
        <v>8</v>
      </c>
      <c r="R46" s="223" t="s">
        <v>79</v>
      </c>
    </row>
    <row r="47" spans="1:20" s="11" customFormat="1" ht="47.25" customHeight="1" x14ac:dyDescent="0.25">
      <c r="A47" s="224"/>
      <c r="B47" s="224"/>
      <c r="C47" s="231"/>
      <c r="D47" s="224"/>
      <c r="E47" s="12"/>
      <c r="F47" s="228"/>
      <c r="G47" s="80"/>
      <c r="H47" s="228"/>
      <c r="I47" s="223"/>
      <c r="J47" s="223"/>
      <c r="K47" s="228"/>
      <c r="L47" s="223"/>
      <c r="M47" s="228"/>
      <c r="N47" s="223"/>
      <c r="O47" s="223"/>
      <c r="P47" s="223"/>
      <c r="Q47" s="228"/>
      <c r="R47" s="223"/>
    </row>
    <row r="48" spans="1:20" ht="60" customHeight="1" x14ac:dyDescent="0.25">
      <c r="A48" s="234" t="s">
        <v>35</v>
      </c>
      <c r="B48" s="232" t="s">
        <v>36</v>
      </c>
      <c r="C48" s="232" t="s">
        <v>72</v>
      </c>
      <c r="D48" s="37" t="s">
        <v>37</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35"/>
      <c r="B49" s="233"/>
      <c r="C49" s="233"/>
      <c r="D49" s="37" t="s">
        <v>38</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2"/>
      <c r="B50" s="53" t="s">
        <v>56</v>
      </c>
      <c r="C50" s="53"/>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88">
        <f>+S50-R50</f>
        <v>0</v>
      </c>
    </row>
    <row r="51" spans="1:20" s="6" customFormat="1" ht="18.75" customHeight="1" x14ac:dyDescent="0.25">
      <c r="A51" s="54"/>
      <c r="B51" s="55"/>
      <c r="C51" s="55"/>
      <c r="D51" s="56"/>
      <c r="E51" s="40"/>
      <c r="F51" s="57"/>
      <c r="G51" s="43"/>
      <c r="H51" s="57"/>
      <c r="I51" s="51"/>
      <c r="J51" s="51"/>
      <c r="K51" s="57"/>
      <c r="M51" s="58"/>
      <c r="O51" s="57"/>
      <c r="Q51" s="59"/>
    </row>
    <row r="52" spans="1:20" ht="12.75" customHeight="1" x14ac:dyDescent="0.25">
      <c r="A52" s="6" t="s">
        <v>32</v>
      </c>
      <c r="B52" s="6" t="s">
        <v>33</v>
      </c>
      <c r="C52" s="6"/>
      <c r="D52" s="7"/>
      <c r="E52" s="8"/>
      <c r="F52" s="7"/>
      <c r="G52" s="8"/>
      <c r="H52" s="7"/>
      <c r="I52" s="8"/>
      <c r="J52" s="8"/>
      <c r="K52" s="7"/>
      <c r="O52" s="7"/>
      <c r="Q52" s="7"/>
    </row>
    <row r="53" spans="1:20" ht="12.75" customHeight="1" x14ac:dyDescent="0.25">
      <c r="A53" s="9">
        <v>43</v>
      </c>
      <c r="B53" s="6" t="s">
        <v>40</v>
      </c>
      <c r="C53" s="6"/>
      <c r="D53" s="7"/>
      <c r="E53" s="8"/>
      <c r="F53" s="7"/>
      <c r="G53" s="8"/>
      <c r="H53" s="7"/>
      <c r="I53" s="8"/>
      <c r="J53" s="8"/>
      <c r="K53" s="7"/>
      <c r="M53" s="7"/>
      <c r="O53" s="7"/>
      <c r="Q53" s="7"/>
    </row>
    <row r="54" spans="1:20" s="11" customFormat="1" ht="29.25" customHeight="1" x14ac:dyDescent="0.25">
      <c r="A54" s="224" t="s">
        <v>2</v>
      </c>
      <c r="B54" s="224" t="s">
        <v>3</v>
      </c>
      <c r="C54" s="229" t="s">
        <v>67</v>
      </c>
      <c r="D54" s="224" t="s">
        <v>19</v>
      </c>
      <c r="E54" s="10"/>
      <c r="F54" s="71">
        <v>2016</v>
      </c>
      <c r="G54" s="79"/>
      <c r="H54" s="224">
        <v>2017</v>
      </c>
      <c r="I54" s="224"/>
      <c r="J54" s="224"/>
      <c r="K54" s="224">
        <v>2018</v>
      </c>
      <c r="L54" s="224"/>
      <c r="M54" s="224">
        <v>2019</v>
      </c>
      <c r="N54" s="224"/>
      <c r="O54" s="224">
        <v>2020</v>
      </c>
      <c r="P54" s="224"/>
      <c r="Q54" s="224" t="s">
        <v>78</v>
      </c>
      <c r="R54" s="224"/>
    </row>
    <row r="55" spans="1:20" s="11" customFormat="1" ht="15" customHeight="1" x14ac:dyDescent="0.25">
      <c r="A55" s="224"/>
      <c r="B55" s="224"/>
      <c r="C55" s="230"/>
      <c r="D55" s="224"/>
      <c r="E55" s="10"/>
      <c r="F55" s="223" t="s">
        <v>8</v>
      </c>
      <c r="G55" s="79"/>
      <c r="H55" s="223" t="s">
        <v>8</v>
      </c>
      <c r="I55" s="223" t="s">
        <v>84</v>
      </c>
      <c r="J55" s="223" t="s">
        <v>80</v>
      </c>
      <c r="K55" s="223" t="s">
        <v>8</v>
      </c>
      <c r="L55" s="223" t="s">
        <v>79</v>
      </c>
      <c r="M55" s="223" t="s">
        <v>8</v>
      </c>
      <c r="N55" s="223" t="s">
        <v>79</v>
      </c>
      <c r="O55" s="223" t="s">
        <v>8</v>
      </c>
      <c r="P55" s="223" t="s">
        <v>79</v>
      </c>
      <c r="Q55" s="223" t="s">
        <v>8</v>
      </c>
      <c r="R55" s="223" t="s">
        <v>79</v>
      </c>
    </row>
    <row r="56" spans="1:20" s="11" customFormat="1" ht="47.25" customHeight="1" x14ac:dyDescent="0.25">
      <c r="A56" s="224"/>
      <c r="B56" s="224"/>
      <c r="C56" s="231"/>
      <c r="D56" s="224"/>
      <c r="E56" s="12"/>
      <c r="F56" s="223"/>
      <c r="G56" s="80"/>
      <c r="H56" s="223"/>
      <c r="I56" s="223"/>
      <c r="J56" s="223"/>
      <c r="K56" s="223"/>
      <c r="L56" s="223"/>
      <c r="M56" s="223"/>
      <c r="N56" s="223"/>
      <c r="O56" s="223"/>
      <c r="P56" s="223"/>
      <c r="Q56" s="223"/>
      <c r="R56" s="223"/>
    </row>
    <row r="57" spans="1:20" ht="88.5" customHeight="1" x14ac:dyDescent="0.25">
      <c r="A57" s="234" t="s">
        <v>39</v>
      </c>
      <c r="B57" s="232" t="s">
        <v>13</v>
      </c>
      <c r="C57" s="232" t="s">
        <v>73</v>
      </c>
      <c r="D57" s="37" t="s">
        <v>41</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35"/>
      <c r="B58" s="233"/>
      <c r="C58" s="233"/>
      <c r="D58" s="37" t="s">
        <v>42</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2"/>
      <c r="B59" s="53" t="s">
        <v>57</v>
      </c>
      <c r="C59" s="53"/>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88">
        <f>+S59-R59</f>
        <v>0</v>
      </c>
    </row>
    <row r="60" spans="1:20" s="6" customFormat="1" ht="18.75" customHeight="1" x14ac:dyDescent="0.25">
      <c r="A60" s="54"/>
      <c r="B60" s="55"/>
      <c r="C60" s="55"/>
      <c r="D60" s="56"/>
      <c r="E60" s="40"/>
      <c r="F60" s="57"/>
      <c r="G60" s="43"/>
      <c r="H60" s="57"/>
      <c r="I60" s="51"/>
      <c r="J60" s="51"/>
      <c r="K60" s="57"/>
      <c r="M60" s="57"/>
      <c r="O60" s="57"/>
      <c r="Q60" s="57"/>
    </row>
    <row r="61" spans="1:20" ht="12.75" customHeight="1" x14ac:dyDescent="0.25">
      <c r="A61" s="6" t="s">
        <v>32</v>
      </c>
      <c r="B61" s="6" t="s">
        <v>33</v>
      </c>
      <c r="C61" s="6"/>
      <c r="D61" s="7"/>
      <c r="E61" s="8"/>
      <c r="F61" s="7"/>
      <c r="G61" s="8"/>
      <c r="H61" s="7"/>
      <c r="I61" s="8"/>
      <c r="J61" s="8"/>
      <c r="K61" s="7"/>
      <c r="M61" s="7"/>
      <c r="O61" s="7"/>
      <c r="Q61" s="7"/>
    </row>
    <row r="62" spans="1:20" ht="12.75" customHeight="1" x14ac:dyDescent="0.25">
      <c r="A62" s="9">
        <v>44</v>
      </c>
      <c r="B62" s="6" t="s">
        <v>43</v>
      </c>
      <c r="C62" s="6"/>
      <c r="D62" s="7"/>
      <c r="E62" s="8"/>
      <c r="F62" s="7"/>
      <c r="G62" s="8"/>
      <c r="H62" s="7"/>
      <c r="I62" s="8"/>
      <c r="J62" s="8"/>
      <c r="K62" s="7"/>
      <c r="M62" s="7"/>
      <c r="O62" s="7"/>
      <c r="Q62" s="7"/>
    </row>
    <row r="63" spans="1:20" s="11" customFormat="1" ht="29.25" customHeight="1" x14ac:dyDescent="0.25">
      <c r="A63" s="224" t="s">
        <v>2</v>
      </c>
      <c r="B63" s="224" t="s">
        <v>3</v>
      </c>
      <c r="C63" s="229" t="s">
        <v>67</v>
      </c>
      <c r="D63" s="224" t="s">
        <v>19</v>
      </c>
      <c r="E63" s="10"/>
      <c r="F63" s="71">
        <v>2016</v>
      </c>
      <c r="G63" s="79"/>
      <c r="H63" s="224">
        <v>2017</v>
      </c>
      <c r="I63" s="224"/>
      <c r="J63" s="224"/>
      <c r="K63" s="224">
        <v>2018</v>
      </c>
      <c r="L63" s="224"/>
      <c r="M63" s="224">
        <v>2019</v>
      </c>
      <c r="N63" s="224"/>
      <c r="O63" s="224">
        <v>2020</v>
      </c>
      <c r="P63" s="224"/>
      <c r="Q63" s="224" t="s">
        <v>78</v>
      </c>
      <c r="R63" s="224"/>
    </row>
    <row r="64" spans="1:20" s="11" customFormat="1" ht="15" customHeight="1" x14ac:dyDescent="0.25">
      <c r="A64" s="224"/>
      <c r="B64" s="224"/>
      <c r="C64" s="230"/>
      <c r="D64" s="224"/>
      <c r="E64" s="10"/>
      <c r="F64" s="223" t="s">
        <v>8</v>
      </c>
      <c r="G64" s="79"/>
      <c r="H64" s="223" t="s">
        <v>8</v>
      </c>
      <c r="I64" s="223" t="s">
        <v>84</v>
      </c>
      <c r="J64" s="223" t="s">
        <v>80</v>
      </c>
      <c r="K64" s="223" t="s">
        <v>8</v>
      </c>
      <c r="L64" s="223" t="s">
        <v>79</v>
      </c>
      <c r="M64" s="223" t="s">
        <v>8</v>
      </c>
      <c r="N64" s="223" t="s">
        <v>79</v>
      </c>
      <c r="O64" s="223" t="s">
        <v>8</v>
      </c>
      <c r="P64" s="223" t="s">
        <v>79</v>
      </c>
      <c r="Q64" s="223" t="s">
        <v>8</v>
      </c>
      <c r="R64" s="223" t="s">
        <v>79</v>
      </c>
    </row>
    <row r="65" spans="1:20" s="11" customFormat="1" ht="47.25" customHeight="1" x14ac:dyDescent="0.25">
      <c r="A65" s="224"/>
      <c r="B65" s="224"/>
      <c r="C65" s="231"/>
      <c r="D65" s="224"/>
      <c r="E65" s="12"/>
      <c r="F65" s="223"/>
      <c r="G65" s="80"/>
      <c r="H65" s="223"/>
      <c r="I65" s="223"/>
      <c r="J65" s="223"/>
      <c r="K65" s="223"/>
      <c r="L65" s="223"/>
      <c r="M65" s="223"/>
      <c r="N65" s="223"/>
      <c r="O65" s="223"/>
      <c r="P65" s="223"/>
      <c r="Q65" s="223"/>
      <c r="R65" s="223"/>
    </row>
    <row r="66" spans="1:20" ht="150.75" customHeight="1" x14ac:dyDescent="0.25">
      <c r="A66" s="38" t="s">
        <v>44</v>
      </c>
      <c r="B66" s="24" t="s">
        <v>45</v>
      </c>
      <c r="C66" s="24" t="s">
        <v>74</v>
      </c>
      <c r="D66" s="37" t="s">
        <v>46</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2"/>
      <c r="B67" s="53" t="s">
        <v>58</v>
      </c>
      <c r="C67" s="53"/>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88">
        <f>+S67-R67</f>
        <v>0</v>
      </c>
    </row>
    <row r="69" spans="1:20" x14ac:dyDescent="0.25">
      <c r="F69" s="25">
        <f>+F21+F32+F36+F40+F50+F59+F67</f>
        <v>54582.299831000004</v>
      </c>
      <c r="M69" s="6"/>
      <c r="N69" s="6"/>
      <c r="O69" s="6"/>
      <c r="P69" s="6"/>
      <c r="Q69" s="25">
        <f>+Q21+Q32+Q36+Q40+Q50+Q59+Q67</f>
        <v>305007.99585200002</v>
      </c>
      <c r="R69" s="25">
        <f>+R21+R32+R36+R40+R50+R59+R67</f>
        <v>305007.99585200002</v>
      </c>
      <c r="S69" s="87">
        <f>+Q69-R69</f>
        <v>0</v>
      </c>
    </row>
    <row r="70" spans="1:20" x14ac:dyDescent="0.25">
      <c r="K70" s="25"/>
      <c r="M70" s="25"/>
      <c r="N70" s="6"/>
      <c r="O70" s="25"/>
      <c r="P70" s="6"/>
      <c r="Q70" s="25"/>
    </row>
    <row r="72" spans="1:20" x14ac:dyDescent="0.25">
      <c r="F72" s="89">
        <f>+F66-403.513049</f>
        <v>1074.2237209999998</v>
      </c>
    </row>
  </sheetData>
  <mergeCells count="129">
    <mergeCell ref="F55:F56"/>
    <mergeCell ref="F64:F65"/>
    <mergeCell ref="I64:I65"/>
    <mergeCell ref="J64:J65"/>
    <mergeCell ref="H63:J63"/>
    <mergeCell ref="H45:J45"/>
    <mergeCell ref="L64:L65"/>
    <mergeCell ref="N64:N65"/>
    <mergeCell ref="P64:P65"/>
    <mergeCell ref="I46:I47"/>
    <mergeCell ref="J46:J47"/>
    <mergeCell ref="H64:H6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63:A65"/>
    <mergeCell ref="B63:B65"/>
    <mergeCell ref="C63:C65"/>
    <mergeCell ref="D63:D65"/>
    <mergeCell ref="C57:C58"/>
    <mergeCell ref="A57:A58"/>
    <mergeCell ref="B57:B58"/>
    <mergeCell ref="C54:C56"/>
    <mergeCell ref="D54:D56"/>
    <mergeCell ref="A54:A56"/>
    <mergeCell ref="B54:B56"/>
    <mergeCell ref="O13:P13"/>
    <mergeCell ref="R14:R15"/>
    <mergeCell ref="Q13:R13"/>
    <mergeCell ref="O14:O15"/>
    <mergeCell ref="Q14:Q15"/>
    <mergeCell ref="K14:K15"/>
    <mergeCell ref="L14:L15"/>
    <mergeCell ref="M14:M15"/>
    <mergeCell ref="N14:N15"/>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s>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AR98"/>
  <sheetViews>
    <sheetView tabSelected="1" topLeftCell="A2" zoomScale="78" zoomScaleNormal="78" workbookViewId="0">
      <pane xSplit="6" ySplit="15" topLeftCell="R17" activePane="bottomRight" state="frozen"/>
      <selection activeCell="A2" sqref="A2"/>
      <selection pane="topRight" activeCell="G2" sqref="G2"/>
      <selection pane="bottomLeft" activeCell="A17" sqref="A17"/>
      <selection pane="bottomRight" activeCell="A2" sqref="A2:AL2"/>
    </sheetView>
  </sheetViews>
  <sheetFormatPr baseColWidth="10" defaultColWidth="11.42578125" defaultRowHeight="15" x14ac:dyDescent="0.25"/>
  <cols>
    <col min="1" max="1" width="7.42578125" style="121" customWidth="1"/>
    <col min="2" max="2" width="20.28515625" style="8" hidden="1" customWidth="1"/>
    <col min="3" max="3" width="15.7109375" style="8" hidden="1" customWidth="1"/>
    <col min="4" max="4" width="39.42578125" style="8" hidden="1" customWidth="1"/>
    <col min="5" max="5" width="47.85546875" style="8" hidden="1" customWidth="1"/>
    <col min="6" max="6" width="55.5703125" style="8" customWidth="1"/>
    <col min="7" max="7" width="35.85546875" style="8" customWidth="1"/>
    <col min="8" max="8" width="44.28515625" style="8" hidden="1" customWidth="1"/>
    <col min="9" max="9" width="1.85546875" style="7" customWidth="1"/>
    <col min="10" max="10" width="10.7109375" style="121" customWidth="1"/>
    <col min="11" max="11" width="10.7109375" style="8" customWidth="1"/>
    <col min="12" max="12" width="19.7109375" style="154" customWidth="1"/>
    <col min="13" max="13" width="18.7109375" style="8" customWidth="1"/>
    <col min="14" max="14" width="0.5703125" style="7" customWidth="1"/>
    <col min="15" max="16" width="10.7109375" style="8" customWidth="1"/>
    <col min="17" max="17" width="20.5703125" style="8" bestFit="1" customWidth="1"/>
    <col min="18" max="18" width="16.28515625" style="8" bestFit="1" customWidth="1"/>
    <col min="19" max="19" width="0.5703125" style="8" customWidth="1"/>
    <col min="20" max="21" width="10.7109375" style="8" customWidth="1"/>
    <col min="22" max="22" width="20.140625" style="8" bestFit="1" customWidth="1"/>
    <col min="23" max="23" width="14.7109375" style="8" bestFit="1" customWidth="1"/>
    <col min="24" max="24" width="0.5703125" style="8" customWidth="1"/>
    <col min="25" max="26" width="10.7109375" style="8" customWidth="1"/>
    <col min="27" max="27" width="20.5703125" style="8" bestFit="1" customWidth="1"/>
    <col min="28" max="28" width="13.140625" style="8" bestFit="1" customWidth="1"/>
    <col min="29" max="29" width="0.85546875" style="8" customWidth="1"/>
    <col min="30" max="31" width="10.7109375" style="8" customWidth="1"/>
    <col min="32" max="32" width="19" style="8" customWidth="1"/>
    <col min="33" max="33" width="18.7109375" style="8" bestFit="1" customWidth="1"/>
    <col min="34" max="34" width="1.42578125" style="8" customWidth="1"/>
    <col min="35" max="35" width="15.28515625" style="92" customWidth="1"/>
    <col min="36" max="36" width="15.5703125" style="92" customWidth="1"/>
    <col min="37" max="37" width="25" style="92" customWidth="1"/>
    <col min="38" max="38" width="20.85546875" style="92" customWidth="1"/>
    <col min="39" max="39" width="11.42578125" style="92" hidden="1" customWidth="1"/>
    <col min="40" max="40" width="14.7109375" style="8" hidden="1" customWidth="1"/>
    <col min="41" max="44" width="11.42578125" style="8" hidden="1" customWidth="1"/>
    <col min="45" max="45" width="0" style="8" hidden="1" customWidth="1"/>
    <col min="46" max="16384" width="11.42578125" style="8"/>
  </cols>
  <sheetData>
    <row r="1" spans="1:40" hidden="1" x14ac:dyDescent="0.25">
      <c r="A1" s="8"/>
      <c r="L1" s="163">
        <v>1000000</v>
      </c>
    </row>
    <row r="2" spans="1:40" s="3" customFormat="1" x14ac:dyDescent="0.25">
      <c r="A2" s="279" t="s">
        <v>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1"/>
      <c r="AM2" s="93"/>
    </row>
    <row r="3" spans="1:40" s="3" customFormat="1" x14ac:dyDescent="0.25">
      <c r="A3" s="279" t="s">
        <v>92</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1"/>
      <c r="AM3" s="93"/>
    </row>
    <row r="4" spans="1:40" s="3" customFormat="1" x14ac:dyDescent="0.25">
      <c r="A4" s="279" t="s">
        <v>0</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1"/>
      <c r="AM4" s="93"/>
    </row>
    <row r="5" spans="1:40" s="3" customFormat="1" x14ac:dyDescent="0.25">
      <c r="A5" s="279" t="s">
        <v>93</v>
      </c>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1"/>
      <c r="AM5" s="93"/>
    </row>
    <row r="6" spans="1:40" s="3" customFormat="1" x14ac:dyDescent="0.25">
      <c r="A6" s="279"/>
      <c r="B6" s="280"/>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1"/>
      <c r="AM6" s="93"/>
    </row>
    <row r="7" spans="1:40" s="5" customFormat="1" ht="15.75" customHeight="1" x14ac:dyDescent="0.2">
      <c r="A7" s="273"/>
      <c r="B7" s="273"/>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94"/>
    </row>
    <row r="8" spans="1:40" s="3" customFormat="1" ht="12.75" hidden="1" x14ac:dyDescent="0.2">
      <c r="A8" s="140"/>
      <c r="B8" s="4"/>
      <c r="C8" s="4"/>
      <c r="D8" s="4"/>
      <c r="E8" s="4"/>
      <c r="F8" s="4"/>
      <c r="G8" s="4"/>
      <c r="H8" s="4"/>
      <c r="I8" s="2"/>
      <c r="J8" s="140"/>
      <c r="K8" s="2"/>
      <c r="L8" s="155"/>
      <c r="M8" s="2"/>
      <c r="N8" s="2"/>
      <c r="O8" s="2"/>
      <c r="P8" s="2"/>
      <c r="Q8" s="2"/>
      <c r="R8" s="2"/>
      <c r="T8" s="102"/>
      <c r="U8" s="102"/>
      <c r="V8" s="102"/>
      <c r="W8" s="102"/>
      <c r="Y8" s="102"/>
      <c r="Z8" s="102"/>
      <c r="AA8" s="102"/>
      <c r="AB8" s="102"/>
      <c r="AD8" s="2"/>
      <c r="AE8" s="2"/>
      <c r="AF8" s="102"/>
      <c r="AG8" s="102"/>
      <c r="AI8" s="109"/>
      <c r="AJ8" s="109"/>
      <c r="AK8" s="109"/>
      <c r="AL8" s="110"/>
      <c r="AM8" s="93"/>
    </row>
    <row r="9" spans="1:40" hidden="1" x14ac:dyDescent="0.25">
      <c r="A9" s="142">
        <v>1</v>
      </c>
      <c r="B9" s="122" t="s">
        <v>94</v>
      </c>
      <c r="C9" s="269" t="s">
        <v>97</v>
      </c>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row>
    <row r="10" spans="1:40" hidden="1" x14ac:dyDescent="0.25">
      <c r="A10" s="141">
        <v>8</v>
      </c>
      <c r="B10" s="6" t="s">
        <v>157</v>
      </c>
      <c r="C10" s="269" t="s">
        <v>158</v>
      </c>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row>
    <row r="11" spans="1:40" hidden="1" x14ac:dyDescent="0.25">
      <c r="A11" s="141">
        <v>19</v>
      </c>
      <c r="B11" s="6" t="s">
        <v>95</v>
      </c>
      <c r="C11" s="269" t="s">
        <v>156</v>
      </c>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row>
    <row r="12" spans="1:40" ht="30" hidden="1" x14ac:dyDescent="0.25">
      <c r="A12" s="141">
        <v>3</v>
      </c>
      <c r="B12" s="123" t="s">
        <v>98</v>
      </c>
      <c r="C12" s="269" t="s">
        <v>96</v>
      </c>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row>
    <row r="13" spans="1:40" ht="13.9" customHeight="1" x14ac:dyDescent="0.25">
      <c r="F13" s="7"/>
      <c r="G13" s="7"/>
      <c r="H13" s="7"/>
      <c r="I13" s="8"/>
      <c r="J13" s="164"/>
      <c r="K13" s="7"/>
      <c r="L13" s="156"/>
      <c r="M13" s="7"/>
      <c r="N13" s="8"/>
      <c r="O13" s="7"/>
      <c r="P13" s="7"/>
      <c r="Q13" s="7"/>
      <c r="R13" s="91">
        <v>1000000</v>
      </c>
      <c r="T13" s="91"/>
      <c r="U13" s="91"/>
      <c r="V13" s="91">
        <v>1000000</v>
      </c>
      <c r="W13" s="91">
        <v>1000000</v>
      </c>
      <c r="Y13" s="91"/>
      <c r="Z13" s="91"/>
      <c r="AA13" s="91"/>
      <c r="AB13" s="91">
        <v>1000000</v>
      </c>
      <c r="AD13" s="7"/>
      <c r="AE13" s="7"/>
      <c r="AF13" s="91"/>
      <c r="AG13" s="91">
        <v>1000000</v>
      </c>
      <c r="AI13" s="95"/>
      <c r="AJ13" s="95"/>
      <c r="AK13" s="95"/>
    </row>
    <row r="14" spans="1:40" s="11" customFormat="1" ht="27" customHeight="1" x14ac:dyDescent="0.25">
      <c r="A14" s="254" t="s">
        <v>2</v>
      </c>
      <c r="B14" s="229" t="s">
        <v>3</v>
      </c>
      <c r="C14" s="267" t="s">
        <v>87</v>
      </c>
      <c r="D14" s="229" t="s">
        <v>67</v>
      </c>
      <c r="E14" s="267" t="s">
        <v>170</v>
      </c>
      <c r="F14" s="251" t="s">
        <v>101</v>
      </c>
      <c r="G14" s="276" t="s">
        <v>90</v>
      </c>
      <c r="H14" s="224" t="s">
        <v>171</v>
      </c>
      <c r="I14" s="10"/>
      <c r="J14" s="224">
        <v>2020</v>
      </c>
      <c r="K14" s="224"/>
      <c r="L14" s="224"/>
      <c r="M14" s="224"/>
      <c r="N14" s="10"/>
      <c r="O14" s="224">
        <v>2021</v>
      </c>
      <c r="P14" s="224"/>
      <c r="Q14" s="224"/>
      <c r="R14" s="224"/>
      <c r="T14" s="224">
        <v>2022</v>
      </c>
      <c r="U14" s="224"/>
      <c r="V14" s="224"/>
      <c r="W14" s="224"/>
      <c r="Y14" s="224">
        <v>2023</v>
      </c>
      <c r="Z14" s="224"/>
      <c r="AA14" s="224"/>
      <c r="AB14" s="224"/>
      <c r="AD14" s="225">
        <v>2024</v>
      </c>
      <c r="AE14" s="226"/>
      <c r="AF14" s="226"/>
      <c r="AG14" s="226"/>
      <c r="AI14" s="270" t="s">
        <v>102</v>
      </c>
      <c r="AJ14" s="270"/>
      <c r="AK14" s="270"/>
      <c r="AL14" s="270"/>
      <c r="AM14" s="98"/>
    </row>
    <row r="15" spans="1:40" s="11" customFormat="1" ht="16.5" customHeight="1" x14ac:dyDescent="0.25">
      <c r="A15" s="255"/>
      <c r="B15" s="230"/>
      <c r="C15" s="252"/>
      <c r="D15" s="230"/>
      <c r="E15" s="252"/>
      <c r="F15" s="252"/>
      <c r="G15" s="276"/>
      <c r="H15" s="224"/>
      <c r="I15" s="10"/>
      <c r="J15" s="223" t="s">
        <v>4</v>
      </c>
      <c r="K15" s="223"/>
      <c r="L15" s="223" t="s">
        <v>61</v>
      </c>
      <c r="M15" s="223"/>
      <c r="N15" s="10"/>
      <c r="O15" s="223" t="s">
        <v>6</v>
      </c>
      <c r="P15" s="223"/>
      <c r="Q15" s="223" t="s">
        <v>8</v>
      </c>
      <c r="R15" s="223"/>
      <c r="S15" s="10"/>
      <c r="T15" s="223" t="s">
        <v>7</v>
      </c>
      <c r="U15" s="223"/>
      <c r="V15" s="223" t="s">
        <v>8</v>
      </c>
      <c r="W15" s="223"/>
      <c r="Y15" s="223" t="s">
        <v>7</v>
      </c>
      <c r="Z15" s="223"/>
      <c r="AA15" s="223" t="s">
        <v>8</v>
      </c>
      <c r="AB15" s="223"/>
      <c r="AD15" s="223" t="s">
        <v>7</v>
      </c>
      <c r="AE15" s="223"/>
      <c r="AF15" s="223" t="s">
        <v>8</v>
      </c>
      <c r="AG15" s="223"/>
      <c r="AI15" s="227" t="s">
        <v>4</v>
      </c>
      <c r="AJ15" s="227" t="s">
        <v>66</v>
      </c>
      <c r="AK15" s="227" t="s">
        <v>8</v>
      </c>
      <c r="AL15" s="227" t="s">
        <v>5</v>
      </c>
      <c r="AM15" s="98"/>
    </row>
    <row r="16" spans="1:40" s="11" customFormat="1" ht="33" x14ac:dyDescent="0.25">
      <c r="A16" s="256"/>
      <c r="B16" s="231"/>
      <c r="C16" s="268"/>
      <c r="D16" s="231"/>
      <c r="E16" s="268"/>
      <c r="F16" s="253"/>
      <c r="G16" s="276"/>
      <c r="H16" s="224"/>
      <c r="I16" s="12"/>
      <c r="J16" s="153" t="s">
        <v>59</v>
      </c>
      <c r="K16" s="114" t="s">
        <v>60</v>
      </c>
      <c r="L16" s="157" t="s">
        <v>64</v>
      </c>
      <c r="M16" s="114" t="s">
        <v>63</v>
      </c>
      <c r="N16" s="12"/>
      <c r="O16" s="61" t="s">
        <v>59</v>
      </c>
      <c r="P16" s="114" t="s">
        <v>60</v>
      </c>
      <c r="Q16" s="157" t="s">
        <v>64</v>
      </c>
      <c r="R16" s="114" t="s">
        <v>63</v>
      </c>
      <c r="S16" s="10"/>
      <c r="T16" s="61" t="s">
        <v>59</v>
      </c>
      <c r="U16" s="114" t="s">
        <v>60</v>
      </c>
      <c r="V16" s="157" t="s">
        <v>64</v>
      </c>
      <c r="W16" s="114" t="s">
        <v>63</v>
      </c>
      <c r="Y16" s="114" t="s">
        <v>59</v>
      </c>
      <c r="Z16" s="114" t="s">
        <v>60</v>
      </c>
      <c r="AA16" s="114" t="s">
        <v>64</v>
      </c>
      <c r="AB16" s="114" t="s">
        <v>63</v>
      </c>
      <c r="AD16" s="114" t="s">
        <v>59</v>
      </c>
      <c r="AE16" s="114" t="s">
        <v>60</v>
      </c>
      <c r="AF16" s="114" t="s">
        <v>64</v>
      </c>
      <c r="AG16" s="114" t="s">
        <v>63</v>
      </c>
      <c r="AI16" s="228"/>
      <c r="AJ16" s="228"/>
      <c r="AK16" s="228"/>
      <c r="AL16" s="228"/>
      <c r="AM16" s="98" t="s">
        <v>180</v>
      </c>
      <c r="AN16" s="98" t="s">
        <v>181</v>
      </c>
    </row>
    <row r="17" spans="1:42" s="100" customFormat="1" ht="75.75" customHeight="1" x14ac:dyDescent="0.25">
      <c r="A17" s="260" t="s">
        <v>99</v>
      </c>
      <c r="B17" s="232" t="s">
        <v>100</v>
      </c>
      <c r="C17" s="232" t="s">
        <v>89</v>
      </c>
      <c r="D17" s="232" t="s">
        <v>151</v>
      </c>
      <c r="E17" s="263" t="str">
        <f>C10</f>
        <v xml:space="preserve">Aumentar el acceso a vivienda digna, espacio público y equipamientos de la población vulnerable en suelo urbano y rural </v>
      </c>
      <c r="F17" s="138" t="s">
        <v>160</v>
      </c>
      <c r="G17" s="138" t="s">
        <v>104</v>
      </c>
      <c r="H17" s="271" t="str">
        <f>C12</f>
        <v>Sistema Distrital de Cuidado</v>
      </c>
      <c r="I17" s="14"/>
      <c r="J17" s="126">
        <v>0.05</v>
      </c>
      <c r="K17" s="126">
        <v>0.05</v>
      </c>
      <c r="L17" s="158"/>
      <c r="M17" s="128"/>
      <c r="N17" s="23"/>
      <c r="O17" s="130">
        <v>0.3</v>
      </c>
      <c r="P17" s="202" t="s">
        <v>178</v>
      </c>
      <c r="Q17" s="128"/>
      <c r="R17" s="128"/>
      <c r="T17" s="132">
        <v>0.65</v>
      </c>
      <c r="U17" s="204">
        <v>0.6038</v>
      </c>
      <c r="V17" s="133"/>
      <c r="W17" s="134"/>
      <c r="X17" s="101"/>
      <c r="Y17" s="132">
        <v>0.95</v>
      </c>
      <c r="Z17" s="132">
        <v>0</v>
      </c>
      <c r="AA17" s="133"/>
      <c r="AB17" s="134"/>
      <c r="AC17" s="101"/>
      <c r="AD17" s="136">
        <v>1</v>
      </c>
      <c r="AE17" s="136">
        <v>0</v>
      </c>
      <c r="AF17" s="133"/>
      <c r="AG17" s="134"/>
      <c r="AI17" s="136">
        <f>AD17</f>
        <v>1</v>
      </c>
      <c r="AJ17" s="186">
        <f>+U17</f>
        <v>0.6038</v>
      </c>
      <c r="AK17" s="137">
        <f t="shared" ref="AK17:AL21" si="0">L17+Q17+V17+AA17+AF17</f>
        <v>0</v>
      </c>
      <c r="AL17" s="137">
        <f t="shared" si="0"/>
        <v>0</v>
      </c>
      <c r="AM17" s="125" t="s">
        <v>191</v>
      </c>
      <c r="AO17" s="205"/>
    </row>
    <row r="18" spans="1:42" ht="90" x14ac:dyDescent="0.25">
      <c r="A18" s="261"/>
      <c r="B18" s="239"/>
      <c r="C18" s="239"/>
      <c r="D18" s="239"/>
      <c r="E18" s="264"/>
      <c r="F18" s="13" t="s">
        <v>105</v>
      </c>
      <c r="G18" s="13" t="s">
        <v>172</v>
      </c>
      <c r="H18" s="272"/>
      <c r="I18" s="14"/>
      <c r="J18" s="15">
        <v>20</v>
      </c>
      <c r="K18" s="15">
        <v>20</v>
      </c>
      <c r="L18" s="159">
        <v>1562.1521029999999</v>
      </c>
      <c r="M18" s="29">
        <v>1072.7394810000001</v>
      </c>
      <c r="N18" s="23"/>
      <c r="O18" s="90">
        <v>280</v>
      </c>
      <c r="P18" s="15">
        <v>280</v>
      </c>
      <c r="Q18" s="29">
        <f>4680171442/L1</f>
        <v>4680.1714419999998</v>
      </c>
      <c r="R18" s="63">
        <f>4544842307/L1</f>
        <v>4544.8423069999999</v>
      </c>
      <c r="S18" s="100"/>
      <c r="T18" s="90">
        <v>650</v>
      </c>
      <c r="U18" s="103">
        <v>465</v>
      </c>
      <c r="V18" s="29">
        <f>5049751923/L1</f>
        <v>5049.7519229999998</v>
      </c>
      <c r="W18" s="63">
        <f>3946927832/L1</f>
        <v>3946.9278319999999</v>
      </c>
      <c r="X18" s="101"/>
      <c r="Y18" s="90">
        <v>300</v>
      </c>
      <c r="Z18" s="103">
        <v>0</v>
      </c>
      <c r="AA18" s="29">
        <v>7222.5468300000002</v>
      </c>
      <c r="AB18" s="105"/>
      <c r="AC18" s="101"/>
      <c r="AD18" s="90">
        <v>0</v>
      </c>
      <c r="AE18" s="90">
        <v>0</v>
      </c>
      <c r="AF18" s="29">
        <v>0</v>
      </c>
      <c r="AG18" s="105"/>
      <c r="AH18" s="100"/>
      <c r="AI18" s="90">
        <f t="shared" ref="AI18:AJ21" si="1">J18+O18+T18+Y18+AD18</f>
        <v>1250</v>
      </c>
      <c r="AJ18" s="90">
        <f t="shared" si="1"/>
        <v>765</v>
      </c>
      <c r="AK18" s="62">
        <f t="shared" si="0"/>
        <v>18514.622297999998</v>
      </c>
      <c r="AL18" s="62">
        <f t="shared" si="0"/>
        <v>9564.5096199999989</v>
      </c>
      <c r="AM18" s="99" t="s">
        <v>191</v>
      </c>
      <c r="AN18" s="210"/>
    </row>
    <row r="19" spans="1:42" ht="75" x14ac:dyDescent="0.25">
      <c r="A19" s="261"/>
      <c r="B19" s="239"/>
      <c r="C19" s="239"/>
      <c r="D19" s="239"/>
      <c r="E19" s="264"/>
      <c r="F19" s="13" t="s">
        <v>106</v>
      </c>
      <c r="G19" s="13" t="s">
        <v>107</v>
      </c>
      <c r="H19" s="272"/>
      <c r="I19" s="14"/>
      <c r="J19" s="15">
        <v>0</v>
      </c>
      <c r="K19" s="15">
        <v>0</v>
      </c>
      <c r="L19" s="159">
        <v>0</v>
      </c>
      <c r="M19" s="29"/>
      <c r="N19" s="23"/>
      <c r="O19" s="90">
        <v>0</v>
      </c>
      <c r="P19" s="15">
        <v>0</v>
      </c>
      <c r="Q19" s="29">
        <f>1456900000/L1</f>
        <v>1456.9</v>
      </c>
      <c r="R19" s="29">
        <f>1454454730/L1</f>
        <v>1454.4547299999999</v>
      </c>
      <c r="S19" s="100"/>
      <c r="T19" s="90">
        <v>540</v>
      </c>
      <c r="U19" s="103">
        <v>141</v>
      </c>
      <c r="V19" s="29">
        <f>6855386135/L1</f>
        <v>6855.3861349999997</v>
      </c>
      <c r="W19" s="29">
        <f>6685044791/L1</f>
        <v>6685.0447910000003</v>
      </c>
      <c r="X19" s="101"/>
      <c r="Y19" s="90">
        <v>710</v>
      </c>
      <c r="Z19" s="103">
        <v>0</v>
      </c>
      <c r="AA19" s="29">
        <v>6449.9870510000001</v>
      </c>
      <c r="AB19" s="105"/>
      <c r="AC19" s="101"/>
      <c r="AD19" s="90">
        <v>0</v>
      </c>
      <c r="AE19" s="90">
        <v>0</v>
      </c>
      <c r="AF19" s="29">
        <v>0</v>
      </c>
      <c r="AG19" s="106"/>
      <c r="AH19" s="100"/>
      <c r="AI19" s="90">
        <f t="shared" si="1"/>
        <v>1250</v>
      </c>
      <c r="AJ19" s="90">
        <f t="shared" si="1"/>
        <v>141</v>
      </c>
      <c r="AK19" s="62">
        <f t="shared" si="0"/>
        <v>14762.273186</v>
      </c>
      <c r="AL19" s="62">
        <f t="shared" si="0"/>
        <v>8139.4995209999997</v>
      </c>
      <c r="AM19" s="197" t="s">
        <v>191</v>
      </c>
      <c r="AN19" s="210"/>
    </row>
    <row r="20" spans="1:42" ht="49.5" customHeight="1" x14ac:dyDescent="0.25">
      <c r="A20" s="261"/>
      <c r="B20" s="239"/>
      <c r="C20" s="239"/>
      <c r="D20" s="239"/>
      <c r="E20" s="264"/>
      <c r="F20" s="13" t="s">
        <v>177</v>
      </c>
      <c r="G20" s="13" t="s">
        <v>107</v>
      </c>
      <c r="H20" s="272"/>
      <c r="I20" s="14"/>
      <c r="J20" s="15">
        <v>0</v>
      </c>
      <c r="K20" s="15">
        <v>0</v>
      </c>
      <c r="L20" s="159">
        <v>0</v>
      </c>
      <c r="M20" s="29"/>
      <c r="N20" s="23"/>
      <c r="O20" s="90">
        <v>406</v>
      </c>
      <c r="P20" s="90">
        <v>406</v>
      </c>
      <c r="Q20" s="29">
        <f>165096800/L1</f>
        <v>165.0968</v>
      </c>
      <c r="R20" s="29">
        <f>123822600/L1</f>
        <v>123.82259999999999</v>
      </c>
      <c r="S20" s="100"/>
      <c r="T20" s="90">
        <v>1647</v>
      </c>
      <c r="U20" s="103">
        <v>1447</v>
      </c>
      <c r="V20" s="29">
        <f>171657162/L1</f>
        <v>171.657162</v>
      </c>
      <c r="W20" s="29">
        <f>122337112/L1</f>
        <v>122.337112</v>
      </c>
      <c r="X20" s="101"/>
      <c r="Y20" s="90">
        <v>2700</v>
      </c>
      <c r="Z20" s="103">
        <v>0</v>
      </c>
      <c r="AA20" s="29">
        <v>1559.8</v>
      </c>
      <c r="AB20" s="105"/>
      <c r="AC20" s="101"/>
      <c r="AD20" s="90">
        <v>247</v>
      </c>
      <c r="AE20" s="90">
        <v>0</v>
      </c>
      <c r="AF20" s="29">
        <v>356.79326500000002</v>
      </c>
      <c r="AG20" s="106"/>
      <c r="AH20" s="100"/>
      <c r="AI20" s="90">
        <f t="shared" si="1"/>
        <v>5000</v>
      </c>
      <c r="AJ20" s="90">
        <f t="shared" si="1"/>
        <v>1853</v>
      </c>
      <c r="AK20" s="62">
        <f t="shared" si="0"/>
        <v>2253.3472270000002</v>
      </c>
      <c r="AL20" s="62">
        <f t="shared" si="0"/>
        <v>246.15971200000001</v>
      </c>
      <c r="AM20" s="198" t="s">
        <v>191</v>
      </c>
      <c r="AN20" s="210"/>
    </row>
    <row r="21" spans="1:42" ht="49.5" customHeight="1" x14ac:dyDescent="0.25">
      <c r="A21" s="261"/>
      <c r="B21" s="239"/>
      <c r="C21" s="239"/>
      <c r="D21" s="239"/>
      <c r="E21" s="264"/>
      <c r="F21" s="13" t="s">
        <v>185</v>
      </c>
      <c r="G21" s="13"/>
      <c r="H21" s="272"/>
      <c r="I21" s="14"/>
      <c r="J21" s="15"/>
      <c r="K21" s="15"/>
      <c r="L21" s="159"/>
      <c r="M21" s="29"/>
      <c r="N21" s="23"/>
      <c r="O21" s="90"/>
      <c r="P21" s="90"/>
      <c r="Q21" s="29"/>
      <c r="R21" s="29"/>
      <c r="S21" s="100"/>
      <c r="T21" s="90">
        <v>58</v>
      </c>
      <c r="U21" s="103">
        <v>58</v>
      </c>
      <c r="V21" s="29">
        <f>62979034/L1</f>
        <v>62.979033999999999</v>
      </c>
      <c r="W21" s="63">
        <f>22566253/L1</f>
        <v>22.566253</v>
      </c>
      <c r="X21" s="101"/>
      <c r="Y21" s="90">
        <v>903</v>
      </c>
      <c r="Z21" s="103">
        <v>0</v>
      </c>
      <c r="AA21" s="29">
        <v>176.85401200000001</v>
      </c>
      <c r="AB21" s="105"/>
      <c r="AC21" s="101"/>
      <c r="AD21" s="90">
        <v>289</v>
      </c>
      <c r="AE21" s="90">
        <v>0</v>
      </c>
      <c r="AF21" s="29">
        <v>673.94</v>
      </c>
      <c r="AG21" s="106"/>
      <c r="AH21" s="100"/>
      <c r="AI21" s="90">
        <f t="shared" si="1"/>
        <v>1250</v>
      </c>
      <c r="AJ21" s="90">
        <f t="shared" si="1"/>
        <v>58</v>
      </c>
      <c r="AK21" s="62">
        <f t="shared" si="0"/>
        <v>913.77304600000002</v>
      </c>
      <c r="AL21" s="62">
        <f t="shared" si="0"/>
        <v>22.566253</v>
      </c>
      <c r="AM21" s="198" t="s">
        <v>191</v>
      </c>
      <c r="AN21" s="210"/>
    </row>
    <row r="22" spans="1:42" s="100" customFormat="1" ht="75.75" customHeight="1" x14ac:dyDescent="0.25">
      <c r="A22" s="261"/>
      <c r="B22" s="239"/>
      <c r="C22" s="239"/>
      <c r="D22" s="239"/>
      <c r="E22" s="264"/>
      <c r="F22" s="138" t="s">
        <v>159</v>
      </c>
      <c r="G22" s="138" t="s">
        <v>108</v>
      </c>
      <c r="H22" s="272"/>
      <c r="I22" s="14"/>
      <c r="J22" s="126">
        <v>0.3</v>
      </c>
      <c r="K22" s="126">
        <v>0.3</v>
      </c>
      <c r="L22" s="158"/>
      <c r="M22" s="128"/>
      <c r="N22" s="129"/>
      <c r="O22" s="130">
        <v>0.7</v>
      </c>
      <c r="P22" s="172">
        <v>0.67200000000000004</v>
      </c>
      <c r="Q22" s="128"/>
      <c r="R22" s="128"/>
      <c r="S22" s="131"/>
      <c r="T22" s="132">
        <v>0.9</v>
      </c>
      <c r="U22" s="132">
        <v>0.88180000000000003</v>
      </c>
      <c r="V22" s="133"/>
      <c r="W22" s="134"/>
      <c r="X22" s="135"/>
      <c r="Y22" s="132">
        <v>1</v>
      </c>
      <c r="Z22" s="132">
        <v>0</v>
      </c>
      <c r="AA22" s="133"/>
      <c r="AB22" s="134"/>
      <c r="AC22" s="135"/>
      <c r="AD22" s="136">
        <v>1</v>
      </c>
      <c r="AE22" s="136">
        <v>0</v>
      </c>
      <c r="AF22" s="133"/>
      <c r="AG22" s="134"/>
      <c r="AH22" s="131"/>
      <c r="AI22" s="136">
        <f>AD22</f>
        <v>1</v>
      </c>
      <c r="AJ22" s="186">
        <f>U22</f>
        <v>0.88180000000000003</v>
      </c>
      <c r="AK22" s="137">
        <f t="shared" ref="AJ22:AL23" si="2">L22+Q22+V22+AA22+AF22</f>
        <v>0</v>
      </c>
      <c r="AL22" s="137">
        <f t="shared" si="2"/>
        <v>0</v>
      </c>
      <c r="AM22" s="125" t="s">
        <v>191</v>
      </c>
    </row>
    <row r="23" spans="1:42" s="100" customFormat="1" ht="75.75" customHeight="1" x14ac:dyDescent="0.25">
      <c r="A23" s="261"/>
      <c r="B23" s="239"/>
      <c r="C23" s="239"/>
      <c r="D23" s="239"/>
      <c r="E23" s="264"/>
      <c r="F23" s="138" t="s">
        <v>159</v>
      </c>
      <c r="G23" s="138" t="s">
        <v>173</v>
      </c>
      <c r="H23" s="272"/>
      <c r="I23" s="14"/>
      <c r="J23" s="126">
        <v>1</v>
      </c>
      <c r="K23" s="126">
        <v>1</v>
      </c>
      <c r="L23" s="158"/>
      <c r="M23" s="128"/>
      <c r="N23" s="129"/>
      <c r="O23" s="136">
        <v>0</v>
      </c>
      <c r="P23" s="186">
        <v>0</v>
      </c>
      <c r="Q23" s="128"/>
      <c r="R23" s="128"/>
      <c r="S23" s="131"/>
      <c r="T23" s="132">
        <v>0</v>
      </c>
      <c r="U23" s="132">
        <v>0</v>
      </c>
      <c r="V23" s="133"/>
      <c r="W23" s="134"/>
      <c r="X23" s="135"/>
      <c r="Y23" s="132">
        <v>0</v>
      </c>
      <c r="Z23" s="132">
        <v>0</v>
      </c>
      <c r="AA23" s="133"/>
      <c r="AB23" s="134"/>
      <c r="AC23" s="135"/>
      <c r="AD23" s="136">
        <v>0</v>
      </c>
      <c r="AE23" s="136">
        <v>0</v>
      </c>
      <c r="AF23" s="133"/>
      <c r="AG23" s="134"/>
      <c r="AH23" s="131"/>
      <c r="AI23" s="136">
        <f>J23+O23+T23+Y23+AD23</f>
        <v>1</v>
      </c>
      <c r="AJ23" s="136">
        <f t="shared" si="2"/>
        <v>1</v>
      </c>
      <c r="AK23" s="137">
        <f t="shared" si="2"/>
        <v>0</v>
      </c>
      <c r="AL23" s="137">
        <f t="shared" si="2"/>
        <v>0</v>
      </c>
      <c r="AM23" s="125" t="s">
        <v>191</v>
      </c>
    </row>
    <row r="24" spans="1:42" ht="60" x14ac:dyDescent="0.25">
      <c r="A24" s="261"/>
      <c r="B24" s="239"/>
      <c r="C24" s="239"/>
      <c r="D24" s="239"/>
      <c r="E24" s="264"/>
      <c r="F24" s="13" t="s">
        <v>109</v>
      </c>
      <c r="G24" s="13" t="s">
        <v>110</v>
      </c>
      <c r="H24" s="272"/>
      <c r="I24" s="14"/>
      <c r="J24" s="15">
        <v>50</v>
      </c>
      <c r="K24" s="15">
        <v>50</v>
      </c>
      <c r="L24" s="159">
        <v>3103.2696059999998</v>
      </c>
      <c r="M24" s="29">
        <v>2913.9473720000001</v>
      </c>
      <c r="N24" s="23"/>
      <c r="O24" s="15">
        <v>250</v>
      </c>
      <c r="P24" s="15">
        <v>250</v>
      </c>
      <c r="Q24" s="63">
        <f>3932276784/L1</f>
        <v>3932.2767840000001</v>
      </c>
      <c r="R24" s="63">
        <f>3805545713/L1</f>
        <v>3805.545713</v>
      </c>
      <c r="S24" s="100"/>
      <c r="T24" s="90">
        <v>550</v>
      </c>
      <c r="U24" s="103">
        <v>395</v>
      </c>
      <c r="V24" s="29">
        <f>1992267681/L1</f>
        <v>1992.267681</v>
      </c>
      <c r="W24" s="63">
        <f>1655712391/L1</f>
        <v>1655.712391</v>
      </c>
      <c r="X24" s="101"/>
      <c r="Y24" s="90">
        <v>630</v>
      </c>
      <c r="Z24" s="103">
        <v>0</v>
      </c>
      <c r="AA24" s="29">
        <v>1934.588452</v>
      </c>
      <c r="AB24" s="106"/>
      <c r="AC24" s="101"/>
      <c r="AD24" s="90">
        <v>20</v>
      </c>
      <c r="AE24" s="90">
        <v>0</v>
      </c>
      <c r="AF24" s="29">
        <v>1810</v>
      </c>
      <c r="AG24" s="106"/>
      <c r="AH24" s="100"/>
      <c r="AI24" s="90">
        <f>J24+O24+T24+Y24+AD24</f>
        <v>1500</v>
      </c>
      <c r="AJ24" s="90">
        <f>K24+P24+U24+Z24+AE24</f>
        <v>695</v>
      </c>
      <c r="AK24" s="62">
        <f>L24+Q24+V24+AA24+AF24</f>
        <v>12772.402522999999</v>
      </c>
      <c r="AL24" s="62">
        <f>M24+R24+W24+AB24+AG24</f>
        <v>8375.2054759999992</v>
      </c>
      <c r="AM24" s="92" t="s">
        <v>191</v>
      </c>
      <c r="AN24" s="210"/>
    </row>
    <row r="25" spans="1:42" s="100" customFormat="1" ht="75.75" customHeight="1" x14ac:dyDescent="0.25">
      <c r="A25" s="261"/>
      <c r="B25" s="239"/>
      <c r="C25" s="239"/>
      <c r="D25" s="239"/>
      <c r="E25" s="264"/>
      <c r="F25" s="138" t="s">
        <v>161</v>
      </c>
      <c r="G25" s="138" t="s">
        <v>111</v>
      </c>
      <c r="H25" s="272"/>
      <c r="I25" s="14"/>
      <c r="J25" s="126">
        <v>0.2</v>
      </c>
      <c r="K25" s="126">
        <v>0.2</v>
      </c>
      <c r="L25" s="158"/>
      <c r="M25" s="128"/>
      <c r="N25" s="129"/>
      <c r="O25" s="130">
        <v>0.45</v>
      </c>
      <c r="P25" s="203">
        <v>0.40749999999999997</v>
      </c>
      <c r="Q25" s="128"/>
      <c r="R25" s="128"/>
      <c r="S25" s="131"/>
      <c r="T25" s="132">
        <v>0.8</v>
      </c>
      <c r="U25" s="217">
        <v>0.76470000000000005</v>
      </c>
      <c r="V25" s="133"/>
      <c r="W25" s="134"/>
      <c r="X25" s="135"/>
      <c r="Y25" s="132">
        <v>1</v>
      </c>
      <c r="Z25" s="132">
        <v>0</v>
      </c>
      <c r="AA25" s="29"/>
      <c r="AB25" s="134"/>
      <c r="AC25" s="135"/>
      <c r="AD25" s="136">
        <v>1</v>
      </c>
      <c r="AE25" s="136">
        <v>0</v>
      </c>
      <c r="AF25" s="29"/>
      <c r="AG25" s="134"/>
      <c r="AH25" s="131"/>
      <c r="AI25" s="136">
        <f>+AD25</f>
        <v>1</v>
      </c>
      <c r="AJ25" s="186">
        <f>+U25</f>
        <v>0.76470000000000005</v>
      </c>
      <c r="AK25" s="137">
        <f>L25+Q25+V25+AA25+AF25</f>
        <v>0</v>
      </c>
      <c r="AL25" s="137">
        <f>M25+R25+W25+AB25+AG25</f>
        <v>0</v>
      </c>
      <c r="AM25" s="125" t="s">
        <v>191</v>
      </c>
    </row>
    <row r="26" spans="1:42" s="100" customFormat="1" ht="75" x14ac:dyDescent="0.25">
      <c r="A26" s="261"/>
      <c r="B26" s="233"/>
      <c r="C26" s="233"/>
      <c r="D26" s="233"/>
      <c r="E26" s="278"/>
      <c r="F26" s="13" t="s">
        <v>112</v>
      </c>
      <c r="G26" s="13" t="s">
        <v>111</v>
      </c>
      <c r="H26" s="272"/>
      <c r="I26" s="14"/>
      <c r="J26" s="26">
        <v>0.2</v>
      </c>
      <c r="K26" s="111">
        <v>0.2</v>
      </c>
      <c r="L26" s="159">
        <f>80000000/L1</f>
        <v>80</v>
      </c>
      <c r="M26" s="29">
        <v>37.799999999999997</v>
      </c>
      <c r="N26" s="23"/>
      <c r="O26" s="26">
        <v>0.45</v>
      </c>
      <c r="P26" s="189">
        <v>0.40749999999999997</v>
      </c>
      <c r="Q26" s="29">
        <f>2986400000/L1</f>
        <v>2986.4</v>
      </c>
      <c r="R26" s="29">
        <f>2978800000/L1</f>
        <v>2978.8</v>
      </c>
      <c r="T26" s="124">
        <v>0.8</v>
      </c>
      <c r="U26" s="196">
        <v>0.76470000000000005</v>
      </c>
      <c r="V26" s="29">
        <f>867958065/L1</f>
        <v>867.95806500000003</v>
      </c>
      <c r="W26" s="63">
        <f>790425920/L1</f>
        <v>790.42592000000002</v>
      </c>
      <c r="X26" s="101"/>
      <c r="Y26" s="124">
        <v>1</v>
      </c>
      <c r="Z26" s="124">
        <v>0</v>
      </c>
      <c r="AA26" s="29">
        <v>3459.2236549999998</v>
      </c>
      <c r="AB26" s="105"/>
      <c r="AC26" s="101"/>
      <c r="AD26" s="111">
        <v>1</v>
      </c>
      <c r="AE26" s="111">
        <v>0</v>
      </c>
      <c r="AF26" s="29">
        <v>0</v>
      </c>
      <c r="AG26" s="105"/>
      <c r="AI26" s="111">
        <f>AD26</f>
        <v>1</v>
      </c>
      <c r="AJ26" s="149">
        <f>+U26</f>
        <v>0.76470000000000005</v>
      </c>
      <c r="AK26" s="62">
        <f>L26+Q26+V26+AA26+AF26</f>
        <v>7393.5817200000001</v>
      </c>
      <c r="AL26" s="62">
        <f>M26+R26+W26+AB26+AG26</f>
        <v>3807.0259200000005</v>
      </c>
      <c r="AM26" s="125" t="s">
        <v>191</v>
      </c>
      <c r="AN26" s="205"/>
    </row>
    <row r="27" spans="1:42" s="6" customFormat="1" ht="15.75" x14ac:dyDescent="0.25">
      <c r="A27" s="17"/>
      <c r="B27" s="115" t="s">
        <v>103</v>
      </c>
      <c r="C27" s="115"/>
      <c r="D27" s="115"/>
      <c r="E27" s="115"/>
      <c r="F27" s="39"/>
      <c r="G27" s="39"/>
      <c r="H27" s="39"/>
      <c r="I27" s="40"/>
      <c r="J27" s="41"/>
      <c r="K27" s="41"/>
      <c r="L27" s="160">
        <f>SUM(L17:L26)</f>
        <v>4745.4217090000002</v>
      </c>
      <c r="M27" s="42">
        <f>SUM(M17:M26)</f>
        <v>4024.4868530000003</v>
      </c>
      <c r="N27" s="51"/>
      <c r="O27" s="41"/>
      <c r="P27" s="41"/>
      <c r="Q27" s="42">
        <f>SUM(Q17:Q26)</f>
        <v>13220.845026000001</v>
      </c>
      <c r="R27" s="42">
        <f>SUM(R17:R26)</f>
        <v>12907.465350000002</v>
      </c>
      <c r="T27" s="41"/>
      <c r="U27" s="41"/>
      <c r="V27" s="42">
        <f>SUM(V17:V26)</f>
        <v>15000</v>
      </c>
      <c r="W27" s="42">
        <f>SUM(W17:W26)</f>
        <v>13223.014299</v>
      </c>
      <c r="Y27" s="41"/>
      <c r="Z27" s="41"/>
      <c r="AA27" s="42">
        <f>SUM(AA17:AA26)</f>
        <v>20803</v>
      </c>
      <c r="AB27" s="42">
        <f>SUM(AB17:AB26)</f>
        <v>0</v>
      </c>
      <c r="AC27" s="112"/>
      <c r="AD27" s="41"/>
      <c r="AE27" s="42"/>
      <c r="AF27" s="42">
        <f>SUM(AF17:AF26)</f>
        <v>2840.7332649999998</v>
      </c>
      <c r="AG27" s="42">
        <f>SUM(AG17:AG26)</f>
        <v>0</v>
      </c>
      <c r="AI27" s="96"/>
      <c r="AJ27" s="96"/>
      <c r="AK27" s="64">
        <f>SUM(AK17:AK26)</f>
        <v>56610</v>
      </c>
      <c r="AL27" s="64">
        <f>SUM(AL17:AL26)</f>
        <v>30154.966501999999</v>
      </c>
      <c r="AM27" s="98"/>
      <c r="AN27" s="25" t="s">
        <v>179</v>
      </c>
      <c r="AO27" s="219">
        <f>53115-AK27</f>
        <v>-3495</v>
      </c>
      <c r="AP27" s="219">
        <f>+L27-M27+Q27-R27</f>
        <v>1034.3145319999985</v>
      </c>
    </row>
    <row r="28" spans="1:42" s="3" customFormat="1" ht="12.75" x14ac:dyDescent="0.2">
      <c r="A28" s="140"/>
      <c r="B28" s="4"/>
      <c r="C28" s="4"/>
      <c r="D28" s="4"/>
      <c r="E28" s="4"/>
      <c r="F28" s="4"/>
      <c r="G28" s="4"/>
      <c r="H28" s="4"/>
      <c r="I28" s="2"/>
      <c r="J28" s="140"/>
      <c r="K28" s="2"/>
      <c r="L28" s="155"/>
      <c r="M28" s="2"/>
      <c r="N28" s="2"/>
      <c r="O28" s="2"/>
      <c r="P28" s="2"/>
      <c r="Q28" s="2"/>
      <c r="R28" s="2"/>
      <c r="T28" s="102"/>
      <c r="U28" s="102"/>
      <c r="V28" s="102"/>
      <c r="W28" s="102"/>
      <c r="Y28" s="102"/>
      <c r="Z28" s="102"/>
      <c r="AA28" s="102"/>
      <c r="AB28" s="102"/>
      <c r="AD28" s="2"/>
      <c r="AE28" s="2"/>
      <c r="AF28" s="102"/>
      <c r="AG28" s="102"/>
      <c r="AI28" s="109"/>
      <c r="AJ28" s="109"/>
      <c r="AK28" s="109"/>
      <c r="AL28" s="110"/>
      <c r="AM28" s="93"/>
    </row>
    <row r="29" spans="1:42" s="5" customFormat="1" ht="15.75" customHeight="1" x14ac:dyDescent="0.2">
      <c r="A29" s="273"/>
      <c r="B29" s="273"/>
      <c r="C29" s="273"/>
      <c r="D29" s="273"/>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94"/>
    </row>
    <row r="30" spans="1:42" s="3" customFormat="1" ht="12.75" x14ac:dyDescent="0.2">
      <c r="A30" s="140"/>
      <c r="B30" s="4"/>
      <c r="C30" s="4"/>
      <c r="D30" s="4"/>
      <c r="E30" s="4"/>
      <c r="F30" s="4"/>
      <c r="G30" s="4"/>
      <c r="H30" s="4"/>
      <c r="I30" s="2"/>
      <c r="J30" s="140"/>
      <c r="K30" s="2"/>
      <c r="L30" s="155"/>
      <c r="M30" s="2"/>
      <c r="N30" s="2"/>
      <c r="O30" s="2"/>
      <c r="P30" s="2"/>
      <c r="Q30" s="2"/>
      <c r="R30" s="2"/>
      <c r="T30" s="102"/>
      <c r="U30" s="102"/>
      <c r="V30" s="102"/>
      <c r="W30" s="102"/>
      <c r="Y30" s="102"/>
      <c r="Z30" s="102"/>
      <c r="AA30" s="102"/>
      <c r="AB30" s="102"/>
      <c r="AD30" s="2"/>
      <c r="AE30" s="2"/>
      <c r="AF30" s="102"/>
      <c r="AG30" s="102"/>
      <c r="AI30" s="109"/>
      <c r="AJ30" s="109"/>
      <c r="AK30" s="109"/>
      <c r="AL30" s="110"/>
      <c r="AM30" s="93"/>
    </row>
    <row r="31" spans="1:42" x14ac:dyDescent="0.25">
      <c r="A31" s="142">
        <v>1</v>
      </c>
      <c r="B31" s="122" t="s">
        <v>94</v>
      </c>
      <c r="C31" s="269" t="s">
        <v>113</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row>
    <row r="32" spans="1:42" x14ac:dyDescent="0.25">
      <c r="A32" s="141">
        <v>8</v>
      </c>
      <c r="B32" s="6" t="s">
        <v>157</v>
      </c>
      <c r="C32" s="269" t="s">
        <v>158</v>
      </c>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row>
    <row r="33" spans="1:43" x14ac:dyDescent="0.25">
      <c r="A33" s="141">
        <v>19</v>
      </c>
      <c r="B33" s="6" t="s">
        <v>95</v>
      </c>
      <c r="C33" s="269" t="s">
        <v>156</v>
      </c>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row>
    <row r="34" spans="1:43" ht="30" x14ac:dyDescent="0.25">
      <c r="A34" s="141">
        <v>3</v>
      </c>
      <c r="B34" s="123" t="s">
        <v>98</v>
      </c>
      <c r="C34" s="269" t="s">
        <v>114</v>
      </c>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row>
    <row r="35" spans="1:43" x14ac:dyDescent="0.25">
      <c r="A35" s="143"/>
      <c r="F35" s="7"/>
      <c r="G35" s="7"/>
      <c r="H35" s="7"/>
      <c r="I35" s="8"/>
      <c r="J35" s="164"/>
      <c r="K35" s="7"/>
      <c r="L35" s="156"/>
      <c r="M35" s="7"/>
      <c r="N35" s="8"/>
      <c r="O35" s="7"/>
      <c r="P35" s="7"/>
      <c r="Q35" s="7"/>
      <c r="R35" s="7"/>
      <c r="T35" s="7"/>
      <c r="U35" s="7"/>
      <c r="V35" s="72"/>
      <c r="W35" s="72"/>
      <c r="Y35" s="7"/>
      <c r="Z35" s="7"/>
      <c r="AA35" s="72"/>
      <c r="AB35" s="72"/>
      <c r="AC35" s="100"/>
      <c r="AD35" s="108"/>
      <c r="AE35" s="108"/>
      <c r="AF35" s="72"/>
      <c r="AG35" s="72"/>
      <c r="AI35" s="95"/>
      <c r="AJ35" s="95"/>
      <c r="AK35" s="97"/>
    </row>
    <row r="36" spans="1:43" s="11" customFormat="1" ht="27" customHeight="1" x14ac:dyDescent="0.25">
      <c r="A36" s="254" t="s">
        <v>2</v>
      </c>
      <c r="B36" s="229" t="s">
        <v>3</v>
      </c>
      <c r="C36" s="267" t="s">
        <v>87</v>
      </c>
      <c r="D36" s="229" t="s">
        <v>67</v>
      </c>
      <c r="E36" s="267" t="s">
        <v>170</v>
      </c>
      <c r="F36" s="251" t="s">
        <v>101</v>
      </c>
      <c r="G36" s="276" t="s">
        <v>90</v>
      </c>
      <c r="H36" s="224" t="s">
        <v>171</v>
      </c>
      <c r="I36" s="10"/>
      <c r="J36" s="224">
        <v>2020</v>
      </c>
      <c r="K36" s="224"/>
      <c r="L36" s="224"/>
      <c r="M36" s="224"/>
      <c r="N36" s="10"/>
      <c r="O36" s="224">
        <v>2021</v>
      </c>
      <c r="P36" s="224"/>
      <c r="Q36" s="224"/>
      <c r="R36" s="224"/>
      <c r="T36" s="224">
        <v>2022</v>
      </c>
      <c r="U36" s="224"/>
      <c r="V36" s="224"/>
      <c r="W36" s="224"/>
      <c r="Y36" s="224">
        <v>2023</v>
      </c>
      <c r="Z36" s="224"/>
      <c r="AA36" s="224"/>
      <c r="AB36" s="224"/>
      <c r="AD36" s="225">
        <v>2024</v>
      </c>
      <c r="AE36" s="226"/>
      <c r="AF36" s="226"/>
      <c r="AG36" s="226"/>
      <c r="AI36" s="270" t="s">
        <v>102</v>
      </c>
      <c r="AJ36" s="270"/>
      <c r="AK36" s="270"/>
      <c r="AL36" s="270"/>
      <c r="AM36" s="98"/>
    </row>
    <row r="37" spans="1:43" s="11" customFormat="1" ht="16.5" customHeight="1" x14ac:dyDescent="0.25">
      <c r="A37" s="255"/>
      <c r="B37" s="230"/>
      <c r="C37" s="252"/>
      <c r="D37" s="230"/>
      <c r="E37" s="252"/>
      <c r="F37" s="252"/>
      <c r="G37" s="276"/>
      <c r="H37" s="224"/>
      <c r="I37" s="10"/>
      <c r="J37" s="223" t="s">
        <v>4</v>
      </c>
      <c r="K37" s="223"/>
      <c r="L37" s="223" t="s">
        <v>61</v>
      </c>
      <c r="M37" s="223"/>
      <c r="N37" s="10"/>
      <c r="O37" s="223" t="s">
        <v>6</v>
      </c>
      <c r="P37" s="223"/>
      <c r="Q37" s="223" t="s">
        <v>8</v>
      </c>
      <c r="R37" s="223"/>
      <c r="S37" s="10"/>
      <c r="T37" s="223" t="s">
        <v>7</v>
      </c>
      <c r="U37" s="223"/>
      <c r="V37" s="223" t="s">
        <v>8</v>
      </c>
      <c r="W37" s="223"/>
      <c r="Y37" s="223" t="s">
        <v>7</v>
      </c>
      <c r="Z37" s="223"/>
      <c r="AA37" s="223" t="s">
        <v>8</v>
      </c>
      <c r="AB37" s="223"/>
      <c r="AD37" s="223" t="s">
        <v>7</v>
      </c>
      <c r="AE37" s="223"/>
      <c r="AF37" s="223" t="s">
        <v>8</v>
      </c>
      <c r="AG37" s="223"/>
      <c r="AI37" s="227" t="s">
        <v>4</v>
      </c>
      <c r="AJ37" s="227" t="s">
        <v>66</v>
      </c>
      <c r="AK37" s="227" t="s">
        <v>8</v>
      </c>
      <c r="AL37" s="227" t="s">
        <v>5</v>
      </c>
      <c r="AM37" s="98"/>
    </row>
    <row r="38" spans="1:43" s="11" customFormat="1" ht="33" x14ac:dyDescent="0.25">
      <c r="A38" s="256"/>
      <c r="B38" s="231"/>
      <c r="C38" s="268"/>
      <c r="D38" s="231"/>
      <c r="E38" s="268"/>
      <c r="F38" s="253"/>
      <c r="G38" s="276"/>
      <c r="H38" s="224"/>
      <c r="I38" s="12"/>
      <c r="J38" s="153" t="s">
        <v>59</v>
      </c>
      <c r="K38" s="116" t="s">
        <v>60</v>
      </c>
      <c r="L38" s="157" t="s">
        <v>64</v>
      </c>
      <c r="M38" s="116" t="s">
        <v>63</v>
      </c>
      <c r="N38" s="12"/>
      <c r="O38" s="61" t="s">
        <v>59</v>
      </c>
      <c r="P38" s="116" t="s">
        <v>60</v>
      </c>
      <c r="Q38" s="61" t="s">
        <v>62</v>
      </c>
      <c r="R38" s="116" t="s">
        <v>63</v>
      </c>
      <c r="S38" s="10"/>
      <c r="T38" s="61" t="s">
        <v>59</v>
      </c>
      <c r="U38" s="116" t="s">
        <v>60</v>
      </c>
      <c r="V38" s="116" t="s">
        <v>62</v>
      </c>
      <c r="W38" s="116" t="s">
        <v>63</v>
      </c>
      <c r="Y38" s="116" t="s">
        <v>59</v>
      </c>
      <c r="Z38" s="116" t="s">
        <v>60</v>
      </c>
      <c r="AA38" s="116" t="s">
        <v>64</v>
      </c>
      <c r="AB38" s="116" t="s">
        <v>63</v>
      </c>
      <c r="AD38" s="116" t="s">
        <v>59</v>
      </c>
      <c r="AE38" s="116" t="s">
        <v>60</v>
      </c>
      <c r="AF38" s="116" t="s">
        <v>64</v>
      </c>
      <c r="AG38" s="116" t="s">
        <v>63</v>
      </c>
      <c r="AI38" s="228"/>
      <c r="AJ38" s="228"/>
      <c r="AK38" s="228"/>
      <c r="AL38" s="228"/>
      <c r="AM38" s="98"/>
    </row>
    <row r="39" spans="1:43" ht="75.75" customHeight="1" x14ac:dyDescent="0.25">
      <c r="A39" s="260" t="s">
        <v>115</v>
      </c>
      <c r="B39" s="232" t="s">
        <v>116</v>
      </c>
      <c r="C39" s="232" t="s">
        <v>117</v>
      </c>
      <c r="D39" s="232" t="s">
        <v>152</v>
      </c>
      <c r="E39" s="232" t="str">
        <f>C32</f>
        <v xml:space="preserve">Aumentar el acceso a vivienda digna, espacio público y equipamientos de la población vulnerable en suelo urbano y rural </v>
      </c>
      <c r="F39" s="138" t="s">
        <v>162</v>
      </c>
      <c r="G39" s="138" t="s">
        <v>91</v>
      </c>
      <c r="H39" s="271" t="str">
        <f>C34</f>
        <v>Sistema Distrital de cuidado</v>
      </c>
      <c r="I39" s="14"/>
      <c r="J39" s="127">
        <v>433</v>
      </c>
      <c r="K39" s="127">
        <v>433</v>
      </c>
      <c r="L39" s="158"/>
      <c r="M39" s="128"/>
      <c r="N39" s="129"/>
      <c r="O39" s="144">
        <v>1005</v>
      </c>
      <c r="P39" s="144">
        <v>1005</v>
      </c>
      <c r="Q39" s="128"/>
      <c r="R39" s="128"/>
      <c r="S39" s="131"/>
      <c r="T39" s="145">
        <v>702</v>
      </c>
      <c r="U39" s="145">
        <v>870</v>
      </c>
      <c r="V39" s="133"/>
      <c r="W39" s="134"/>
      <c r="X39" s="135"/>
      <c r="Y39" s="145">
        <v>160</v>
      </c>
      <c r="Z39" s="145">
        <v>0</v>
      </c>
      <c r="AA39" s="133"/>
      <c r="AB39" s="134"/>
      <c r="AC39" s="135"/>
      <c r="AD39" s="146">
        <v>100</v>
      </c>
      <c r="AE39" s="146">
        <v>0</v>
      </c>
      <c r="AF39" s="133"/>
      <c r="AG39" s="134"/>
      <c r="AH39" s="131"/>
      <c r="AI39" s="146">
        <f t="shared" ref="AI39:AL42" si="3">J39+O39+T39+Y39+AD39</f>
        <v>2400</v>
      </c>
      <c r="AJ39" s="146">
        <f t="shared" si="3"/>
        <v>2308</v>
      </c>
      <c r="AK39" s="137">
        <f t="shared" si="3"/>
        <v>0</v>
      </c>
      <c r="AL39" s="137">
        <f t="shared" si="3"/>
        <v>0</v>
      </c>
      <c r="AM39" s="99" t="s">
        <v>191</v>
      </c>
      <c r="AN39" s="210"/>
    </row>
    <row r="40" spans="1:43" ht="75.75" customHeight="1" x14ac:dyDescent="0.25">
      <c r="A40" s="261"/>
      <c r="B40" s="239"/>
      <c r="C40" s="239"/>
      <c r="D40" s="239"/>
      <c r="E40" s="239"/>
      <c r="F40" s="13" t="s">
        <v>118</v>
      </c>
      <c r="G40" s="13" t="s">
        <v>91</v>
      </c>
      <c r="H40" s="272"/>
      <c r="I40" s="14"/>
      <c r="J40" s="107">
        <v>433</v>
      </c>
      <c r="K40" s="107">
        <v>433</v>
      </c>
      <c r="L40" s="161">
        <v>2485.9104860000002</v>
      </c>
      <c r="M40" s="29">
        <v>2462.6375039999998</v>
      </c>
      <c r="N40" s="23"/>
      <c r="O40" s="15">
        <v>1005</v>
      </c>
      <c r="P40" s="15">
        <v>1005</v>
      </c>
      <c r="Q40" s="63">
        <f>3174460251/L1</f>
        <v>3174.460251</v>
      </c>
      <c r="R40" s="29">
        <f>3173790307/L1</f>
        <v>3173.7903070000002</v>
      </c>
      <c r="S40" s="100"/>
      <c r="T40" s="199">
        <v>702</v>
      </c>
      <c r="U40" s="103">
        <v>870</v>
      </c>
      <c r="V40" s="63">
        <f>2661486628/L1</f>
        <v>2661.4866280000001</v>
      </c>
      <c r="W40" s="63">
        <f>2596558028/L1</f>
        <v>2596.5580279999999</v>
      </c>
      <c r="X40" s="101"/>
      <c r="Y40" s="103">
        <v>160</v>
      </c>
      <c r="Z40" s="103">
        <v>0</v>
      </c>
      <c r="AA40" s="63">
        <v>1098.626667</v>
      </c>
      <c r="AB40" s="105"/>
      <c r="AC40" s="101"/>
      <c r="AD40" s="90">
        <v>100</v>
      </c>
      <c r="AE40" s="90">
        <v>0</v>
      </c>
      <c r="AF40" s="63">
        <f>1858657000/L1</f>
        <v>1858.6569999999999</v>
      </c>
      <c r="AG40" s="105"/>
      <c r="AH40" s="100"/>
      <c r="AI40" s="90">
        <f t="shared" si="3"/>
        <v>2400</v>
      </c>
      <c r="AJ40" s="90">
        <f t="shared" si="3"/>
        <v>2308</v>
      </c>
      <c r="AK40" s="63">
        <f t="shared" si="3"/>
        <v>11279.141032</v>
      </c>
      <c r="AL40" s="62">
        <f t="shared" si="3"/>
        <v>8232.985838999999</v>
      </c>
      <c r="AM40" s="99" t="s">
        <v>179</v>
      </c>
      <c r="AN40" s="211"/>
    </row>
    <row r="41" spans="1:43" ht="43.5" customHeight="1" x14ac:dyDescent="0.25">
      <c r="A41" s="261"/>
      <c r="B41" s="239"/>
      <c r="C41" s="239"/>
      <c r="D41" s="239"/>
      <c r="E41" s="239"/>
      <c r="F41" s="13" t="s">
        <v>121</v>
      </c>
      <c r="G41" s="13" t="s">
        <v>122</v>
      </c>
      <c r="H41" s="272"/>
      <c r="I41" s="14"/>
      <c r="J41" s="15">
        <v>1</v>
      </c>
      <c r="K41" s="15">
        <v>1</v>
      </c>
      <c r="L41" s="159">
        <v>3933.2635260000002</v>
      </c>
      <c r="M41" s="29">
        <v>3919.824286</v>
      </c>
      <c r="N41" s="23"/>
      <c r="O41" s="19">
        <v>0.35</v>
      </c>
      <c r="P41" s="195">
        <v>0.35</v>
      </c>
      <c r="Q41" s="63">
        <f>785812430/L1</f>
        <v>785.81242999999995</v>
      </c>
      <c r="R41" s="29">
        <f>783562430/L1</f>
        <v>783.56242999999995</v>
      </c>
      <c r="S41" s="100"/>
      <c r="T41" s="190">
        <v>0.52</v>
      </c>
      <c r="U41" s="103">
        <v>0</v>
      </c>
      <c r="V41" s="63">
        <f>831439388/L1</f>
        <v>831.43938800000001</v>
      </c>
      <c r="W41" s="63">
        <f>643874564/L1</f>
        <v>643.87456399999996</v>
      </c>
      <c r="X41" s="101"/>
      <c r="Y41" s="190">
        <v>0.13</v>
      </c>
      <c r="Z41" s="103">
        <v>0</v>
      </c>
      <c r="AA41" s="63">
        <v>774.2</v>
      </c>
      <c r="AB41" s="104"/>
      <c r="AC41" s="101"/>
      <c r="AD41" s="90">
        <v>0</v>
      </c>
      <c r="AE41" s="90">
        <v>0</v>
      </c>
      <c r="AF41" s="63">
        <v>0</v>
      </c>
      <c r="AG41" s="104"/>
      <c r="AH41" s="100"/>
      <c r="AI41" s="90">
        <f>J41+O41+T41+Y41+AD41</f>
        <v>2</v>
      </c>
      <c r="AJ41" s="195">
        <f t="shared" si="3"/>
        <v>1.35</v>
      </c>
      <c r="AK41" s="63">
        <f>L41+Q41+V41+AA41+AF41</f>
        <v>6324.7153440000002</v>
      </c>
      <c r="AL41" s="62">
        <f t="shared" si="3"/>
        <v>5347.2612799999997</v>
      </c>
      <c r="AM41" s="99" t="s">
        <v>191</v>
      </c>
      <c r="AN41" s="212"/>
    </row>
    <row r="42" spans="1:43" ht="39.75" customHeight="1" x14ac:dyDescent="0.25">
      <c r="A42" s="261"/>
      <c r="B42" s="239"/>
      <c r="C42" s="239"/>
      <c r="D42" s="239"/>
      <c r="E42" s="239"/>
      <c r="F42" s="13" t="s">
        <v>119</v>
      </c>
      <c r="G42" s="13" t="s">
        <v>120</v>
      </c>
      <c r="H42" s="272"/>
      <c r="I42" s="14"/>
      <c r="J42" s="15">
        <v>1</v>
      </c>
      <c r="K42" s="15">
        <v>1</v>
      </c>
      <c r="L42" s="167">
        <v>1.1481950000000001</v>
      </c>
      <c r="M42" s="168">
        <v>1.1481950000000001</v>
      </c>
      <c r="N42" s="23"/>
      <c r="O42" s="15">
        <v>1</v>
      </c>
      <c r="P42" s="15">
        <v>1</v>
      </c>
      <c r="Q42" s="63">
        <f>704512319/L1</f>
        <v>704.51231900000005</v>
      </c>
      <c r="R42" s="29">
        <f>700993442/L1</f>
        <v>700.99344199999996</v>
      </c>
      <c r="S42" s="100"/>
      <c r="T42" s="220" t="s">
        <v>193</v>
      </c>
      <c r="U42" s="190" t="s">
        <v>194</v>
      </c>
      <c r="V42" s="63">
        <f>544891400/L1</f>
        <v>544.89139999999998</v>
      </c>
      <c r="W42" s="63">
        <f>544580000/L1</f>
        <v>544.58000000000004</v>
      </c>
      <c r="X42" s="101"/>
      <c r="Y42" s="103" t="s">
        <v>192</v>
      </c>
      <c r="Z42" s="103">
        <v>0</v>
      </c>
      <c r="AA42" s="63">
        <v>160.30000000000001</v>
      </c>
      <c r="AB42" s="106"/>
      <c r="AC42" s="101"/>
      <c r="AD42" s="90">
        <v>0</v>
      </c>
      <c r="AE42" s="90">
        <v>0</v>
      </c>
      <c r="AF42" s="63">
        <v>0</v>
      </c>
      <c r="AG42" s="106"/>
      <c r="AH42" s="100"/>
      <c r="AI42" s="221">
        <v>4</v>
      </c>
      <c r="AJ42" s="195" t="s">
        <v>195</v>
      </c>
      <c r="AK42" s="63">
        <f t="shared" si="3"/>
        <v>1410.8519140000001</v>
      </c>
      <c r="AL42" s="62">
        <f>M42+R42+W42+AB42+AG42</f>
        <v>1246.7216370000001</v>
      </c>
      <c r="AM42" s="197" t="s">
        <v>191</v>
      </c>
      <c r="AN42" s="210"/>
    </row>
    <row r="43" spans="1:43" ht="39.75" customHeight="1" x14ac:dyDescent="0.25">
      <c r="A43" s="152"/>
      <c r="B43" s="233"/>
      <c r="C43" s="233"/>
      <c r="D43" s="233"/>
      <c r="E43" s="233"/>
      <c r="F43" s="13" t="s">
        <v>183</v>
      </c>
      <c r="G43" s="214" t="s">
        <v>184</v>
      </c>
      <c r="H43" s="213"/>
      <c r="I43" s="14"/>
      <c r="J43" s="15">
        <v>0</v>
      </c>
      <c r="K43" s="15">
        <v>0</v>
      </c>
      <c r="L43" s="167"/>
      <c r="M43" s="168"/>
      <c r="N43" s="23"/>
      <c r="O43" s="15">
        <v>0</v>
      </c>
      <c r="P43" s="15">
        <v>0</v>
      </c>
      <c r="Q43" s="63"/>
      <c r="R43" s="29"/>
      <c r="S43" s="100"/>
      <c r="T43" s="124">
        <v>1</v>
      </c>
      <c r="U43" s="124">
        <v>0.84</v>
      </c>
      <c r="V43" s="63">
        <f>4812183584/L1</f>
        <v>4812.1835840000003</v>
      </c>
      <c r="W43" s="63">
        <f>4260383903/L1</f>
        <v>4260.3839029999999</v>
      </c>
      <c r="X43" s="101"/>
      <c r="Y43" s="124">
        <v>1</v>
      </c>
      <c r="Z43" s="103">
        <v>0</v>
      </c>
      <c r="AA43" s="63">
        <f>788733333/L1</f>
        <v>788.73333300000002</v>
      </c>
      <c r="AB43" s="106"/>
      <c r="AC43" s="101"/>
      <c r="AD43" s="124">
        <v>1</v>
      </c>
      <c r="AE43" s="90">
        <v>0</v>
      </c>
      <c r="AF43" s="63">
        <f>2160000000/L1</f>
        <v>2160</v>
      </c>
      <c r="AG43" s="106"/>
      <c r="AH43" s="100"/>
      <c r="AI43" s="111">
        <f>AD43</f>
        <v>1</v>
      </c>
      <c r="AJ43" s="149">
        <f>+U43</f>
        <v>0.84</v>
      </c>
      <c r="AK43" s="63">
        <f>L43+Q43+V43+AA43+AF43</f>
        <v>7760.9169170000005</v>
      </c>
      <c r="AL43" s="62">
        <f>M43+R43+W43+AB43+AG43</f>
        <v>4260.3839029999999</v>
      </c>
      <c r="AM43" s="197" t="s">
        <v>191</v>
      </c>
      <c r="AN43" s="210"/>
    </row>
    <row r="44" spans="1:43" s="6" customFormat="1" ht="15.75" x14ac:dyDescent="0.25">
      <c r="A44" s="17"/>
      <c r="B44" s="118" t="s">
        <v>103</v>
      </c>
      <c r="C44" s="118"/>
      <c r="D44" s="118"/>
      <c r="E44" s="118"/>
      <c r="F44" s="39"/>
      <c r="G44" s="39"/>
      <c r="H44" s="39"/>
      <c r="I44" s="40"/>
      <c r="J44" s="41"/>
      <c r="K44" s="41"/>
      <c r="L44" s="160">
        <f>SUM(L39:L43)</f>
        <v>6420.3222070000002</v>
      </c>
      <c r="M44" s="160">
        <f>SUM(M39:M43)</f>
        <v>6383.6099849999991</v>
      </c>
      <c r="N44" s="51"/>
      <c r="O44" s="41"/>
      <c r="P44" s="41"/>
      <c r="Q44" s="160">
        <f>SUM(Q39:Q43)</f>
        <v>4664.7849999999999</v>
      </c>
      <c r="R44" s="160">
        <f>SUM(R39:R43)</f>
        <v>4658.3461790000001</v>
      </c>
      <c r="T44" s="41"/>
      <c r="U44" s="41"/>
      <c r="V44" s="160">
        <f>SUM(V39:V43)</f>
        <v>8850.0010000000002</v>
      </c>
      <c r="W44" s="160">
        <f>SUM(W39:W43)</f>
        <v>8045.396495</v>
      </c>
      <c r="Y44" s="41"/>
      <c r="Z44" s="41"/>
      <c r="AA44" s="160">
        <f>SUM(AA39:AA43)</f>
        <v>2821.86</v>
      </c>
      <c r="AB44" s="42">
        <f>SUM(AB39:AB42)</f>
        <v>0</v>
      </c>
      <c r="AC44" s="112"/>
      <c r="AD44" s="41"/>
      <c r="AE44" s="42"/>
      <c r="AF44" s="160">
        <f>SUM(AF39:AF43)</f>
        <v>4018.6570000000002</v>
      </c>
      <c r="AG44" s="160">
        <f>SUM(AG39:AG43)</f>
        <v>0</v>
      </c>
      <c r="AI44" s="96"/>
      <c r="AJ44" s="96"/>
      <c r="AK44" s="160">
        <f>SUM(AK39:AK43)</f>
        <v>26775.625206999997</v>
      </c>
      <c r="AL44" s="160">
        <f>SUM(AL39:AL43)</f>
        <v>19087.352659</v>
      </c>
      <c r="AM44" s="98"/>
      <c r="AN44" s="25" t="s">
        <v>179</v>
      </c>
      <c r="AO44" s="219">
        <f>26732-AK44</f>
        <v>-43.625206999997317</v>
      </c>
      <c r="AP44" s="219">
        <f>+L44-M44+Q44-R44</f>
        <v>43.151043000000755</v>
      </c>
      <c r="AQ44" s="98"/>
    </row>
    <row r="45" spans="1:43" x14ac:dyDescent="0.25">
      <c r="AN45" s="89"/>
    </row>
    <row r="46" spans="1:43" s="5" customFormat="1" ht="15.75" customHeight="1" x14ac:dyDescent="0.2">
      <c r="A46" s="273"/>
      <c r="B46" s="273"/>
      <c r="C46" s="273"/>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c r="AD46" s="273"/>
      <c r="AE46" s="273"/>
      <c r="AF46" s="273"/>
      <c r="AG46" s="273"/>
      <c r="AH46" s="273"/>
      <c r="AI46" s="273"/>
      <c r="AJ46" s="273"/>
      <c r="AK46" s="273"/>
      <c r="AL46" s="273"/>
      <c r="AM46" s="94"/>
    </row>
    <row r="47" spans="1:43" s="3" customFormat="1" ht="12.75" x14ac:dyDescent="0.2">
      <c r="A47" s="140"/>
      <c r="B47" s="4"/>
      <c r="C47" s="4"/>
      <c r="D47" s="4"/>
      <c r="E47" s="4"/>
      <c r="F47" s="4"/>
      <c r="G47" s="4"/>
      <c r="H47" s="4"/>
      <c r="I47" s="2"/>
      <c r="J47" s="140"/>
      <c r="K47" s="2"/>
      <c r="L47" s="155"/>
      <c r="M47" s="2"/>
      <c r="N47" s="2"/>
      <c r="O47" s="2"/>
      <c r="P47" s="2"/>
      <c r="Q47" s="2"/>
      <c r="R47" s="2"/>
      <c r="T47" s="102"/>
      <c r="U47" s="102"/>
      <c r="V47" s="102"/>
      <c r="W47" s="102"/>
      <c r="Y47" s="102"/>
      <c r="Z47" s="102"/>
      <c r="AA47" s="102"/>
      <c r="AB47" s="102"/>
      <c r="AD47" s="2"/>
      <c r="AE47" s="2"/>
      <c r="AF47" s="102"/>
      <c r="AG47" s="102"/>
      <c r="AI47" s="109"/>
      <c r="AJ47" s="109"/>
      <c r="AK47" s="109"/>
      <c r="AL47" s="110"/>
      <c r="AM47" s="93"/>
    </row>
    <row r="48" spans="1:43" x14ac:dyDescent="0.25">
      <c r="A48" s="142">
        <v>2</v>
      </c>
      <c r="B48" s="122" t="s">
        <v>94</v>
      </c>
      <c r="C48" s="269" t="s">
        <v>163</v>
      </c>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row>
    <row r="49" spans="1:41" ht="15.75" x14ac:dyDescent="0.25">
      <c r="A49" s="141">
        <v>15</v>
      </c>
      <c r="B49" s="6" t="s">
        <v>157</v>
      </c>
      <c r="C49" s="277" t="s">
        <v>164</v>
      </c>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row>
    <row r="50" spans="1:41" x14ac:dyDescent="0.25">
      <c r="A50" s="141">
        <v>29</v>
      </c>
      <c r="B50" s="6" t="s">
        <v>95</v>
      </c>
      <c r="C50" s="269" t="s">
        <v>165</v>
      </c>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row>
    <row r="51" spans="1:41" ht="30" x14ac:dyDescent="0.25">
      <c r="A51" s="141">
        <v>3</v>
      </c>
      <c r="B51" s="123" t="s">
        <v>98</v>
      </c>
      <c r="C51" s="269" t="s">
        <v>114</v>
      </c>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row>
    <row r="53" spans="1:41" s="11" customFormat="1" ht="27" customHeight="1" x14ac:dyDescent="0.25">
      <c r="A53" s="254" t="s">
        <v>2</v>
      </c>
      <c r="B53" s="229" t="s">
        <v>3</v>
      </c>
      <c r="C53" s="267" t="s">
        <v>87</v>
      </c>
      <c r="D53" s="229" t="s">
        <v>67</v>
      </c>
      <c r="E53" s="267" t="s">
        <v>170</v>
      </c>
      <c r="F53" s="251" t="s">
        <v>101</v>
      </c>
      <c r="G53" s="276" t="s">
        <v>90</v>
      </c>
      <c r="H53" s="224" t="s">
        <v>171</v>
      </c>
      <c r="I53" s="10"/>
      <c r="J53" s="224">
        <v>2020</v>
      </c>
      <c r="K53" s="224"/>
      <c r="L53" s="224"/>
      <c r="M53" s="224"/>
      <c r="N53" s="10"/>
      <c r="O53" s="224">
        <v>2021</v>
      </c>
      <c r="P53" s="224"/>
      <c r="Q53" s="224"/>
      <c r="R53" s="224"/>
      <c r="T53" s="224">
        <v>2022</v>
      </c>
      <c r="U53" s="224"/>
      <c r="V53" s="224"/>
      <c r="W53" s="224"/>
      <c r="Y53" s="224">
        <v>2023</v>
      </c>
      <c r="Z53" s="224"/>
      <c r="AA53" s="224"/>
      <c r="AB53" s="224"/>
      <c r="AD53" s="225">
        <v>2024</v>
      </c>
      <c r="AE53" s="226"/>
      <c r="AF53" s="226"/>
      <c r="AG53" s="226"/>
      <c r="AI53" s="270" t="s">
        <v>102</v>
      </c>
      <c r="AJ53" s="270"/>
      <c r="AK53" s="270"/>
      <c r="AL53" s="270"/>
      <c r="AM53" s="98"/>
    </row>
    <row r="54" spans="1:41" s="11" customFormat="1" ht="16.5" customHeight="1" x14ac:dyDescent="0.25">
      <c r="A54" s="255"/>
      <c r="B54" s="230"/>
      <c r="C54" s="252"/>
      <c r="D54" s="230"/>
      <c r="E54" s="252"/>
      <c r="F54" s="252"/>
      <c r="G54" s="276"/>
      <c r="H54" s="224"/>
      <c r="I54" s="10"/>
      <c r="J54" s="223" t="s">
        <v>4</v>
      </c>
      <c r="K54" s="223"/>
      <c r="L54" s="223" t="s">
        <v>61</v>
      </c>
      <c r="M54" s="223"/>
      <c r="N54" s="10"/>
      <c r="O54" s="223" t="s">
        <v>6</v>
      </c>
      <c r="P54" s="223"/>
      <c r="Q54" s="223" t="s">
        <v>8</v>
      </c>
      <c r="R54" s="223"/>
      <c r="S54" s="10"/>
      <c r="T54" s="223" t="s">
        <v>7</v>
      </c>
      <c r="U54" s="223"/>
      <c r="V54" s="223" t="s">
        <v>8</v>
      </c>
      <c r="W54" s="223"/>
      <c r="Y54" s="223" t="s">
        <v>7</v>
      </c>
      <c r="Z54" s="223"/>
      <c r="AA54" s="223" t="s">
        <v>8</v>
      </c>
      <c r="AB54" s="223"/>
      <c r="AD54" s="223" t="s">
        <v>7</v>
      </c>
      <c r="AE54" s="223"/>
      <c r="AF54" s="223" t="s">
        <v>8</v>
      </c>
      <c r="AG54" s="223"/>
      <c r="AI54" s="227" t="s">
        <v>4</v>
      </c>
      <c r="AJ54" s="227" t="s">
        <v>66</v>
      </c>
      <c r="AK54" s="227" t="s">
        <v>8</v>
      </c>
      <c r="AL54" s="227" t="s">
        <v>5</v>
      </c>
      <c r="AM54" s="98"/>
    </row>
    <row r="55" spans="1:41" s="11" customFormat="1" ht="33" x14ac:dyDescent="0.25">
      <c r="A55" s="256"/>
      <c r="B55" s="231"/>
      <c r="C55" s="268"/>
      <c r="D55" s="231"/>
      <c r="E55" s="268"/>
      <c r="F55" s="253"/>
      <c r="G55" s="276"/>
      <c r="H55" s="224"/>
      <c r="I55" s="12"/>
      <c r="J55" s="153" t="s">
        <v>59</v>
      </c>
      <c r="K55" s="116" t="s">
        <v>60</v>
      </c>
      <c r="L55" s="157" t="s">
        <v>64</v>
      </c>
      <c r="M55" s="116" t="s">
        <v>63</v>
      </c>
      <c r="N55" s="12"/>
      <c r="O55" s="61" t="s">
        <v>59</v>
      </c>
      <c r="P55" s="116" t="s">
        <v>60</v>
      </c>
      <c r="Q55" s="61" t="s">
        <v>62</v>
      </c>
      <c r="R55" s="116" t="s">
        <v>63</v>
      </c>
      <c r="S55" s="10"/>
      <c r="T55" s="61" t="s">
        <v>59</v>
      </c>
      <c r="U55" s="116" t="s">
        <v>60</v>
      </c>
      <c r="V55" s="116" t="s">
        <v>62</v>
      </c>
      <c r="W55" s="116" t="s">
        <v>63</v>
      </c>
      <c r="Y55" s="116" t="s">
        <v>59</v>
      </c>
      <c r="Z55" s="116" t="s">
        <v>60</v>
      </c>
      <c r="AA55" s="116" t="s">
        <v>64</v>
      </c>
      <c r="AB55" s="116" t="s">
        <v>63</v>
      </c>
      <c r="AD55" s="116" t="s">
        <v>59</v>
      </c>
      <c r="AE55" s="116" t="s">
        <v>60</v>
      </c>
      <c r="AF55" s="116" t="s">
        <v>64</v>
      </c>
      <c r="AG55" s="116" t="s">
        <v>63</v>
      </c>
      <c r="AI55" s="228"/>
      <c r="AJ55" s="228"/>
      <c r="AK55" s="228"/>
      <c r="AL55" s="228"/>
      <c r="AM55" s="98"/>
    </row>
    <row r="56" spans="1:41" ht="75.75" customHeight="1" x14ac:dyDescent="0.25">
      <c r="A56" s="265" t="s">
        <v>123</v>
      </c>
      <c r="B56" s="232" t="s">
        <v>125</v>
      </c>
      <c r="C56" s="232" t="s">
        <v>124</v>
      </c>
      <c r="D56" s="232" t="s">
        <v>153</v>
      </c>
      <c r="E56" s="232" t="str">
        <f>C49</f>
        <v xml:space="preserve">Intervenir integralmente áreas estratégicas de Bogotá teniendo en cuenta las dinámicas patrimoniales, ambientales, sociales y culturales  
</v>
      </c>
      <c r="F56" s="138" t="s">
        <v>126</v>
      </c>
      <c r="G56" s="138" t="s">
        <v>127</v>
      </c>
      <c r="H56" s="271" t="str">
        <f>C51</f>
        <v>Sistema Distrital de cuidado</v>
      </c>
      <c r="I56" s="14"/>
      <c r="J56" s="127">
        <v>410</v>
      </c>
      <c r="K56" s="127">
        <v>410</v>
      </c>
      <c r="L56" s="158"/>
      <c r="M56" s="128"/>
      <c r="N56" s="129"/>
      <c r="O56" s="146">
        <v>526</v>
      </c>
      <c r="P56" s="144">
        <v>526</v>
      </c>
      <c r="Q56" s="128"/>
      <c r="R56" s="128"/>
      <c r="S56" s="131"/>
      <c r="T56" s="145">
        <v>764</v>
      </c>
      <c r="U56" s="145">
        <v>581</v>
      </c>
      <c r="V56" s="133"/>
      <c r="W56" s="134"/>
      <c r="X56" s="135"/>
      <c r="Y56" s="145">
        <v>361</v>
      </c>
      <c r="Z56" s="145">
        <v>0</v>
      </c>
      <c r="AA56" s="133"/>
      <c r="AB56" s="134"/>
      <c r="AC56" s="135"/>
      <c r="AD56" s="146">
        <v>89</v>
      </c>
      <c r="AE56" s="146">
        <v>0</v>
      </c>
      <c r="AF56" s="133"/>
      <c r="AG56" s="134"/>
      <c r="AH56" s="131"/>
      <c r="AI56" s="146">
        <f>J56+O56+T56+Y56+AD56</f>
        <v>2150</v>
      </c>
      <c r="AJ56" s="146">
        <f>K56+P56+U56+Z56+AE56</f>
        <v>1517</v>
      </c>
      <c r="AK56" s="137">
        <f>L56+Q56+V56+AA56+AF56</f>
        <v>0</v>
      </c>
      <c r="AL56" s="137">
        <f>M56+R56+W56+AB56+AG56</f>
        <v>0</v>
      </c>
      <c r="AM56" s="99" t="s">
        <v>191</v>
      </c>
    </row>
    <row r="57" spans="1:41" ht="71.25" customHeight="1" x14ac:dyDescent="0.25">
      <c r="A57" s="266"/>
      <c r="B57" s="239"/>
      <c r="C57" s="239"/>
      <c r="D57" s="239"/>
      <c r="E57" s="239"/>
      <c r="F57" s="13" t="s">
        <v>128</v>
      </c>
      <c r="G57" s="13" t="s">
        <v>129</v>
      </c>
      <c r="H57" s="272"/>
      <c r="I57" s="14"/>
      <c r="J57" s="15">
        <v>54</v>
      </c>
      <c r="K57" s="90">
        <v>55</v>
      </c>
      <c r="L57" s="159">
        <v>5071.6473960000003</v>
      </c>
      <c r="M57" s="29">
        <v>4319.8978859999997</v>
      </c>
      <c r="N57" s="23"/>
      <c r="O57" s="15">
        <v>207</v>
      </c>
      <c r="P57" s="15">
        <v>207</v>
      </c>
      <c r="Q57" s="63">
        <f>10671009470/L1</f>
        <v>10671.009470000001</v>
      </c>
      <c r="R57" s="29">
        <f>10624208143/L1</f>
        <v>10624.208143</v>
      </c>
      <c r="S57" s="100"/>
      <c r="T57" s="199">
        <v>540</v>
      </c>
      <c r="U57" s="113">
        <v>376</v>
      </c>
      <c r="V57" s="63">
        <f>20890389172/L1</f>
        <v>20890.389171999999</v>
      </c>
      <c r="W57" s="63">
        <f>18641324141/L1</f>
        <v>18641.324141000001</v>
      </c>
      <c r="X57" s="101"/>
      <c r="Y57" s="103">
        <v>225</v>
      </c>
      <c r="Z57" s="113">
        <v>0</v>
      </c>
      <c r="AA57" s="63">
        <f>6063300000/L1</f>
        <v>6063.3</v>
      </c>
      <c r="AB57" s="105"/>
      <c r="AC57" s="101"/>
      <c r="AD57" s="90">
        <v>197</v>
      </c>
      <c r="AE57" s="90">
        <v>0</v>
      </c>
      <c r="AF57" s="63">
        <f>22071128846/L1</f>
        <v>22071.128846</v>
      </c>
      <c r="AG57" s="105"/>
      <c r="AH57" s="100"/>
      <c r="AI57" s="90">
        <f>J57+O57+T57+Y57+AD57</f>
        <v>1223</v>
      </c>
      <c r="AJ57" s="90">
        <f t="shared" ref="AJ57:AJ62" si="4">K57+P57+U57+Z57+AE57</f>
        <v>638</v>
      </c>
      <c r="AK57" s="62">
        <f t="shared" ref="AK57:AL63" si="5">L57+Q57+V57+AA57+AF57</f>
        <v>64767.474884000003</v>
      </c>
      <c r="AL57" s="62">
        <f t="shared" si="5"/>
        <v>33585.43017</v>
      </c>
      <c r="AM57" s="99" t="s">
        <v>191</v>
      </c>
      <c r="AN57" s="210"/>
    </row>
    <row r="58" spans="1:41" ht="66.75" customHeight="1" x14ac:dyDescent="0.25">
      <c r="A58" s="266"/>
      <c r="B58" s="239"/>
      <c r="C58" s="239"/>
      <c r="D58" s="239"/>
      <c r="E58" s="239"/>
      <c r="F58" s="13" t="s">
        <v>130</v>
      </c>
      <c r="G58" s="13" t="s">
        <v>131</v>
      </c>
      <c r="H58" s="272"/>
      <c r="I58" s="14"/>
      <c r="J58" s="15">
        <v>28</v>
      </c>
      <c r="K58" s="15">
        <v>27</v>
      </c>
      <c r="L58" s="159">
        <v>2969.3287610000002</v>
      </c>
      <c r="M58" s="29">
        <v>2928.9973829999999</v>
      </c>
      <c r="N58" s="23"/>
      <c r="O58" s="90">
        <v>37</v>
      </c>
      <c r="P58" s="90">
        <v>37</v>
      </c>
      <c r="Q58" s="63">
        <f>2731695509/L1</f>
        <v>2731.6955090000001</v>
      </c>
      <c r="R58" s="29">
        <f>2708768098/L1</f>
        <v>2708.768098</v>
      </c>
      <c r="S58" s="100"/>
      <c r="T58" s="199">
        <v>45</v>
      </c>
      <c r="U58" s="103">
        <v>35</v>
      </c>
      <c r="V58" s="63">
        <f>2098452139/L1</f>
        <v>2098.452139</v>
      </c>
      <c r="W58" s="63">
        <f>2004762755/L1</f>
        <v>2004.762755</v>
      </c>
      <c r="X58" s="101"/>
      <c r="Y58" s="103">
        <v>6</v>
      </c>
      <c r="Z58" s="103">
        <v>0</v>
      </c>
      <c r="AA58" s="63">
        <f>800000000/L1</f>
        <v>800</v>
      </c>
      <c r="AB58" s="106"/>
      <c r="AC58" s="101"/>
      <c r="AD58" s="90">
        <v>0</v>
      </c>
      <c r="AE58" s="90">
        <v>0</v>
      </c>
      <c r="AF58" s="63">
        <v>0</v>
      </c>
      <c r="AG58" s="106"/>
      <c r="AH58" s="100"/>
      <c r="AI58" s="90">
        <f>J58+O58+T58+Y58+AD58</f>
        <v>116</v>
      </c>
      <c r="AJ58" s="90">
        <f t="shared" si="4"/>
        <v>99</v>
      </c>
      <c r="AK58" s="62">
        <f t="shared" si="5"/>
        <v>8599.476408999999</v>
      </c>
      <c r="AL58" s="62">
        <f t="shared" si="5"/>
        <v>7642.5282360000001</v>
      </c>
      <c r="AM58" s="92" t="s">
        <v>191</v>
      </c>
      <c r="AN58" s="210"/>
    </row>
    <row r="59" spans="1:41" ht="58.5" customHeight="1" x14ac:dyDescent="0.25">
      <c r="A59" s="266"/>
      <c r="B59" s="239"/>
      <c r="C59" s="239"/>
      <c r="D59" s="239"/>
      <c r="E59" s="239"/>
      <c r="F59" s="13" t="s">
        <v>176</v>
      </c>
      <c r="G59" s="13" t="s">
        <v>132</v>
      </c>
      <c r="H59" s="272"/>
      <c r="I59" s="14"/>
      <c r="J59" s="15">
        <v>1497</v>
      </c>
      <c r="K59" s="15">
        <v>1484</v>
      </c>
      <c r="L59" s="159">
        <v>3667.6184499999999</v>
      </c>
      <c r="M59" s="29">
        <v>3203.0383700000002</v>
      </c>
      <c r="N59" s="23"/>
      <c r="O59" s="90">
        <v>1598</v>
      </c>
      <c r="P59" s="15">
        <v>1588</v>
      </c>
      <c r="Q59" s="29">
        <f>5904783901/L1</f>
        <v>5904.7839009999998</v>
      </c>
      <c r="R59" s="63">
        <f>5824458558/L1</f>
        <v>5824.4585580000003</v>
      </c>
      <c r="S59" s="100"/>
      <c r="T59" s="15">
        <v>1706</v>
      </c>
      <c r="U59" s="15">
        <v>1706</v>
      </c>
      <c r="V59" s="63">
        <f>3929397165/L1</f>
        <v>3929.3971649999999</v>
      </c>
      <c r="W59" s="63">
        <f>3927095865/L1</f>
        <v>3927.0958649999998</v>
      </c>
      <c r="X59" s="101"/>
      <c r="Y59" s="199">
        <v>0</v>
      </c>
      <c r="Z59" s="103">
        <v>0</v>
      </c>
      <c r="AA59" s="63">
        <v>0</v>
      </c>
      <c r="AB59" s="104"/>
      <c r="AC59" s="101"/>
      <c r="AD59" s="90">
        <v>0</v>
      </c>
      <c r="AE59" s="90">
        <v>0</v>
      </c>
      <c r="AF59" s="63">
        <v>0</v>
      </c>
      <c r="AG59" s="104"/>
      <c r="AH59" s="100"/>
      <c r="AI59" s="90">
        <f>U59</f>
        <v>1706</v>
      </c>
      <c r="AJ59" s="90">
        <f>+U59</f>
        <v>1706</v>
      </c>
      <c r="AK59" s="62">
        <f t="shared" si="5"/>
        <v>13501.799516000001</v>
      </c>
      <c r="AL59" s="62">
        <f t="shared" si="5"/>
        <v>12954.592793</v>
      </c>
      <c r="AM59" s="99" t="s">
        <v>191</v>
      </c>
      <c r="AN59" s="210"/>
    </row>
    <row r="60" spans="1:41" ht="43.5" customHeight="1" x14ac:dyDescent="0.25">
      <c r="A60" s="152"/>
      <c r="B60" s="239"/>
      <c r="C60" s="239"/>
      <c r="D60" s="239"/>
      <c r="E60" s="239"/>
      <c r="F60" s="209" t="s">
        <v>187</v>
      </c>
      <c r="G60" s="13" t="s">
        <v>132</v>
      </c>
      <c r="H60" s="187"/>
      <c r="I60" s="14"/>
      <c r="J60" s="15">
        <v>0</v>
      </c>
      <c r="K60" s="15">
        <v>0</v>
      </c>
      <c r="L60" s="159"/>
      <c r="M60" s="29"/>
      <c r="N60" s="23"/>
      <c r="O60" s="90">
        <v>797</v>
      </c>
      <c r="P60" s="90">
        <v>797</v>
      </c>
      <c r="Q60" s="63">
        <f>279171937/L1</f>
        <v>279.17193700000001</v>
      </c>
      <c r="R60" s="29">
        <f>279171937/L1</f>
        <v>279.17193700000001</v>
      </c>
      <c r="S60" s="100"/>
      <c r="T60" s="199">
        <v>520</v>
      </c>
      <c r="U60" s="103">
        <v>350</v>
      </c>
      <c r="V60" s="63">
        <f>477573959/L1</f>
        <v>477.573959</v>
      </c>
      <c r="W60" s="63">
        <f>477501590/L1</f>
        <v>477.50159000000002</v>
      </c>
      <c r="X60" s="101"/>
      <c r="Y60" s="199">
        <v>351</v>
      </c>
      <c r="Z60" s="103">
        <v>0</v>
      </c>
      <c r="AA60" s="63">
        <f>510912000/L1</f>
        <v>510.91199999999998</v>
      </c>
      <c r="AB60" s="104"/>
      <c r="AC60" s="101"/>
      <c r="AD60" s="90">
        <v>81</v>
      </c>
      <c r="AE60" s="90">
        <v>0</v>
      </c>
      <c r="AF60" s="63">
        <f>452460458/L1</f>
        <v>452.46045800000002</v>
      </c>
      <c r="AG60" s="104"/>
      <c r="AH60" s="100"/>
      <c r="AI60" s="90">
        <f>J60+O60+T60+Y60+AD60</f>
        <v>1749</v>
      </c>
      <c r="AJ60" s="90">
        <f t="shared" si="4"/>
        <v>1147</v>
      </c>
      <c r="AK60" s="62">
        <f t="shared" si="5"/>
        <v>1720.118354</v>
      </c>
      <c r="AL60" s="62">
        <f t="shared" si="5"/>
        <v>756.67352700000004</v>
      </c>
      <c r="AM60" s="99" t="s">
        <v>191</v>
      </c>
      <c r="AN60" s="210"/>
    </row>
    <row r="61" spans="1:41" ht="109.5" customHeight="1" x14ac:dyDescent="0.25">
      <c r="A61" s="152"/>
      <c r="B61" s="239"/>
      <c r="C61" s="239"/>
      <c r="D61" s="239"/>
      <c r="E61" s="239"/>
      <c r="F61" s="13" t="s">
        <v>175</v>
      </c>
      <c r="G61" s="13" t="s">
        <v>132</v>
      </c>
      <c r="H61" s="187"/>
      <c r="I61" s="14"/>
      <c r="J61" s="15">
        <v>0</v>
      </c>
      <c r="K61" s="15">
        <v>0</v>
      </c>
      <c r="L61" s="159"/>
      <c r="M61" s="29"/>
      <c r="N61" s="23"/>
      <c r="O61" s="26">
        <v>1</v>
      </c>
      <c r="P61" s="188">
        <v>1</v>
      </c>
      <c r="Q61" s="63">
        <f>4077434183/L1</f>
        <v>4077.4341829999998</v>
      </c>
      <c r="R61" s="29">
        <f>4077434183/L1</f>
        <v>4077.4341829999998</v>
      </c>
      <c r="S61" s="100"/>
      <c r="T61" s="26">
        <v>1</v>
      </c>
      <c r="U61" s="188">
        <v>1</v>
      </c>
      <c r="V61" s="63">
        <f>5153864765/L1</f>
        <v>5153.8647650000003</v>
      </c>
      <c r="W61" s="63">
        <f>4888862665/L1</f>
        <v>4888.8626649999997</v>
      </c>
      <c r="X61" s="101"/>
      <c r="Y61" s="26">
        <v>1</v>
      </c>
      <c r="Z61" s="103">
        <v>0</v>
      </c>
      <c r="AA61" s="63">
        <f>5429119000/L1</f>
        <v>5429.1189999999997</v>
      </c>
      <c r="AB61" s="104"/>
      <c r="AC61" s="101"/>
      <c r="AD61" s="26">
        <v>1</v>
      </c>
      <c r="AE61" s="90"/>
      <c r="AF61" s="63">
        <f>6251368089/L1</f>
        <v>6251.3680889999996</v>
      </c>
      <c r="AG61" s="104"/>
      <c r="AH61" s="100"/>
      <c r="AI61" s="111">
        <f>AD61</f>
        <v>1</v>
      </c>
      <c r="AJ61" s="188">
        <f>(P61+U61+Z61+AE61)/2</f>
        <v>1</v>
      </c>
      <c r="AK61" s="62">
        <f t="shared" si="5"/>
        <v>20911.786036999998</v>
      </c>
      <c r="AL61" s="62">
        <f t="shared" si="5"/>
        <v>8966.296848</v>
      </c>
      <c r="AM61" s="99" t="s">
        <v>191</v>
      </c>
      <c r="AN61" s="210"/>
    </row>
    <row r="62" spans="1:41" ht="109.5" customHeight="1" x14ac:dyDescent="0.25">
      <c r="A62" s="152"/>
      <c r="B62" s="239"/>
      <c r="C62" s="239"/>
      <c r="D62" s="239"/>
      <c r="E62" s="239"/>
      <c r="F62" s="13" t="s">
        <v>188</v>
      </c>
      <c r="G62" s="13" t="s">
        <v>132</v>
      </c>
      <c r="H62" s="215"/>
      <c r="I62" s="14"/>
      <c r="J62" s="15">
        <v>0</v>
      </c>
      <c r="K62" s="15">
        <v>0</v>
      </c>
      <c r="L62" s="159"/>
      <c r="M62" s="29"/>
      <c r="N62" s="23"/>
      <c r="O62" s="15">
        <v>0</v>
      </c>
      <c r="P62" s="15">
        <v>0</v>
      </c>
      <c r="Q62" s="63">
        <v>0</v>
      </c>
      <c r="R62" s="29">
        <v>0</v>
      </c>
      <c r="S62" s="100"/>
      <c r="T62" s="216">
        <v>244</v>
      </c>
      <c r="U62" s="216">
        <v>231</v>
      </c>
      <c r="V62" s="63">
        <f>150000000/L1</f>
        <v>150</v>
      </c>
      <c r="W62" s="63">
        <f>93554179/L1</f>
        <v>93.554179000000005</v>
      </c>
      <c r="X62" s="101"/>
      <c r="Y62" s="216">
        <v>10</v>
      </c>
      <c r="Z62" s="216">
        <v>0</v>
      </c>
      <c r="AA62" s="63">
        <f>72000000/L1</f>
        <v>72</v>
      </c>
      <c r="AB62" s="104"/>
      <c r="AC62" s="101"/>
      <c r="AD62" s="216">
        <v>8</v>
      </c>
      <c r="AE62" s="216">
        <v>0</v>
      </c>
      <c r="AF62" s="63">
        <f>31200000/L1</f>
        <v>31.2</v>
      </c>
      <c r="AG62" s="104"/>
      <c r="AH62" s="100"/>
      <c r="AI62" s="90">
        <f>J62+O62+T62+Y62+AD62</f>
        <v>262</v>
      </c>
      <c r="AJ62" s="90">
        <f t="shared" si="4"/>
        <v>231</v>
      </c>
      <c r="AK62" s="62">
        <f t="shared" si="5"/>
        <v>253.2</v>
      </c>
      <c r="AL62" s="62">
        <f t="shared" si="5"/>
        <v>93.554179000000005</v>
      </c>
      <c r="AM62" s="99" t="s">
        <v>191</v>
      </c>
      <c r="AN62" s="210"/>
    </row>
    <row r="63" spans="1:41" ht="109.5" customHeight="1" x14ac:dyDescent="0.25">
      <c r="A63" s="152"/>
      <c r="B63" s="233"/>
      <c r="C63" s="233"/>
      <c r="D63" s="233"/>
      <c r="E63" s="233"/>
      <c r="F63" s="13" t="s">
        <v>189</v>
      </c>
      <c r="G63" s="13" t="s">
        <v>132</v>
      </c>
      <c r="H63" s="215"/>
      <c r="I63" s="14"/>
      <c r="J63" s="26">
        <v>0</v>
      </c>
      <c r="K63" s="26">
        <v>0</v>
      </c>
      <c r="L63" s="159"/>
      <c r="M63" s="29"/>
      <c r="N63" s="23"/>
      <c r="O63" s="26">
        <v>0</v>
      </c>
      <c r="P63" s="26">
        <v>0</v>
      </c>
      <c r="Q63" s="63">
        <v>0</v>
      </c>
      <c r="R63" s="29">
        <v>0</v>
      </c>
      <c r="S63" s="100"/>
      <c r="T63" s="26">
        <v>1</v>
      </c>
      <c r="U63" s="26">
        <v>1</v>
      </c>
      <c r="V63" s="63">
        <f>916744800/L1</f>
        <v>916.74480000000005</v>
      </c>
      <c r="W63" s="63">
        <f>471145131/L1</f>
        <v>471.14513099999999</v>
      </c>
      <c r="X63" s="101"/>
      <c r="Y63" s="26">
        <v>1</v>
      </c>
      <c r="Z63" s="26">
        <v>0</v>
      </c>
      <c r="AA63" s="63">
        <f>4809600000/L1</f>
        <v>4809.6000000000004</v>
      </c>
      <c r="AB63" s="104"/>
      <c r="AC63" s="101"/>
      <c r="AD63" s="26">
        <v>1</v>
      </c>
      <c r="AE63" s="26">
        <v>0</v>
      </c>
      <c r="AF63" s="63">
        <f>2404800000/L1</f>
        <v>2404.8000000000002</v>
      </c>
      <c r="AG63" s="104"/>
      <c r="AH63" s="100"/>
      <c r="AI63" s="111">
        <f>AD63</f>
        <v>1</v>
      </c>
      <c r="AJ63" s="188">
        <f>(P63+U63+Z63+AE63)/2</f>
        <v>0.5</v>
      </c>
      <c r="AK63" s="62">
        <f t="shared" si="5"/>
        <v>8131.1448000000009</v>
      </c>
      <c r="AL63" s="62">
        <f t="shared" si="5"/>
        <v>471.14513099999999</v>
      </c>
      <c r="AM63" s="99" t="s">
        <v>191</v>
      </c>
      <c r="AN63" s="210"/>
    </row>
    <row r="64" spans="1:41" x14ac:dyDescent="0.25">
      <c r="AO64" s="192"/>
    </row>
    <row r="65" spans="1:42" s="6" customFormat="1" ht="15.75" x14ac:dyDescent="0.25">
      <c r="A65" s="17"/>
      <c r="B65" s="118" t="s">
        <v>103</v>
      </c>
      <c r="C65" s="118"/>
      <c r="D65" s="118"/>
      <c r="E65" s="118"/>
      <c r="F65" s="39"/>
      <c r="G65" s="39"/>
      <c r="H65" s="39"/>
      <c r="I65" s="40"/>
      <c r="J65" s="41"/>
      <c r="K65" s="41"/>
      <c r="L65" s="160">
        <f>SUM(L56:L63)</f>
        <v>11708.594607000001</v>
      </c>
      <c r="M65" s="160">
        <f>SUM(M56:M63)</f>
        <v>10451.933638999999</v>
      </c>
      <c r="N65" s="51"/>
      <c r="O65" s="41"/>
      <c r="P65" s="41"/>
      <c r="Q65" s="160">
        <f>SUM(Q56:Q63)</f>
        <v>23664.095000000001</v>
      </c>
      <c r="R65" s="160">
        <f>SUM(R56:R63)</f>
        <v>23514.040919000003</v>
      </c>
      <c r="T65" s="41"/>
      <c r="U65" s="41"/>
      <c r="V65" s="160">
        <f>SUM(V56:V63)</f>
        <v>33616.421999999999</v>
      </c>
      <c r="W65" s="160">
        <f>SUM(W56:W63)</f>
        <v>30504.246326</v>
      </c>
      <c r="Y65" s="41"/>
      <c r="Z65" s="41"/>
      <c r="AA65" s="160">
        <f>SUM(AA56:AA63)</f>
        <v>17684.931</v>
      </c>
      <c r="AB65" s="160">
        <f>SUM(AB56:AB63)</f>
        <v>0</v>
      </c>
      <c r="AC65" s="112"/>
      <c r="AD65" s="41"/>
      <c r="AE65" s="42"/>
      <c r="AF65" s="160">
        <f>SUM(AF56:AF63)</f>
        <v>31210.957393000001</v>
      </c>
      <c r="AG65" s="160">
        <f>SUM(AG56:AG63)</f>
        <v>0</v>
      </c>
      <c r="AI65" s="96"/>
      <c r="AJ65" s="96"/>
      <c r="AK65" s="160">
        <f>SUM(AK56:AK63)</f>
        <v>117885</v>
      </c>
      <c r="AL65" s="160">
        <f>SUM(AL56:AL63)</f>
        <v>64470.220883999988</v>
      </c>
      <c r="AM65" s="98"/>
      <c r="AN65" s="92" t="s">
        <v>179</v>
      </c>
      <c r="AO65" s="191"/>
    </row>
    <row r="66" spans="1:42" x14ac:dyDescent="0.25">
      <c r="AO66" s="192"/>
    </row>
    <row r="67" spans="1:42" s="5" customFormat="1" ht="15.75" customHeight="1" x14ac:dyDescent="0.2">
      <c r="A67" s="273"/>
      <c r="B67" s="273"/>
      <c r="C67" s="273"/>
      <c r="D67" s="273"/>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94"/>
    </row>
    <row r="68" spans="1:42" s="3" customFormat="1" ht="12.75" x14ac:dyDescent="0.2">
      <c r="A68" s="140"/>
      <c r="B68" s="4"/>
      <c r="C68" s="4"/>
      <c r="D68" s="4"/>
      <c r="E68" s="4"/>
      <c r="F68" s="4"/>
      <c r="G68" s="4"/>
      <c r="H68" s="4"/>
      <c r="I68" s="2"/>
      <c r="J68" s="140"/>
      <c r="K68" s="2"/>
      <c r="L68" s="155"/>
      <c r="M68" s="2"/>
      <c r="N68" s="2"/>
      <c r="O68" s="2"/>
      <c r="P68" s="2"/>
      <c r="Q68" s="2"/>
      <c r="R68" s="2"/>
      <c r="T68" s="102"/>
      <c r="U68" s="102"/>
      <c r="V68" s="102"/>
      <c r="W68" s="102"/>
      <c r="Y68" s="102"/>
      <c r="Z68" s="102"/>
      <c r="AA68" s="102"/>
      <c r="AB68" s="102"/>
      <c r="AD68" s="2"/>
      <c r="AE68" s="2"/>
      <c r="AF68" s="102"/>
      <c r="AG68" s="102"/>
      <c r="AI68" s="109"/>
      <c r="AJ68" s="109"/>
      <c r="AK68" s="109"/>
      <c r="AL68" s="110"/>
      <c r="AM68" s="93"/>
    </row>
    <row r="69" spans="1:42" x14ac:dyDescent="0.25">
      <c r="A69" s="142">
        <v>1</v>
      </c>
      <c r="B69" s="122" t="s">
        <v>94</v>
      </c>
      <c r="C69" s="269" t="s">
        <v>113</v>
      </c>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69"/>
      <c r="AL69" s="269"/>
    </row>
    <row r="70" spans="1:42" x14ac:dyDescent="0.25">
      <c r="A70" s="141">
        <v>8</v>
      </c>
      <c r="B70" s="6" t="s">
        <v>157</v>
      </c>
      <c r="C70" s="269" t="s">
        <v>158</v>
      </c>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row>
    <row r="71" spans="1:42" x14ac:dyDescent="0.25">
      <c r="A71" s="141">
        <v>19</v>
      </c>
      <c r="B71" s="6" t="s">
        <v>95</v>
      </c>
      <c r="C71" s="269" t="s">
        <v>156</v>
      </c>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69"/>
    </row>
    <row r="72" spans="1:42" ht="30" x14ac:dyDescent="0.25">
      <c r="A72" s="141">
        <v>3</v>
      </c>
      <c r="B72" s="123" t="s">
        <v>98</v>
      </c>
      <c r="C72" s="269" t="s">
        <v>114</v>
      </c>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row>
    <row r="74" spans="1:42" s="11" customFormat="1" ht="27" customHeight="1" x14ac:dyDescent="0.25">
      <c r="A74" s="254" t="s">
        <v>2</v>
      </c>
      <c r="B74" s="229" t="s">
        <v>3</v>
      </c>
      <c r="C74" s="267" t="s">
        <v>87</v>
      </c>
      <c r="D74" s="229" t="s">
        <v>67</v>
      </c>
      <c r="E74" s="267" t="s">
        <v>170</v>
      </c>
      <c r="F74" s="251" t="s">
        <v>101</v>
      </c>
      <c r="G74" s="276" t="s">
        <v>90</v>
      </c>
      <c r="H74" s="224" t="s">
        <v>171</v>
      </c>
      <c r="I74" s="10"/>
      <c r="J74" s="224">
        <v>2020</v>
      </c>
      <c r="K74" s="224"/>
      <c r="L74" s="224"/>
      <c r="M74" s="224"/>
      <c r="N74" s="10"/>
      <c r="O74" s="224">
        <v>2021</v>
      </c>
      <c r="P74" s="224"/>
      <c r="Q74" s="224"/>
      <c r="R74" s="224"/>
      <c r="T74" s="224">
        <v>2022</v>
      </c>
      <c r="U74" s="224"/>
      <c r="V74" s="224"/>
      <c r="W74" s="224"/>
      <c r="Y74" s="224">
        <v>2023</v>
      </c>
      <c r="Z74" s="224"/>
      <c r="AA74" s="224"/>
      <c r="AB74" s="224"/>
      <c r="AD74" s="225">
        <v>2024</v>
      </c>
      <c r="AE74" s="226"/>
      <c r="AF74" s="226"/>
      <c r="AG74" s="226"/>
      <c r="AI74" s="270" t="s">
        <v>102</v>
      </c>
      <c r="AJ74" s="270"/>
      <c r="AK74" s="270"/>
      <c r="AL74" s="270"/>
      <c r="AM74" s="98"/>
    </row>
    <row r="75" spans="1:42" s="11" customFormat="1" ht="16.5" customHeight="1" x14ac:dyDescent="0.25">
      <c r="A75" s="255"/>
      <c r="B75" s="230"/>
      <c r="C75" s="252"/>
      <c r="D75" s="230"/>
      <c r="E75" s="252"/>
      <c r="F75" s="252"/>
      <c r="G75" s="276"/>
      <c r="H75" s="224"/>
      <c r="I75" s="10"/>
      <c r="J75" s="223" t="s">
        <v>4</v>
      </c>
      <c r="K75" s="223"/>
      <c r="L75" s="223" t="s">
        <v>61</v>
      </c>
      <c r="M75" s="223"/>
      <c r="N75" s="10"/>
      <c r="O75" s="223" t="s">
        <v>6</v>
      </c>
      <c r="P75" s="223"/>
      <c r="Q75" s="223" t="s">
        <v>8</v>
      </c>
      <c r="R75" s="223"/>
      <c r="S75" s="10"/>
      <c r="T75" s="223" t="s">
        <v>7</v>
      </c>
      <c r="U75" s="223"/>
      <c r="V75" s="223" t="s">
        <v>8</v>
      </c>
      <c r="W75" s="223"/>
      <c r="Y75" s="223" t="s">
        <v>7</v>
      </c>
      <c r="Z75" s="223"/>
      <c r="AA75" s="223" t="s">
        <v>8</v>
      </c>
      <c r="AB75" s="223"/>
      <c r="AD75" s="223" t="s">
        <v>7</v>
      </c>
      <c r="AE75" s="223"/>
      <c r="AF75" s="223" t="s">
        <v>8</v>
      </c>
      <c r="AG75" s="223"/>
      <c r="AI75" s="227" t="s">
        <v>4</v>
      </c>
      <c r="AJ75" s="227" t="s">
        <v>66</v>
      </c>
      <c r="AK75" s="227" t="s">
        <v>8</v>
      </c>
      <c r="AL75" s="227" t="s">
        <v>5</v>
      </c>
      <c r="AM75" s="98"/>
    </row>
    <row r="76" spans="1:42" s="11" customFormat="1" ht="33" x14ac:dyDescent="0.25">
      <c r="A76" s="256"/>
      <c r="B76" s="231"/>
      <c r="C76" s="268"/>
      <c r="D76" s="231"/>
      <c r="E76" s="268"/>
      <c r="F76" s="253"/>
      <c r="G76" s="276"/>
      <c r="H76" s="224"/>
      <c r="I76" s="12"/>
      <c r="J76" s="153" t="s">
        <v>59</v>
      </c>
      <c r="K76" s="116" t="s">
        <v>60</v>
      </c>
      <c r="L76" s="157" t="s">
        <v>64</v>
      </c>
      <c r="M76" s="116" t="s">
        <v>63</v>
      </c>
      <c r="N76" s="12"/>
      <c r="O76" s="61" t="s">
        <v>59</v>
      </c>
      <c r="P76" s="116" t="s">
        <v>60</v>
      </c>
      <c r="Q76" s="61" t="s">
        <v>64</v>
      </c>
      <c r="R76" s="116" t="s">
        <v>63</v>
      </c>
      <c r="S76" s="10"/>
      <c r="T76" s="61" t="s">
        <v>59</v>
      </c>
      <c r="U76" s="116" t="s">
        <v>60</v>
      </c>
      <c r="V76" s="116" t="s">
        <v>64</v>
      </c>
      <c r="W76" s="116" t="s">
        <v>63</v>
      </c>
      <c r="Y76" s="116" t="s">
        <v>59</v>
      </c>
      <c r="Z76" s="116" t="s">
        <v>60</v>
      </c>
      <c r="AA76" s="116" t="s">
        <v>64</v>
      </c>
      <c r="AB76" s="116" t="s">
        <v>63</v>
      </c>
      <c r="AD76" s="116" t="s">
        <v>59</v>
      </c>
      <c r="AE76" s="116" t="s">
        <v>60</v>
      </c>
      <c r="AF76" s="116" t="s">
        <v>64</v>
      </c>
      <c r="AG76" s="116" t="s">
        <v>63</v>
      </c>
      <c r="AI76" s="228"/>
      <c r="AJ76" s="228"/>
      <c r="AK76" s="228"/>
      <c r="AL76" s="228"/>
      <c r="AM76" s="98"/>
    </row>
    <row r="77" spans="1:42" ht="75.75" customHeight="1" x14ac:dyDescent="0.25">
      <c r="A77" s="260" t="s">
        <v>133</v>
      </c>
      <c r="B77" s="232" t="s">
        <v>134</v>
      </c>
      <c r="C77" s="232" t="s">
        <v>88</v>
      </c>
      <c r="D77" s="232" t="s">
        <v>154</v>
      </c>
      <c r="E77" s="263" t="str">
        <f>C70</f>
        <v xml:space="preserve">Aumentar el acceso a vivienda digna, espacio público y equipamientos de la población vulnerable en suelo urbano y rural </v>
      </c>
      <c r="F77" s="138" t="s">
        <v>167</v>
      </c>
      <c r="G77" s="138" t="s">
        <v>174</v>
      </c>
      <c r="H77" s="271" t="str">
        <f>C72</f>
        <v>Sistema Distrital de cuidado</v>
      </c>
      <c r="I77" s="14"/>
      <c r="J77" s="148">
        <v>17305.599999999999</v>
      </c>
      <c r="K77" s="127">
        <v>17000</v>
      </c>
      <c r="L77" s="158"/>
      <c r="M77" s="128"/>
      <c r="N77" s="129"/>
      <c r="O77" s="148">
        <v>14571.12</v>
      </c>
      <c r="P77" s="148">
        <v>14571.12</v>
      </c>
      <c r="Q77" s="128"/>
      <c r="R77" s="128"/>
      <c r="S77" s="131"/>
      <c r="T77" s="144">
        <v>40000</v>
      </c>
      <c r="U77" s="144">
        <v>34002</v>
      </c>
      <c r="V77" s="133"/>
      <c r="W77" s="134"/>
      <c r="X77" s="135"/>
      <c r="Y77" s="144">
        <v>21000</v>
      </c>
      <c r="Z77" s="145">
        <v>0</v>
      </c>
      <c r="AA77" s="133"/>
      <c r="AB77" s="134"/>
      <c r="AC77" s="135"/>
      <c r="AD77" s="193">
        <v>7123</v>
      </c>
      <c r="AE77" s="146">
        <v>0</v>
      </c>
      <c r="AF77" s="133"/>
      <c r="AG77" s="134"/>
      <c r="AH77" s="131"/>
      <c r="AI77" s="146">
        <f t="shared" ref="AI77:AL78" si="6">J77+O77+T77+Y77+AD77</f>
        <v>99999.72</v>
      </c>
      <c r="AJ77" s="146">
        <f t="shared" si="6"/>
        <v>65573.119999999995</v>
      </c>
      <c r="AK77" s="137">
        <f t="shared" si="6"/>
        <v>0</v>
      </c>
      <c r="AL77" s="137">
        <f t="shared" si="6"/>
        <v>0</v>
      </c>
      <c r="AM77" s="99" t="s">
        <v>191</v>
      </c>
    </row>
    <row r="78" spans="1:42" ht="43.5" customHeight="1" x14ac:dyDescent="0.25">
      <c r="A78" s="261"/>
      <c r="B78" s="239"/>
      <c r="C78" s="239"/>
      <c r="D78" s="239"/>
      <c r="E78" s="264"/>
      <c r="F78" s="13" t="s">
        <v>186</v>
      </c>
      <c r="G78" s="13" t="s">
        <v>135</v>
      </c>
      <c r="H78" s="272"/>
      <c r="I78" s="14"/>
      <c r="J78" s="147">
        <v>17305.599999999999</v>
      </c>
      <c r="K78" s="107">
        <v>17000</v>
      </c>
      <c r="L78" s="161">
        <f>3602795429/L1</f>
        <v>3602.7954289999998</v>
      </c>
      <c r="M78" s="29">
        <v>3501.5279959999998</v>
      </c>
      <c r="N78" s="23"/>
      <c r="O78" s="107">
        <v>14571.12</v>
      </c>
      <c r="P78" s="107">
        <v>14571.12</v>
      </c>
      <c r="Q78" s="63">
        <v>61555</v>
      </c>
      <c r="R78" s="63">
        <v>56013</v>
      </c>
      <c r="S78" s="100"/>
      <c r="T78" s="90">
        <v>40000</v>
      </c>
      <c r="U78" s="90">
        <v>34002</v>
      </c>
      <c r="V78" s="63">
        <f>19306414267/L1</f>
        <v>19306.414267</v>
      </c>
      <c r="W78" s="63">
        <f>16951154024/L1</f>
        <v>16951.154023999999</v>
      </c>
      <c r="X78" s="101"/>
      <c r="Y78" s="90">
        <v>21000</v>
      </c>
      <c r="Z78" s="103">
        <v>0</v>
      </c>
      <c r="AA78" s="63">
        <v>18000</v>
      </c>
      <c r="AB78" s="105"/>
      <c r="AC78" s="101"/>
      <c r="AD78" s="194">
        <v>7123</v>
      </c>
      <c r="AE78" s="90">
        <v>0</v>
      </c>
      <c r="AF78" s="63">
        <v>3466</v>
      </c>
      <c r="AG78" s="105"/>
      <c r="AH78" s="100"/>
      <c r="AI78" s="90">
        <f t="shared" si="6"/>
        <v>99999.72</v>
      </c>
      <c r="AJ78" s="90">
        <f t="shared" si="6"/>
        <v>65573.119999999995</v>
      </c>
      <c r="AK78" s="62">
        <f t="shared" si="6"/>
        <v>105930.20969600001</v>
      </c>
      <c r="AL78" s="62">
        <f t="shared" si="6"/>
        <v>76465.682019999993</v>
      </c>
      <c r="AM78" s="99" t="s">
        <v>191</v>
      </c>
      <c r="AN78" s="210"/>
    </row>
    <row r="79" spans="1:42" ht="30" x14ac:dyDescent="0.25">
      <c r="A79" s="261"/>
      <c r="B79" s="239"/>
      <c r="C79" s="239"/>
      <c r="D79" s="239"/>
      <c r="E79" s="264"/>
      <c r="F79" s="13" t="s">
        <v>136</v>
      </c>
      <c r="G79" s="13" t="s">
        <v>135</v>
      </c>
      <c r="H79" s="272"/>
      <c r="I79" s="14"/>
      <c r="J79" s="26">
        <v>1</v>
      </c>
      <c r="K79" s="149">
        <v>0.96689999999999998</v>
      </c>
      <c r="L79" s="159">
        <f>1600000000/L1</f>
        <v>1600</v>
      </c>
      <c r="M79" s="29">
        <v>1435.632384</v>
      </c>
      <c r="N79" s="23"/>
      <c r="O79" s="26">
        <v>1</v>
      </c>
      <c r="P79" s="149">
        <v>0.97250000000000003</v>
      </c>
      <c r="Q79" s="63">
        <v>5840</v>
      </c>
      <c r="R79" s="63">
        <v>5444</v>
      </c>
      <c r="S79" s="100"/>
      <c r="T79" s="139">
        <v>1</v>
      </c>
      <c r="U79" s="175">
        <v>0.95</v>
      </c>
      <c r="V79" s="63">
        <f>4790815733/L1</f>
        <v>4790.8157330000004</v>
      </c>
      <c r="W79" s="63">
        <f>3953863414/L1</f>
        <v>3953.8634139999999</v>
      </c>
      <c r="X79" s="101"/>
      <c r="Y79" s="139">
        <v>1</v>
      </c>
      <c r="Z79" s="124">
        <v>0</v>
      </c>
      <c r="AA79" s="63">
        <v>2208</v>
      </c>
      <c r="AB79" s="105"/>
      <c r="AC79" s="101"/>
      <c r="AD79" s="111">
        <v>1</v>
      </c>
      <c r="AE79" s="111">
        <v>0</v>
      </c>
      <c r="AF79" s="63">
        <f>1500000000/L1</f>
        <v>1500</v>
      </c>
      <c r="AG79" s="105"/>
      <c r="AH79" s="100"/>
      <c r="AI79" s="111">
        <f>AD79</f>
        <v>1</v>
      </c>
      <c r="AJ79" s="149">
        <f>(K79+P79+U79+Z79+AE79)/3</f>
        <v>0.9631333333333334</v>
      </c>
      <c r="AK79" s="62">
        <f>L79+Q79+V79+AA79+AF79</f>
        <v>15938.815732999999</v>
      </c>
      <c r="AL79" s="62">
        <f>M79+R79+W79+AB79+AG79</f>
        <v>10833.495798</v>
      </c>
      <c r="AM79" s="99" t="s">
        <v>191</v>
      </c>
      <c r="AN79" s="210"/>
    </row>
    <row r="80" spans="1:42" s="6" customFormat="1" ht="15.75" x14ac:dyDescent="0.25">
      <c r="A80" s="17"/>
      <c r="B80" s="118" t="s">
        <v>103</v>
      </c>
      <c r="C80" s="118"/>
      <c r="D80" s="118"/>
      <c r="E80" s="118"/>
      <c r="F80" s="39"/>
      <c r="G80" s="39"/>
      <c r="H80" s="39"/>
      <c r="I80" s="40"/>
      <c r="J80" s="41"/>
      <c r="K80" s="41"/>
      <c r="L80" s="160">
        <f>SUM(L77:L79)</f>
        <v>5202.7954289999998</v>
      </c>
      <c r="M80" s="42">
        <f>SUM(M77:M79)</f>
        <v>4937.1603799999993</v>
      </c>
      <c r="N80" s="51"/>
      <c r="O80" s="41"/>
      <c r="P80" s="41"/>
      <c r="Q80" s="42">
        <f>SUM(Q77:Q79)</f>
        <v>67395</v>
      </c>
      <c r="R80" s="42">
        <f>SUM(R77:R79)</f>
        <v>61457</v>
      </c>
      <c r="T80" s="41"/>
      <c r="U80" s="41"/>
      <c r="V80" s="42">
        <f>SUM(V77:V79)</f>
        <v>24097.23</v>
      </c>
      <c r="W80" s="42">
        <f>SUM(W77:W79)</f>
        <v>20905.017437999999</v>
      </c>
      <c r="Y80" s="41"/>
      <c r="Z80" s="41"/>
      <c r="AA80" s="42">
        <f>SUM(AA77:AA79)</f>
        <v>20208</v>
      </c>
      <c r="AB80" s="42">
        <f>SUM(AB77:AB79)</f>
        <v>0</v>
      </c>
      <c r="AC80" s="112"/>
      <c r="AD80" s="41"/>
      <c r="AE80" s="42"/>
      <c r="AF80" s="42">
        <f>SUM(AF77:AF79)</f>
        <v>4966</v>
      </c>
      <c r="AG80" s="42">
        <f>SUM(AG77:AG79)</f>
        <v>0</v>
      </c>
      <c r="AI80" s="96"/>
      <c r="AJ80" s="96"/>
      <c r="AK80" s="64">
        <f>SUM(AK77:AK79)</f>
        <v>121869.025429</v>
      </c>
      <c r="AL80" s="64">
        <f>SUM(AL77:AL79)</f>
        <v>87299.177817999996</v>
      </c>
      <c r="AM80" s="98"/>
      <c r="AN80" s="6" t="s">
        <v>179</v>
      </c>
      <c r="AO80" s="219">
        <f>121613-AK80</f>
        <v>-256.02542900000117</v>
      </c>
      <c r="AP80" s="219">
        <f>+L80-M80+Q80-R80</f>
        <v>6203.6350490000041</v>
      </c>
    </row>
    <row r="82" spans="1:40" s="5" customFormat="1" ht="15.75" customHeight="1" x14ac:dyDescent="0.2">
      <c r="A82" s="273"/>
      <c r="B82" s="273"/>
      <c r="C82" s="273"/>
      <c r="D82" s="273"/>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273"/>
      <c r="AF82" s="273"/>
      <c r="AG82" s="273"/>
      <c r="AH82" s="273"/>
      <c r="AI82" s="273"/>
      <c r="AJ82" s="273"/>
      <c r="AK82" s="273"/>
      <c r="AL82" s="273"/>
      <c r="AM82" s="94"/>
    </row>
    <row r="83" spans="1:40" s="3" customFormat="1" ht="12.75" x14ac:dyDescent="0.2">
      <c r="A83" s="140"/>
      <c r="B83" s="4"/>
      <c r="C83" s="4"/>
      <c r="D83" s="4"/>
      <c r="E83" s="4"/>
      <c r="F83" s="4"/>
      <c r="G83" s="4"/>
      <c r="H83" s="4"/>
      <c r="I83" s="2"/>
      <c r="J83" s="140"/>
      <c r="K83" s="2"/>
      <c r="L83" s="155"/>
      <c r="M83" s="2"/>
      <c r="N83" s="2"/>
      <c r="O83" s="2"/>
      <c r="P83" s="2"/>
      <c r="Q83" s="2"/>
      <c r="R83" s="2"/>
      <c r="T83" s="102"/>
      <c r="U83" s="102"/>
      <c r="V83" s="102"/>
      <c r="W83" s="102"/>
      <c r="Y83" s="102"/>
      <c r="Z83" s="102"/>
      <c r="AA83" s="102"/>
      <c r="AB83" s="102"/>
      <c r="AD83" s="2"/>
      <c r="AE83" s="2"/>
      <c r="AF83" s="102"/>
      <c r="AG83" s="102"/>
      <c r="AI83" s="109"/>
      <c r="AJ83" s="109"/>
      <c r="AK83" s="109"/>
      <c r="AL83" s="110"/>
      <c r="AM83" s="93"/>
    </row>
    <row r="84" spans="1:40" x14ac:dyDescent="0.25">
      <c r="A84" s="142">
        <v>5</v>
      </c>
      <c r="B84" s="122" t="s">
        <v>94</v>
      </c>
      <c r="C84" s="269" t="s">
        <v>166</v>
      </c>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c r="AH84" s="269"/>
      <c r="AI84" s="269"/>
      <c r="AJ84" s="269"/>
      <c r="AK84" s="269"/>
      <c r="AL84" s="269"/>
    </row>
    <row r="85" spans="1:40" x14ac:dyDescent="0.25">
      <c r="A85" s="141">
        <v>30</v>
      </c>
      <c r="B85" s="6" t="s">
        <v>157</v>
      </c>
      <c r="C85" s="269" t="s">
        <v>182</v>
      </c>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69"/>
      <c r="AJ85" s="269"/>
      <c r="AK85" s="269"/>
      <c r="AL85" s="269"/>
    </row>
    <row r="86" spans="1:40" x14ac:dyDescent="0.25">
      <c r="A86" s="141">
        <v>56</v>
      </c>
      <c r="B86" s="6" t="s">
        <v>95</v>
      </c>
      <c r="C86" s="269" t="s">
        <v>137</v>
      </c>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c r="AH86" s="269"/>
      <c r="AI86" s="269"/>
      <c r="AJ86" s="269"/>
      <c r="AK86" s="269"/>
      <c r="AL86" s="269"/>
    </row>
    <row r="87" spans="1:40" ht="30" x14ac:dyDescent="0.25">
      <c r="A87" s="141"/>
      <c r="B87" s="123" t="s">
        <v>98</v>
      </c>
      <c r="C87" s="269" t="s">
        <v>138</v>
      </c>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c r="AH87" s="269"/>
      <c r="AI87" s="269"/>
      <c r="AJ87" s="269"/>
      <c r="AK87" s="269"/>
      <c r="AL87" s="269"/>
    </row>
    <row r="89" spans="1:40" s="11" customFormat="1" ht="27" customHeight="1" x14ac:dyDescent="0.25">
      <c r="A89" s="254" t="s">
        <v>2</v>
      </c>
      <c r="B89" s="229" t="s">
        <v>3</v>
      </c>
      <c r="C89" s="267" t="s">
        <v>87</v>
      </c>
      <c r="D89" s="229" t="s">
        <v>67</v>
      </c>
      <c r="E89" s="267" t="s">
        <v>170</v>
      </c>
      <c r="F89" s="251" t="s">
        <v>101</v>
      </c>
      <c r="G89" s="276" t="s">
        <v>90</v>
      </c>
      <c r="H89" s="224" t="s">
        <v>171</v>
      </c>
      <c r="I89" s="10"/>
      <c r="J89" s="224">
        <v>2020</v>
      </c>
      <c r="K89" s="224"/>
      <c r="L89" s="224"/>
      <c r="M89" s="224"/>
      <c r="N89" s="10"/>
      <c r="O89" s="224">
        <v>2021</v>
      </c>
      <c r="P89" s="224"/>
      <c r="Q89" s="224"/>
      <c r="R89" s="224"/>
      <c r="T89" s="224">
        <v>2022</v>
      </c>
      <c r="U89" s="224"/>
      <c r="V89" s="224"/>
      <c r="W89" s="224"/>
      <c r="Y89" s="224">
        <v>2023</v>
      </c>
      <c r="Z89" s="224"/>
      <c r="AA89" s="224"/>
      <c r="AB89" s="224"/>
      <c r="AD89" s="225">
        <v>2024</v>
      </c>
      <c r="AE89" s="226"/>
      <c r="AF89" s="226"/>
      <c r="AG89" s="226"/>
      <c r="AI89" s="270" t="s">
        <v>102</v>
      </c>
      <c r="AJ89" s="270"/>
      <c r="AK89" s="270"/>
      <c r="AL89" s="270"/>
      <c r="AM89" s="98"/>
    </row>
    <row r="90" spans="1:40" s="11" customFormat="1" ht="16.5" customHeight="1" x14ac:dyDescent="0.25">
      <c r="A90" s="255"/>
      <c r="B90" s="230"/>
      <c r="C90" s="252"/>
      <c r="D90" s="230"/>
      <c r="E90" s="252"/>
      <c r="F90" s="252"/>
      <c r="G90" s="276"/>
      <c r="H90" s="224"/>
      <c r="I90" s="10"/>
      <c r="J90" s="223" t="s">
        <v>4</v>
      </c>
      <c r="K90" s="223"/>
      <c r="L90" s="223" t="s">
        <v>61</v>
      </c>
      <c r="M90" s="223"/>
      <c r="N90" s="10"/>
      <c r="O90" s="223" t="s">
        <v>6</v>
      </c>
      <c r="P90" s="223"/>
      <c r="Q90" s="223" t="s">
        <v>8</v>
      </c>
      <c r="R90" s="223"/>
      <c r="S90" s="10"/>
      <c r="T90" s="223" t="s">
        <v>7</v>
      </c>
      <c r="U90" s="223"/>
      <c r="V90" s="223" t="s">
        <v>8</v>
      </c>
      <c r="W90" s="223"/>
      <c r="Y90" s="223" t="s">
        <v>7</v>
      </c>
      <c r="Z90" s="223"/>
      <c r="AA90" s="223" t="s">
        <v>8</v>
      </c>
      <c r="AB90" s="223"/>
      <c r="AD90" s="223" t="s">
        <v>7</v>
      </c>
      <c r="AE90" s="223"/>
      <c r="AF90" s="223" t="s">
        <v>8</v>
      </c>
      <c r="AG90" s="223"/>
      <c r="AI90" s="227" t="s">
        <v>4</v>
      </c>
      <c r="AJ90" s="227" t="s">
        <v>66</v>
      </c>
      <c r="AK90" s="274" t="s">
        <v>8</v>
      </c>
      <c r="AL90" s="227" t="s">
        <v>5</v>
      </c>
      <c r="AM90" s="98"/>
    </row>
    <row r="91" spans="1:40" s="11" customFormat="1" ht="33" x14ac:dyDescent="0.25">
      <c r="A91" s="256"/>
      <c r="B91" s="231"/>
      <c r="C91" s="268"/>
      <c r="D91" s="231"/>
      <c r="E91" s="268"/>
      <c r="F91" s="253"/>
      <c r="G91" s="276"/>
      <c r="H91" s="224"/>
      <c r="I91" s="12"/>
      <c r="J91" s="153" t="s">
        <v>59</v>
      </c>
      <c r="K91" s="116" t="s">
        <v>60</v>
      </c>
      <c r="L91" s="157" t="s">
        <v>64</v>
      </c>
      <c r="M91" s="116" t="s">
        <v>63</v>
      </c>
      <c r="N91" s="12"/>
      <c r="O91" s="61" t="s">
        <v>59</v>
      </c>
      <c r="P91" s="116" t="s">
        <v>60</v>
      </c>
      <c r="Q91" s="61" t="s">
        <v>62</v>
      </c>
      <c r="R91" s="116" t="s">
        <v>63</v>
      </c>
      <c r="S91" s="10"/>
      <c r="T91" s="61" t="s">
        <v>59</v>
      </c>
      <c r="U91" s="116" t="s">
        <v>60</v>
      </c>
      <c r="V91" s="116" t="s">
        <v>62</v>
      </c>
      <c r="W91" s="116" t="s">
        <v>63</v>
      </c>
      <c r="Y91" s="116" t="s">
        <v>59</v>
      </c>
      <c r="Z91" s="116" t="s">
        <v>60</v>
      </c>
      <c r="AA91" s="116" t="s">
        <v>64</v>
      </c>
      <c r="AB91" s="116" t="s">
        <v>63</v>
      </c>
      <c r="AD91" s="116" t="s">
        <v>59</v>
      </c>
      <c r="AE91" s="116" t="s">
        <v>60</v>
      </c>
      <c r="AF91" s="116" t="s">
        <v>64</v>
      </c>
      <c r="AG91" s="116" t="s">
        <v>63</v>
      </c>
      <c r="AI91" s="228"/>
      <c r="AJ91" s="228"/>
      <c r="AK91" s="275"/>
      <c r="AL91" s="228"/>
      <c r="AM91" s="98"/>
    </row>
    <row r="92" spans="1:40" ht="45" x14ac:dyDescent="0.25">
      <c r="A92" s="260" t="s">
        <v>139</v>
      </c>
      <c r="B92" s="232" t="s">
        <v>140</v>
      </c>
      <c r="C92" s="232" t="s">
        <v>141</v>
      </c>
      <c r="D92" s="232" t="s">
        <v>155</v>
      </c>
      <c r="E92" s="263" t="str">
        <f>C85</f>
        <v xml:space="preserve"> Incrementar la efectividad de la gestión pública distrital y local. </v>
      </c>
      <c r="F92" s="138" t="s">
        <v>168</v>
      </c>
      <c r="G92" s="138" t="s">
        <v>142</v>
      </c>
      <c r="H92" s="271" t="str">
        <f>C87</f>
        <v>Gestión pública efectiva, abierta y transparente</v>
      </c>
      <c r="I92" s="14"/>
      <c r="J92" s="176">
        <v>0.1</v>
      </c>
      <c r="K92" s="177">
        <v>0.1</v>
      </c>
      <c r="L92" s="162"/>
      <c r="M92" s="128"/>
      <c r="N92" s="129"/>
      <c r="O92" s="176">
        <v>0.25</v>
      </c>
      <c r="P92" s="200">
        <v>0.25</v>
      </c>
      <c r="Q92" s="128"/>
      <c r="R92" s="128"/>
      <c r="S92" s="131"/>
      <c r="T92" s="179">
        <v>0.3</v>
      </c>
      <c r="U92" s="207">
        <v>0.27800000000000002</v>
      </c>
      <c r="V92" s="133"/>
      <c r="W92" s="134"/>
      <c r="X92" s="135"/>
      <c r="Y92" s="179">
        <v>0.25</v>
      </c>
      <c r="Z92" s="132">
        <v>0</v>
      </c>
      <c r="AA92" s="133"/>
      <c r="AB92" s="134"/>
      <c r="AC92" s="135"/>
      <c r="AD92" s="181">
        <v>0.1</v>
      </c>
      <c r="AE92" s="179">
        <v>0</v>
      </c>
      <c r="AF92" s="133"/>
      <c r="AG92" s="134"/>
      <c r="AH92" s="131"/>
      <c r="AI92" s="181">
        <f t="shared" ref="AI92:AL97" si="7">J92+O92+T92+Y92+AD92</f>
        <v>0.99999999999999989</v>
      </c>
      <c r="AJ92" s="177">
        <f t="shared" si="7"/>
        <v>0.628</v>
      </c>
      <c r="AK92" s="137">
        <f t="shared" si="7"/>
        <v>0</v>
      </c>
      <c r="AL92" s="137">
        <f t="shared" si="7"/>
        <v>0</v>
      </c>
      <c r="AM92" s="99" t="s">
        <v>191</v>
      </c>
      <c r="AN92" s="210"/>
    </row>
    <row r="93" spans="1:40" ht="45" x14ac:dyDescent="0.25">
      <c r="A93" s="261"/>
      <c r="B93" s="239"/>
      <c r="C93" s="239"/>
      <c r="D93" s="239"/>
      <c r="E93" s="264"/>
      <c r="F93" s="150" t="s">
        <v>143</v>
      </c>
      <c r="G93" s="150" t="s">
        <v>144</v>
      </c>
      <c r="H93" s="272"/>
      <c r="I93" s="14"/>
      <c r="J93" s="178">
        <v>0.1</v>
      </c>
      <c r="K93" s="185">
        <v>0.1</v>
      </c>
      <c r="L93" s="159">
        <v>3048.153773</v>
      </c>
      <c r="M93" s="29">
        <v>2948.422376</v>
      </c>
      <c r="N93" s="23"/>
      <c r="O93" s="178">
        <v>0.25</v>
      </c>
      <c r="P93" s="201">
        <v>0.25</v>
      </c>
      <c r="Q93" s="63">
        <f>3679264491/L1</f>
        <v>3679.2644909999999</v>
      </c>
      <c r="R93" s="29">
        <f>3664659327/L1</f>
        <v>3664.6593269999998</v>
      </c>
      <c r="S93" s="100"/>
      <c r="T93" s="180">
        <v>0.3</v>
      </c>
      <c r="U93" s="206">
        <v>0.2712</v>
      </c>
      <c r="V93" s="63">
        <f>4448844186/L1</f>
        <v>4448.8441860000003</v>
      </c>
      <c r="W93" s="63">
        <f>3912245840/L1</f>
        <v>3912.24584</v>
      </c>
      <c r="X93" s="101"/>
      <c r="Y93" s="180">
        <v>0.25</v>
      </c>
      <c r="Z93" s="124">
        <v>0</v>
      </c>
      <c r="AA93" s="63">
        <f>4814011000/L1</f>
        <v>4814.0110000000004</v>
      </c>
      <c r="AB93" s="105"/>
      <c r="AC93" s="101"/>
      <c r="AD93" s="182">
        <v>0.1</v>
      </c>
      <c r="AE93" s="184">
        <v>0</v>
      </c>
      <c r="AF93" s="63">
        <f xml:space="preserve"> 5187872534/L1</f>
        <v>5187.8725340000001</v>
      </c>
      <c r="AG93" s="105"/>
      <c r="AH93" s="100"/>
      <c r="AI93" s="182">
        <f t="shared" si="7"/>
        <v>0.99999999999999989</v>
      </c>
      <c r="AJ93" s="185">
        <f t="shared" si="7"/>
        <v>0.62119999999999997</v>
      </c>
      <c r="AK93" s="62">
        <f t="shared" si="7"/>
        <v>21178.145984000002</v>
      </c>
      <c r="AL93" s="62">
        <f t="shared" si="7"/>
        <v>10525.327542999999</v>
      </c>
      <c r="AM93" s="99" t="s">
        <v>191</v>
      </c>
      <c r="AN93" s="210"/>
    </row>
    <row r="94" spans="1:40" ht="45" x14ac:dyDescent="0.25">
      <c r="A94" s="261"/>
      <c r="B94" s="239"/>
      <c r="C94" s="239"/>
      <c r="D94" s="239"/>
      <c r="E94" s="264"/>
      <c r="F94" s="150" t="s">
        <v>145</v>
      </c>
      <c r="G94" s="150" t="s">
        <v>146</v>
      </c>
      <c r="H94" s="272"/>
      <c r="I94" s="14"/>
      <c r="J94" s="178">
        <v>0.1</v>
      </c>
      <c r="K94" s="175">
        <v>0.1</v>
      </c>
      <c r="L94" s="159">
        <v>1331.746357</v>
      </c>
      <c r="M94" s="29">
        <v>1314.039006</v>
      </c>
      <c r="N94" s="23"/>
      <c r="O94" s="178">
        <v>0.25</v>
      </c>
      <c r="P94" s="201">
        <v>0.25</v>
      </c>
      <c r="Q94" s="63">
        <f>2926616487/L1</f>
        <v>2926.6164869999998</v>
      </c>
      <c r="R94" s="29">
        <f>2923453407/L1</f>
        <v>2923.453407</v>
      </c>
      <c r="S94" s="100"/>
      <c r="T94" s="180">
        <v>0.3</v>
      </c>
      <c r="U94" s="196">
        <v>0.2487</v>
      </c>
      <c r="V94" s="63">
        <f>3095124091/L1</f>
        <v>3095.1240910000001</v>
      </c>
      <c r="W94" s="63">
        <f>2788321504/L1</f>
        <v>2788.321504</v>
      </c>
      <c r="X94" s="101"/>
      <c r="Y94" s="180">
        <v>0.25</v>
      </c>
      <c r="Z94" s="124">
        <v>0</v>
      </c>
      <c r="AA94" s="63">
        <f>3105682000/L1</f>
        <v>3105.6819999999998</v>
      </c>
      <c r="AB94" s="105"/>
      <c r="AC94" s="101"/>
      <c r="AD94" s="182">
        <v>0.1</v>
      </c>
      <c r="AE94" s="111">
        <v>0</v>
      </c>
      <c r="AF94" s="63">
        <f>3323079740/L1</f>
        <v>3323.0797400000001</v>
      </c>
      <c r="AG94" s="105"/>
      <c r="AH94" s="100"/>
      <c r="AI94" s="182">
        <f t="shared" si="7"/>
        <v>0.99999999999999989</v>
      </c>
      <c r="AJ94" s="185">
        <f t="shared" si="7"/>
        <v>0.59870000000000001</v>
      </c>
      <c r="AK94" s="62">
        <f t="shared" si="7"/>
        <v>13782.248674999999</v>
      </c>
      <c r="AL94" s="62">
        <f t="shared" si="7"/>
        <v>7025.8139169999995</v>
      </c>
      <c r="AM94" s="99" t="s">
        <v>191</v>
      </c>
      <c r="AN94" s="210"/>
    </row>
    <row r="95" spans="1:40" ht="75" x14ac:dyDescent="0.25">
      <c r="A95" s="261"/>
      <c r="B95" s="239"/>
      <c r="C95" s="239"/>
      <c r="D95" s="239"/>
      <c r="E95" s="264"/>
      <c r="F95" s="150" t="s">
        <v>147</v>
      </c>
      <c r="G95" s="150" t="s">
        <v>148</v>
      </c>
      <c r="H95" s="272"/>
      <c r="I95" s="14"/>
      <c r="J95" s="165">
        <v>1.5</v>
      </c>
      <c r="K95" s="166">
        <v>1.5</v>
      </c>
      <c r="L95" s="159">
        <v>147.96897799999999</v>
      </c>
      <c r="M95" s="29">
        <v>147.96897799999999</v>
      </c>
      <c r="N95" s="23"/>
      <c r="O95" s="169">
        <v>3.75</v>
      </c>
      <c r="P95" s="169">
        <v>3.75</v>
      </c>
      <c r="Q95" s="63">
        <f>226913453/L1</f>
        <v>226.913453</v>
      </c>
      <c r="R95" s="29">
        <f>226511474/L1</f>
        <v>226.51147399999999</v>
      </c>
      <c r="S95" s="100"/>
      <c r="T95" s="169">
        <v>4.5</v>
      </c>
      <c r="U95" s="169">
        <v>4.12</v>
      </c>
      <c r="V95" s="63">
        <f>329259368/L1</f>
        <v>329.25936799999999</v>
      </c>
      <c r="W95" s="63">
        <f>329259368/L1</f>
        <v>329.25936799999999</v>
      </c>
      <c r="X95" s="101"/>
      <c r="Y95" s="169">
        <v>3.75</v>
      </c>
      <c r="Z95" s="169">
        <v>0</v>
      </c>
      <c r="AA95" s="63">
        <f>337670000/L1</f>
        <v>337.67</v>
      </c>
      <c r="AB95" s="105"/>
      <c r="AC95" s="101"/>
      <c r="AD95" s="169">
        <v>1.5</v>
      </c>
      <c r="AE95" s="169">
        <v>0</v>
      </c>
      <c r="AF95" s="63">
        <f>361306900/L1</f>
        <v>361.30689999999998</v>
      </c>
      <c r="AG95" s="105"/>
      <c r="AH95" s="100"/>
      <c r="AI95" s="170">
        <f t="shared" si="7"/>
        <v>15</v>
      </c>
      <c r="AJ95" s="218">
        <f t="shared" si="7"/>
        <v>9.370000000000001</v>
      </c>
      <c r="AK95" s="62">
        <f t="shared" si="7"/>
        <v>1403.1186990000001</v>
      </c>
      <c r="AL95" s="62">
        <f t="shared" si="7"/>
        <v>703.73982000000001</v>
      </c>
      <c r="AM95" s="208" t="s">
        <v>196</v>
      </c>
      <c r="AN95" s="210"/>
    </row>
    <row r="96" spans="1:40" ht="60" x14ac:dyDescent="0.25">
      <c r="A96" s="261"/>
      <c r="B96" s="239"/>
      <c r="C96" s="239"/>
      <c r="D96" s="239"/>
      <c r="E96" s="264"/>
      <c r="F96" s="150" t="s">
        <v>169</v>
      </c>
      <c r="G96" s="150" t="s">
        <v>150</v>
      </c>
      <c r="H96" s="272"/>
      <c r="I96" s="14"/>
      <c r="J96" s="26">
        <v>0</v>
      </c>
      <c r="K96" s="175">
        <v>0</v>
      </c>
      <c r="L96" s="159">
        <v>0</v>
      </c>
      <c r="M96" s="29">
        <v>0</v>
      </c>
      <c r="N96" s="23"/>
      <c r="O96" s="26">
        <v>0.35</v>
      </c>
      <c r="P96" s="183">
        <v>0.35</v>
      </c>
      <c r="Q96" s="174">
        <f>322206012/L1</f>
        <v>322.20601199999999</v>
      </c>
      <c r="R96" s="29">
        <f>322206012/L1</f>
        <v>322.20601199999999</v>
      </c>
      <c r="S96" s="100"/>
      <c r="T96" s="139">
        <v>0.3</v>
      </c>
      <c r="U96" s="222">
        <v>0.3</v>
      </c>
      <c r="V96" s="63">
        <f>950338723/L1</f>
        <v>950.33872299999996</v>
      </c>
      <c r="W96" s="63">
        <f>866631218/L1</f>
        <v>866.63121799999999</v>
      </c>
      <c r="X96" s="101"/>
      <c r="Y96" s="139">
        <v>0.25</v>
      </c>
      <c r="Z96" s="124">
        <v>0</v>
      </c>
      <c r="AA96" s="63">
        <f>698616000/L1</f>
        <v>698.61599999999999</v>
      </c>
      <c r="AB96" s="105"/>
      <c r="AC96" s="101"/>
      <c r="AD96" s="111">
        <v>0.1</v>
      </c>
      <c r="AE96" s="111">
        <v>0</v>
      </c>
      <c r="AF96" s="63">
        <f>747519120/L1</f>
        <v>747.51912000000004</v>
      </c>
      <c r="AG96" s="105"/>
      <c r="AH96" s="100"/>
      <c r="AI96" s="111">
        <f t="shared" si="7"/>
        <v>0.99999999999999989</v>
      </c>
      <c r="AJ96" s="149">
        <f t="shared" si="7"/>
        <v>0.64999999999999991</v>
      </c>
      <c r="AK96" s="62">
        <f t="shared" si="7"/>
        <v>2718.6798549999999</v>
      </c>
      <c r="AL96" s="62">
        <f t="shared" si="7"/>
        <v>1188.8372300000001</v>
      </c>
      <c r="AM96" s="99" t="s">
        <v>191</v>
      </c>
      <c r="AN96" s="210"/>
    </row>
    <row r="97" spans="1:43" ht="15.75" x14ac:dyDescent="0.25">
      <c r="A97" s="152"/>
      <c r="B97" s="117"/>
      <c r="C97" s="117"/>
      <c r="D97" s="117"/>
      <c r="E97" s="119"/>
      <c r="F97" s="150" t="s">
        <v>149</v>
      </c>
      <c r="G97" s="150" t="s">
        <v>150</v>
      </c>
      <c r="H97" s="120"/>
      <c r="I97" s="14"/>
      <c r="J97" s="26">
        <v>0.05</v>
      </c>
      <c r="K97" s="175">
        <v>0.05</v>
      </c>
      <c r="L97" s="159">
        <v>2200.3575080000001</v>
      </c>
      <c r="M97" s="29">
        <v>1998.231702</v>
      </c>
      <c r="N97" s="23"/>
      <c r="O97" s="173">
        <v>0.125</v>
      </c>
      <c r="P97" s="189">
        <v>0.125</v>
      </c>
      <c r="Q97" s="174">
        <f>2090691557/L1</f>
        <v>2090.6915570000001</v>
      </c>
      <c r="R97" s="29">
        <f>2083805588/L1</f>
        <v>2083.8055880000002</v>
      </c>
      <c r="S97" s="100"/>
      <c r="T97" s="139">
        <v>0.15</v>
      </c>
      <c r="U97" s="196">
        <v>0.15</v>
      </c>
      <c r="V97" s="63">
        <f xml:space="preserve"> 3176433632/L1</f>
        <v>3176.4336320000002</v>
      </c>
      <c r="W97" s="63">
        <f>2834031319/L1</f>
        <v>2834.0313190000002</v>
      </c>
      <c r="X97" s="101"/>
      <c r="Y97" s="171">
        <v>0.125</v>
      </c>
      <c r="Z97" s="124">
        <v>0</v>
      </c>
      <c r="AA97" s="63">
        <v>3307.1770000000001</v>
      </c>
      <c r="AB97" s="105"/>
      <c r="AC97" s="101"/>
      <c r="AD97" s="111">
        <v>0.05</v>
      </c>
      <c r="AE97" s="111">
        <v>0</v>
      </c>
      <c r="AF97" s="63">
        <f>2781251390/L1</f>
        <v>2781.2513899999999</v>
      </c>
      <c r="AG97" s="105"/>
      <c r="AH97" s="100"/>
      <c r="AI97" s="111">
        <f t="shared" si="7"/>
        <v>0.49999999999999994</v>
      </c>
      <c r="AJ97" s="175">
        <f t="shared" si="7"/>
        <v>0.32499999999999996</v>
      </c>
      <c r="AK97" s="62">
        <f t="shared" si="7"/>
        <v>13555.911087</v>
      </c>
      <c r="AL97" s="62">
        <f t="shared" si="7"/>
        <v>6916.0686089999999</v>
      </c>
      <c r="AM97" s="99" t="s">
        <v>191</v>
      </c>
      <c r="AN97" s="210" t="s">
        <v>179</v>
      </c>
    </row>
    <row r="98" spans="1:43" s="6" customFormat="1" ht="15.75" x14ac:dyDescent="0.25">
      <c r="A98" s="17"/>
      <c r="B98" s="118" t="s">
        <v>103</v>
      </c>
      <c r="C98" s="118"/>
      <c r="D98" s="118"/>
      <c r="E98" s="118"/>
      <c r="F98" s="39"/>
      <c r="G98" s="39"/>
      <c r="H98" s="39"/>
      <c r="I98" s="40"/>
      <c r="J98" s="41"/>
      <c r="K98" s="41"/>
      <c r="L98" s="160">
        <f>SUM(L92:L97)</f>
        <v>6728.2266159999999</v>
      </c>
      <c r="M98" s="151">
        <f>SUM(M92:M97)</f>
        <v>6408.6620619999994</v>
      </c>
      <c r="N98" s="51"/>
      <c r="O98" s="41"/>
      <c r="P98" s="41"/>
      <c r="Q98" s="151">
        <f>SUM(Q92:Q97)</f>
        <v>9245.6919999999991</v>
      </c>
      <c r="R98" s="151">
        <f>SUM(R92:R97)</f>
        <v>9220.6358079999991</v>
      </c>
      <c r="T98" s="41"/>
      <c r="U98" s="41"/>
      <c r="V98" s="151">
        <f>SUM(V92:V97)</f>
        <v>12000</v>
      </c>
      <c r="W98" s="151">
        <f>SUM(W92:W97)</f>
        <v>10730.489249</v>
      </c>
      <c r="Y98" s="41"/>
      <c r="Z98" s="41"/>
      <c r="AA98" s="151">
        <f>SUM(AA92:AA97)</f>
        <v>12263.155999999999</v>
      </c>
      <c r="AB98" s="151">
        <f>SUM(AB92:AB97)</f>
        <v>0</v>
      </c>
      <c r="AC98" s="112"/>
      <c r="AD98" s="41"/>
      <c r="AE98" s="42"/>
      <c r="AF98" s="151">
        <f>SUM(AF92:AF97)</f>
        <v>12401.029683999999</v>
      </c>
      <c r="AG98" s="151">
        <f>SUM(AG92:AG97)</f>
        <v>0</v>
      </c>
      <c r="AI98" s="96"/>
      <c r="AJ98" s="96"/>
      <c r="AK98" s="151">
        <f>SUM(AK92:AK97)</f>
        <v>52638.104299999999</v>
      </c>
      <c r="AL98" s="151">
        <f>SUM(AL92:AL97)</f>
        <v>26359.787119000001</v>
      </c>
      <c r="AM98" s="98"/>
      <c r="AN98" s="210"/>
      <c r="AO98" s="219">
        <f>52293-AK98</f>
        <v>-345.10429999999906</v>
      </c>
      <c r="AP98" s="219">
        <f>+L98-M98+Q98-R98</f>
        <v>344.62074600000051</v>
      </c>
      <c r="AQ98" s="98" t="s">
        <v>190</v>
      </c>
    </row>
  </sheetData>
  <mergeCells count="200">
    <mergeCell ref="C56:C63"/>
    <mergeCell ref="B56:B63"/>
    <mergeCell ref="C32:AL32"/>
    <mergeCell ref="A2:AL2"/>
    <mergeCell ref="A3:AL3"/>
    <mergeCell ref="A4:AL4"/>
    <mergeCell ref="A5:AL5"/>
    <mergeCell ref="A6:AL6"/>
    <mergeCell ref="AI15:AI16"/>
    <mergeCell ref="AJ15:AJ16"/>
    <mergeCell ref="AK15:AK16"/>
    <mergeCell ref="J15:K15"/>
    <mergeCell ref="L15:M15"/>
    <mergeCell ref="O15:P15"/>
    <mergeCell ref="B14:B16"/>
    <mergeCell ref="C14:C16"/>
    <mergeCell ref="D14:D16"/>
    <mergeCell ref="E14:E16"/>
    <mergeCell ref="F14:F16"/>
    <mergeCell ref="C9:AL9"/>
    <mergeCell ref="C11:AL11"/>
    <mergeCell ref="C12:AL12"/>
    <mergeCell ref="C10:AL10"/>
    <mergeCell ref="A7:AL7"/>
    <mergeCell ref="B17:B26"/>
    <mergeCell ref="C17:C26"/>
    <mergeCell ref="D17:D26"/>
    <mergeCell ref="E17:E26"/>
    <mergeCell ref="H17:H26"/>
    <mergeCell ref="A17:A26"/>
    <mergeCell ref="G14:G16"/>
    <mergeCell ref="A14:A16"/>
    <mergeCell ref="AI14:AL14"/>
    <mergeCell ref="H14:H16"/>
    <mergeCell ref="J14:M14"/>
    <mergeCell ref="O14:R14"/>
    <mergeCell ref="T14:W14"/>
    <mergeCell ref="Y14:AB14"/>
    <mergeCell ref="AD14:AG14"/>
    <mergeCell ref="Q15:R15"/>
    <mergeCell ref="T15:U15"/>
    <mergeCell ref="V15:W15"/>
    <mergeCell ref="Y15:Z15"/>
    <mergeCell ref="AL15:AL16"/>
    <mergeCell ref="AA15:AB15"/>
    <mergeCell ref="AD15:AE15"/>
    <mergeCell ref="AF15:AG15"/>
    <mergeCell ref="A39:A42"/>
    <mergeCell ref="H39:H42"/>
    <mergeCell ref="A53:A55"/>
    <mergeCell ref="B53:B55"/>
    <mergeCell ref="C53:C55"/>
    <mergeCell ref="D53:D55"/>
    <mergeCell ref="E53:E55"/>
    <mergeCell ref="F53:F55"/>
    <mergeCell ref="G53:G55"/>
    <mergeCell ref="H53:H55"/>
    <mergeCell ref="C49:AL49"/>
    <mergeCell ref="J53:M53"/>
    <mergeCell ref="O53:R53"/>
    <mergeCell ref="T53:W53"/>
    <mergeCell ref="Y53:AB53"/>
    <mergeCell ref="AD53:AG53"/>
    <mergeCell ref="AI53:AL53"/>
    <mergeCell ref="J54:K54"/>
    <mergeCell ref="L54:M54"/>
    <mergeCell ref="O54:P54"/>
    <mergeCell ref="C39:C43"/>
    <mergeCell ref="B39:B43"/>
    <mergeCell ref="AK54:AK55"/>
    <mergeCell ref="AL54:AL55"/>
    <mergeCell ref="V37:W37"/>
    <mergeCell ref="Y37:Z37"/>
    <mergeCell ref="AA37:AB37"/>
    <mergeCell ref="AD37:AE37"/>
    <mergeCell ref="AF37:AG37"/>
    <mergeCell ref="G89:G91"/>
    <mergeCell ref="H89:H91"/>
    <mergeCell ref="J89:M89"/>
    <mergeCell ref="O89:R89"/>
    <mergeCell ref="T89:W89"/>
    <mergeCell ref="Y89:AB89"/>
    <mergeCell ref="J74:M74"/>
    <mergeCell ref="O74:R74"/>
    <mergeCell ref="T74:W74"/>
    <mergeCell ref="Y74:AB74"/>
    <mergeCell ref="J75:K75"/>
    <mergeCell ref="L75:M75"/>
    <mergeCell ref="O75:P75"/>
    <mergeCell ref="Q75:R75"/>
    <mergeCell ref="T75:U75"/>
    <mergeCell ref="V75:W75"/>
    <mergeCell ref="Y75:Z75"/>
    <mergeCell ref="AA75:AB75"/>
    <mergeCell ref="H56:H59"/>
    <mergeCell ref="D36:D38"/>
    <mergeCell ref="E36:E38"/>
    <mergeCell ref="F36:F38"/>
    <mergeCell ref="G36:G38"/>
    <mergeCell ref="H36:H38"/>
    <mergeCell ref="J36:M36"/>
    <mergeCell ref="T37:U37"/>
    <mergeCell ref="G74:G76"/>
    <mergeCell ref="H74:H76"/>
    <mergeCell ref="E39:E43"/>
    <mergeCell ref="D39:D43"/>
    <mergeCell ref="E56:E63"/>
    <mergeCell ref="D56:D63"/>
    <mergeCell ref="Q54:R54"/>
    <mergeCell ref="T54:U54"/>
    <mergeCell ref="V54:W54"/>
    <mergeCell ref="Y54:Z54"/>
    <mergeCell ref="AA54:AB54"/>
    <mergeCell ref="AD54:AE54"/>
    <mergeCell ref="AF54:AG54"/>
    <mergeCell ref="AI54:AI55"/>
    <mergeCell ref="AJ54:AJ55"/>
    <mergeCell ref="C89:C91"/>
    <mergeCell ref="D89:D91"/>
    <mergeCell ref="E89:E91"/>
    <mergeCell ref="F89:F91"/>
    <mergeCell ref="C72:AL72"/>
    <mergeCell ref="A82:AL82"/>
    <mergeCell ref="C84:AL84"/>
    <mergeCell ref="C86:AL86"/>
    <mergeCell ref="C87:AL87"/>
    <mergeCell ref="AD89:AG89"/>
    <mergeCell ref="AI89:AL89"/>
    <mergeCell ref="J90:K90"/>
    <mergeCell ref="L90:M90"/>
    <mergeCell ref="O90:P90"/>
    <mergeCell ref="Q90:R90"/>
    <mergeCell ref="T90:U90"/>
    <mergeCell ref="AD90:AE90"/>
    <mergeCell ref="A29:AL29"/>
    <mergeCell ref="C31:AL31"/>
    <mergeCell ref="C33:AL33"/>
    <mergeCell ref="C34:AL34"/>
    <mergeCell ref="A46:AL46"/>
    <mergeCell ref="C48:AL48"/>
    <mergeCell ref="C50:AL50"/>
    <mergeCell ref="C51:AL51"/>
    <mergeCell ref="O36:R36"/>
    <mergeCell ref="T36:W36"/>
    <mergeCell ref="Y36:AB36"/>
    <mergeCell ref="AD36:AG36"/>
    <mergeCell ref="AI36:AL36"/>
    <mergeCell ref="J37:K37"/>
    <mergeCell ref="L37:M37"/>
    <mergeCell ref="O37:P37"/>
    <mergeCell ref="Q37:R37"/>
    <mergeCell ref="AI37:AI38"/>
    <mergeCell ref="AJ37:AJ38"/>
    <mergeCell ref="AK37:AK38"/>
    <mergeCell ref="AL37:AL38"/>
    <mergeCell ref="A36:A38"/>
    <mergeCell ref="C36:C38"/>
    <mergeCell ref="B36:B38"/>
    <mergeCell ref="AJ90:AJ91"/>
    <mergeCell ref="AK90:AK91"/>
    <mergeCell ref="AL90:AL91"/>
    <mergeCell ref="A77:A79"/>
    <mergeCell ref="F74:F76"/>
    <mergeCell ref="AK75:AK76"/>
    <mergeCell ref="AL75:AL76"/>
    <mergeCell ref="B77:B79"/>
    <mergeCell ref="C77:C79"/>
    <mergeCell ref="D77:D79"/>
    <mergeCell ref="E77:E79"/>
    <mergeCell ref="H77:H79"/>
    <mergeCell ref="V90:W90"/>
    <mergeCell ref="Y90:Z90"/>
    <mergeCell ref="AA90:AB90"/>
    <mergeCell ref="C85:AL85"/>
    <mergeCell ref="AF90:AG90"/>
    <mergeCell ref="AI90:AI91"/>
    <mergeCell ref="A92:A96"/>
    <mergeCell ref="B92:B96"/>
    <mergeCell ref="C92:C96"/>
    <mergeCell ref="D92:D96"/>
    <mergeCell ref="E92:E96"/>
    <mergeCell ref="A56:A59"/>
    <mergeCell ref="A74:A76"/>
    <mergeCell ref="B74:B76"/>
    <mergeCell ref="C74:C76"/>
    <mergeCell ref="D74:D76"/>
    <mergeCell ref="E74:E76"/>
    <mergeCell ref="C71:AL71"/>
    <mergeCell ref="AD74:AG74"/>
    <mergeCell ref="AI74:AL74"/>
    <mergeCell ref="AD75:AE75"/>
    <mergeCell ref="AF75:AG75"/>
    <mergeCell ref="AI75:AI76"/>
    <mergeCell ref="AJ75:AJ76"/>
    <mergeCell ref="H92:H96"/>
    <mergeCell ref="A67:AL67"/>
    <mergeCell ref="C69:AL69"/>
    <mergeCell ref="C70:AL70"/>
    <mergeCell ref="A89:A91"/>
    <mergeCell ref="B89:B91"/>
  </mergeCells>
  <printOptions headings="1"/>
  <pageMargins left="0.70866141732283472" right="0.70866141732283472" top="0.74803149606299213" bottom="0.74803149606299213" header="0.31496062992125984" footer="0.31496062992125984"/>
  <pageSetup paperSize="5" scale="32" fitToHeight="2" orientation="landscape" r:id="rId1"/>
  <customProperties>
    <customPr name="EpmWorksheetKeyString_GUID" r:id="rId2"/>
  </customProperties>
  <ignoredErrors>
    <ignoredError sqref="AI22 AI61" formula="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NOV</vt:lpstr>
      <vt:lpstr>NOV!Área_de_impresión</vt:lpstr>
    </vt:vector>
  </TitlesOfParts>
  <Company>IPES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Cristian Camilo Rodriguez Melo</cp:lastModifiedBy>
  <cp:lastPrinted>2022-12-27T17:24:25Z</cp:lastPrinted>
  <dcterms:created xsi:type="dcterms:W3CDTF">2009-07-24T20:19:08Z</dcterms:created>
  <dcterms:modified xsi:type="dcterms:W3CDTF">2022-12-27T17:25:06Z</dcterms:modified>
</cp:coreProperties>
</file>