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1\"/>
    </mc:Choice>
  </mc:AlternateContent>
  <bookViews>
    <workbookView xWindow="0" yWindow="0" windowWidth="14580" windowHeight="11535" tabRatio="553" firstSheet="2" activeTab="2"/>
  </bookViews>
  <sheets>
    <sheet name="DIFERENCIAS" sheetId="52" state="hidden" r:id="rId1"/>
    <sheet name="SOPORTE REPROGRAMACIÓN $ 2017" sheetId="53" state="hidden" r:id="rId2"/>
    <sheet name="Noviembre 2021"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'Noviembre 2021'!$A:$AL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4" i="93" l="1"/>
  <c r="Q73" i="93"/>
  <c r="Q23" i="93"/>
  <c r="Q26" i="93" s="1"/>
  <c r="Q20" i="93" l="1"/>
  <c r="AK20" i="93" s="1"/>
  <c r="AJ20" i="93"/>
  <c r="AI20" i="93"/>
  <c r="AL20" i="93"/>
  <c r="R92" i="93" l="1"/>
  <c r="R91" i="93"/>
  <c r="R89" i="93"/>
  <c r="Q89" i="93"/>
  <c r="R88" i="93"/>
  <c r="Q88" i="93"/>
  <c r="R73" i="93"/>
  <c r="R74" i="93"/>
  <c r="R59" i="93"/>
  <c r="R58" i="93"/>
  <c r="R57" i="93"/>
  <c r="R56" i="93"/>
  <c r="R55" i="93"/>
  <c r="Q41" i="93"/>
  <c r="R40" i="93"/>
  <c r="Q40" i="93"/>
  <c r="R39" i="93"/>
  <c r="Q39" i="93"/>
  <c r="R23" i="93"/>
  <c r="R18" i="93"/>
  <c r="R19" i="93"/>
  <c r="AF59" i="93" l="1"/>
  <c r="AF58" i="93"/>
  <c r="AF57" i="93"/>
  <c r="AF56" i="93"/>
  <c r="AF55" i="93"/>
  <c r="AF92" i="93"/>
  <c r="AF89" i="93"/>
  <c r="AF88" i="93"/>
  <c r="V91" i="93"/>
  <c r="V90" i="93"/>
  <c r="V89" i="93"/>
  <c r="V88" i="93"/>
  <c r="AF60" i="93" l="1"/>
  <c r="Q91" i="93" l="1"/>
  <c r="R90" i="93"/>
  <c r="Q90" i="93"/>
  <c r="Q59" i="93"/>
  <c r="Q58" i="93"/>
  <c r="Q57" i="93"/>
  <c r="Q56" i="93"/>
  <c r="Q55" i="93"/>
  <c r="R41" i="93"/>
  <c r="R25" i="93"/>
  <c r="Q19" i="93"/>
  <c r="V25" i="93" l="1"/>
  <c r="AF23" i="93"/>
  <c r="AA23" i="93"/>
  <c r="V23" i="93"/>
  <c r="AF19" i="93"/>
  <c r="AF18" i="93"/>
  <c r="Q60" i="93" l="1"/>
  <c r="R60" i="93"/>
  <c r="AJ57" i="93" l="1"/>
  <c r="AK59" i="93"/>
  <c r="AA25" i="93" l="1"/>
  <c r="Q18" i="93" l="1"/>
  <c r="AJ89" i="93" l="1"/>
  <c r="Q92" i="93"/>
  <c r="AJ59" i="93" l="1"/>
  <c r="AI59" i="93"/>
  <c r="AI58" i="93"/>
  <c r="AL59" i="93"/>
  <c r="AL58" i="93"/>
  <c r="AK58" i="93"/>
  <c r="AJ58" i="93"/>
  <c r="AA60" i="93"/>
  <c r="V60" i="93"/>
  <c r="M60" i="93"/>
  <c r="L60" i="93"/>
  <c r="AJ25" i="93" l="1"/>
  <c r="AJ24" i="93"/>
  <c r="AJ21" i="93"/>
  <c r="AJ17" i="93"/>
  <c r="AJ74" i="93" l="1"/>
  <c r="AJ88" i="93"/>
  <c r="AJ87" i="93"/>
  <c r="AI89" i="93"/>
  <c r="AI88" i="93"/>
  <c r="AI87" i="93"/>
  <c r="Q25" i="93" l="1"/>
  <c r="AI22" i="93" l="1"/>
  <c r="AL22" i="93"/>
  <c r="AK22" i="93"/>
  <c r="AJ22" i="93"/>
  <c r="AF91" i="93" l="1"/>
  <c r="AF90" i="93"/>
  <c r="AA92" i="93"/>
  <c r="AA91" i="93"/>
  <c r="AA90" i="93"/>
  <c r="AA89" i="93"/>
  <c r="AA88" i="93"/>
  <c r="V92" i="93"/>
  <c r="AI91" i="93" l="1"/>
  <c r="AI18" i="93"/>
  <c r="L73" i="93" l="1"/>
  <c r="AJ18" i="93" l="1"/>
  <c r="AF74" i="93" l="1"/>
  <c r="AF73" i="93"/>
  <c r="AA73" i="93"/>
  <c r="V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J90" i="93"/>
  <c r="AI90" i="93"/>
  <c r="AL89" i="93"/>
  <c r="AK89" i="93"/>
  <c r="AL88" i="93"/>
  <c r="AK88" i="93"/>
  <c r="AL87" i="93"/>
  <c r="AK87" i="93"/>
  <c r="AL74" i="93"/>
  <c r="AK74" i="93"/>
  <c r="AI74" i="93"/>
  <c r="AJ73" i="93"/>
  <c r="AI73" i="93"/>
  <c r="AI72" i="93"/>
  <c r="AI57" i="93"/>
  <c r="AK57" i="93"/>
  <c r="AL57" i="93"/>
  <c r="AI56" i="93"/>
  <c r="AI55" i="93"/>
  <c r="AI54" i="93"/>
  <c r="AI41" i="93"/>
  <c r="AI40" i="93"/>
  <c r="AL39" i="93"/>
  <c r="AK39" i="93"/>
  <c r="AJ39" i="93"/>
  <c r="AI39" i="93"/>
  <c r="AI38" i="93"/>
  <c r="AL25" i="93"/>
  <c r="AK25" i="93"/>
  <c r="AI25" i="93"/>
  <c r="AL24" i="93"/>
  <c r="AK24" i="93"/>
  <c r="AI24" i="93"/>
  <c r="AL23" i="93"/>
  <c r="AK23" i="93"/>
  <c r="AJ23" i="93"/>
  <c r="AI23" i="93"/>
  <c r="AL21" i="93"/>
  <c r="AK21" i="93"/>
  <c r="AI21" i="93"/>
  <c r="AI19" i="93"/>
  <c r="AI17" i="93"/>
  <c r="AG75" i="93"/>
  <c r="AF75" i="93"/>
  <c r="AB75" i="93"/>
  <c r="AA75" i="93"/>
  <c r="W75" i="93"/>
  <c r="V75" i="93"/>
  <c r="R75" i="93"/>
  <c r="Q75" i="93"/>
  <c r="M75" i="93"/>
  <c r="L75" i="93"/>
  <c r="AL73" i="93"/>
  <c r="AK73" i="93"/>
  <c r="AL72" i="93"/>
  <c r="AK72" i="93"/>
  <c r="AJ72" i="93"/>
  <c r="AG60" i="93"/>
  <c r="AB60" i="93"/>
  <c r="W60" i="93"/>
  <c r="AL56" i="93"/>
  <c r="AK56" i="93"/>
  <c r="AJ56" i="93"/>
  <c r="AL55" i="93"/>
  <c r="AK55" i="93"/>
  <c r="AJ55" i="93"/>
  <c r="AL54" i="93"/>
  <c r="AK54" i="93"/>
  <c r="AJ54" i="93"/>
  <c r="AG42" i="93"/>
  <c r="AF42" i="93"/>
  <c r="AB42" i="93"/>
  <c r="AA42" i="93"/>
  <c r="W42" i="93"/>
  <c r="V42" i="93"/>
  <c r="R42" i="93"/>
  <c r="Q42" i="93"/>
  <c r="M42" i="93"/>
  <c r="L42" i="93"/>
  <c r="AL41" i="93"/>
  <c r="AK41" i="93"/>
  <c r="AJ41" i="93"/>
  <c r="AL40" i="93"/>
  <c r="AK40" i="93"/>
  <c r="AJ40" i="93"/>
  <c r="AL38" i="93"/>
  <c r="AK38" i="93"/>
  <c r="AJ38" i="93"/>
  <c r="M26" i="93"/>
  <c r="L26" i="93"/>
  <c r="R26" i="93"/>
  <c r="W26" i="93"/>
  <c r="V26" i="93"/>
  <c r="AB26" i="93"/>
  <c r="AA26" i="93"/>
  <c r="AF26" i="93"/>
  <c r="AK75" i="93" l="1"/>
  <c r="AK60" i="93"/>
  <c r="AL60" i="93"/>
  <c r="Q113" i="93"/>
  <c r="R113" i="93"/>
  <c r="AL93" i="93"/>
  <c r="AK93" i="93"/>
  <c r="AL75" i="93"/>
  <c r="AK42" i="93"/>
  <c r="AL42" i="93"/>
  <c r="AG26" i="93" l="1"/>
  <c r="AL19" i="93"/>
  <c r="AK19" i="93"/>
  <c r="AJ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List>
</comments>
</file>

<file path=xl/sharedStrings.xml><?xml version="1.0" encoding="utf-8"?>
<sst xmlns="http://schemas.openxmlformats.org/spreadsheetml/2006/main" count="498" uniqueCount="181">
  <si>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</si>
  <si>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</si>
  <si>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</si>
  <si>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</si>
  <si>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</si>
  <si>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</si>
  <si>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</si>
  <si>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</si>
  <si>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</si>
  <si>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</si>
  <si>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</si>
  <si>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</si>
  <si>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</si>
  <si>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</si>
  <si>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</si>
  <si>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</si>
  <si>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</si>
  <si>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</si>
  <si>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</si>
  <si>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</si>
  <si>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</si>
  <si>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</si>
  <si>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</si>
  <si>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</si>
  <si>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</si>
  <si>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</si>
  <si>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</si>
  <si>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</si>
  <si>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</si>
  <si>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</si>
  <si>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</si>
  <si>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</si>
  <si>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</si>
  <si>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</si>
  <si>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</si>
  <si>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</si>
  <si>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</si>
  <si>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</si>
  <si>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</si>
  <si>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</si>
  <si>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</si>
  <si>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</si>
  <si>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</si>
  <si>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</si>
  <si>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</si>
  <si>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</si>
  <si>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</si>
  <si>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</si>
  <si>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</si>
  <si>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</si>
  <si>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</si>
  <si>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</si>
  <si>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</si>
  <si>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</si>
  <si>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</si>
  <si>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</si>
  <si>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</si>
  <si>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</si>
  <si>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</si>
  <si>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</si>
  <si>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</si>
  <si>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</si>
  <si>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</si>
  <si>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</si>
  <si>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</si>
  <si>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</si>
  <si>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</si>
  <si>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</si>
  <si>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</si>
  <si>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</si>
  <si>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</si>
  <si>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</si>
  <si>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</si>
  <si>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</si>
  <si>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</si>
  <si>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</si>
  <si>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</si>
  <si>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</si>
  <si>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</si>
  <si>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</si>
  <si>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</si>
  <si>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</si>
  <si>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</si>
  <si>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</si>
  <si>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</si>
  <si>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</si>
  <si>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</si>
  <si>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</si>
  <si>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</si>
  <si>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</si>
  <si>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</si>
  <si>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</si>
  <si>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</si>
  <si>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</si>
  <si>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</si>
  <si>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</si>
  <si>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</si>
  <si>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</si>
  <si>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</si>
  <si>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</si>
  <si>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</si>
  <si>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</si>
  <si>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</si>
  <si>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</si>
  <si>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</si>
  <si>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</si>
  <si>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</si>
  <si>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</si>
  <si>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</si>
  <si>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</si>
  <si>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</si>
  <si>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</si>
  <si>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</si>
  <si>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</si>
  <si>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</si>
  <si>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</si>
  <si>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</si>
  <si>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</si>
  <si>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</si>
  <si>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</si>
  <si>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</si>
  <si>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</si>
  <si>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</si>
  <si>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</si>
  <si>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</si>
  <si>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</si>
  <si>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</si>
  <si>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</si>
  <si>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</si>
  <si>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</si>
  <si>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</si>
  <si>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</si>
  <si>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</si>
  <si>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</si>
  <si>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</si>
  <si>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</si>
  <si>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</si>
  <si>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</si>
  <si>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</si>
  <si>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</si>
  <si>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</si>
  <si>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</si>
  <si>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</si>
  <si>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</si>
  <si>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</si>
  <si>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</si>
  <si>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</si>
  <si>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</si>
  <si>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</si>
  <si>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</si>
  <si>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</si>
  <si>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</si>
  <si>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</si>
  <si>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</si>
  <si>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</si>
  <si>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</si>
  <si>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</si>
  <si>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</si>
  <si>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</si>
  <si>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</si>
  <si>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</si>
  <si>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</si>
  <si>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</si>
  <si>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</si>
  <si>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</si>
  <si>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</si>
  <si>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</si>
  <si>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 xml:space="preserve">Incrementar la efectividad de la gestión pública distrital y local. </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</si>
  <si>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</si>
  <si>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</si>
  <si>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</si>
  <si>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</si>
  <si>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</si>
  <si>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</si>
  <si>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</si>
  <si>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</si>
  <si>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</si>
  <si>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</si>
  <si>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</si>
  <si>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Beneficiar 1374 Hogares con la entrega de viviendas para su reubicación definitiva</t>
  </si>
  <si>
    <t>Implementar 5.000 acciones administrativas técnicas y sociales que generen condiciones para iniciar las intervenciones del proyecto Piloto Plan Terrazas.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</si>
</sst>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8">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cellStyleXfs>
  <cellXfs count="255">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0" fontId="27" fillId="0" borderId="3" xfId="149" applyNumberFormat="1" applyFont="1" applyFill="1" applyBorder="1" applyAlignment="1">
      <alignment horizontal="center" vertical="center"/>
    </xf>
    <xf numFmtId="0" fontId="27" fillId="16" borderId="3" xfId="81"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16" borderId="3" xfId="3459" applyNumberFormat="1"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187" fontId="35" fillId="0" borderId="3" xfId="81" applyNumberFormat="1" applyFont="1" applyFill="1" applyBorder="1" applyAlignment="1">
      <alignment horizontal="center" vertical="center"/>
    </xf>
  </cellXfs>
  <cellStyles count="3518">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24" t="s">
        <v>0</v>
      </c>
      <c r="B3" s="225"/>
      <c r="C3" s="225"/>
      <c r="D3" s="226"/>
      <c r="E3" s="1"/>
      <c r="F3" s="2"/>
      <c r="G3" s="2"/>
      <c r="H3" s="2"/>
      <c r="I3" s="2"/>
      <c r="J3" s="2"/>
      <c r="K3" s="2"/>
      <c r="M3" s="2"/>
      <c r="O3" s="2"/>
      <c r="Q3" s="2"/>
    </row>
    <row r="4" spans="1:18" s="3" customFormat="1" ht="12.75" x14ac:dyDescent="0.2">
      <c r="A4" s="224" t="s">
        <v>14</v>
      </c>
      <c r="B4" s="225"/>
      <c r="C4" s="225"/>
      <c r="D4" s="226"/>
      <c r="E4" s="1"/>
      <c r="F4" s="2"/>
      <c r="G4" s="2"/>
      <c r="H4" s="2"/>
      <c r="I4" s="2"/>
      <c r="J4" s="2"/>
      <c r="K4" s="2"/>
      <c r="M4" s="2"/>
      <c r="O4" s="2"/>
      <c r="Q4" s="2"/>
    </row>
    <row r="5" spans="1:18" s="3" customFormat="1" ht="12.75" x14ac:dyDescent="0.2">
      <c r="A5" s="224" t="s">
        <v>0</v>
      </c>
      <c r="B5" s="225"/>
      <c r="C5" s="225"/>
      <c r="D5" s="226"/>
      <c r="E5" s="1"/>
      <c r="F5" s="2"/>
      <c r="G5" s="2"/>
      <c r="H5" s="2"/>
      <c r="I5" s="2"/>
      <c r="J5" s="2"/>
      <c r="K5" s="2"/>
      <c r="M5" s="2"/>
      <c r="O5" s="2"/>
      <c r="Q5" s="2"/>
    </row>
    <row r="6" spans="1:18" s="3" customFormat="1" ht="12.75" x14ac:dyDescent="0.2">
      <c r="A6" s="224" t="s">
        <v>15</v>
      </c>
      <c r="B6" s="225"/>
      <c r="C6" s="225"/>
      <c r="D6" s="22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3" t="s">
        <v>85</v>
      </c>
      <c r="B8" s="234"/>
      <c r="C8" s="234"/>
      <c r="D8" s="234"/>
    </row>
    <row r="9" spans="1:18" s="3" customFormat="1" ht="12.75" x14ac:dyDescent="0.2">
      <c r="A9" s="4"/>
      <c r="B9" s="4"/>
      <c r="C9" s="4"/>
      <c r="D9" s="4"/>
      <c r="E9" s="2"/>
      <c r="F9" s="2"/>
      <c r="G9" s="2"/>
      <c r="H9" s="2"/>
      <c r="I9" s="2"/>
      <c r="J9" s="2"/>
      <c r="K9" s="2"/>
      <c r="M9" s="2"/>
      <c r="O9" s="2"/>
      <c r="Q9" s="2"/>
    </row>
    <row r="10" spans="1:18" ht="34.5" customHeight="1" x14ac:dyDescent="0.25">
      <c r="A10" s="33" t="s">
        <v>1</v>
      </c>
      <c r="B10" s="235" t="s">
        <v>16</v>
      </c>
      <c r="C10" s="235"/>
      <c r="D10" s="23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30" t="s">
        <v>2</v>
      </c>
      <c r="B13" s="205" t="s">
        <v>3</v>
      </c>
      <c r="C13" s="205" t="s">
        <v>67</v>
      </c>
      <c r="D13" s="227" t="s">
        <v>19</v>
      </c>
      <c r="E13" s="10"/>
      <c r="F13" s="67">
        <v>2016</v>
      </c>
      <c r="G13" s="10"/>
      <c r="H13" s="201">
        <v>2017</v>
      </c>
      <c r="I13" s="202"/>
      <c r="J13" s="238"/>
      <c r="K13" s="201">
        <v>2018</v>
      </c>
      <c r="L13" s="238"/>
      <c r="M13" s="201">
        <v>2019</v>
      </c>
      <c r="N13" s="238"/>
      <c r="O13" s="201">
        <v>2020</v>
      </c>
      <c r="P13" s="202"/>
      <c r="Q13" s="202" t="s">
        <v>78</v>
      </c>
      <c r="R13" s="202"/>
    </row>
    <row r="14" spans="1:18" s="11" customFormat="1" ht="15" customHeight="1" x14ac:dyDescent="0.25">
      <c r="A14" s="231"/>
      <c r="B14" s="206"/>
      <c r="C14" s="206"/>
      <c r="D14" s="228"/>
      <c r="E14" s="10"/>
      <c r="F14" s="199" t="s">
        <v>8</v>
      </c>
      <c r="G14" s="10"/>
      <c r="H14" s="199" t="s">
        <v>8</v>
      </c>
      <c r="I14" s="199" t="s">
        <v>84</v>
      </c>
      <c r="J14" s="199" t="s">
        <v>80</v>
      </c>
      <c r="K14" s="199" t="s">
        <v>8</v>
      </c>
      <c r="L14" s="199" t="s">
        <v>79</v>
      </c>
      <c r="M14" s="199" t="s">
        <v>8</v>
      </c>
      <c r="N14" s="199" t="s">
        <v>79</v>
      </c>
      <c r="O14" s="203" t="s">
        <v>8</v>
      </c>
      <c r="P14" s="199" t="s">
        <v>79</v>
      </c>
      <c r="Q14" s="203" t="s">
        <v>8</v>
      </c>
      <c r="R14" s="199" t="s">
        <v>79</v>
      </c>
    </row>
    <row r="15" spans="1:18" s="11" customFormat="1" ht="47.25" customHeight="1" x14ac:dyDescent="0.25">
      <c r="A15" s="232"/>
      <c r="B15" s="207"/>
      <c r="C15" s="207"/>
      <c r="D15" s="229"/>
      <c r="E15" s="12"/>
      <c r="F15" s="199"/>
      <c r="G15" s="12"/>
      <c r="H15" s="199"/>
      <c r="I15" s="199"/>
      <c r="J15" s="199"/>
      <c r="K15" s="199"/>
      <c r="L15" s="199"/>
      <c r="M15" s="199"/>
      <c r="N15" s="199"/>
      <c r="O15" s="204"/>
      <c r="P15" s="199"/>
      <c r="Q15" s="204"/>
      <c r="R15" s="199"/>
    </row>
    <row r="16" spans="1:18" ht="60" customHeight="1" x14ac:dyDescent="0.25">
      <c r="A16" s="236" t="s">
        <v>11</v>
      </c>
      <c r="B16" s="208" t="s">
        <v>12</v>
      </c>
      <c r="C16" s="208"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7"/>
      <c r="B17" s="215"/>
      <c r="C17" s="215"/>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7"/>
      <c r="B18" s="215"/>
      <c r="C18" s="215"/>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7"/>
      <c r="B19" s="215"/>
      <c r="C19" s="215"/>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7"/>
      <c r="B20" s="209"/>
      <c r="C20" s="209"/>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00" t="s">
        <v>2</v>
      </c>
      <c r="B26" s="200" t="s">
        <v>3</v>
      </c>
      <c r="C26" s="205" t="s">
        <v>67</v>
      </c>
      <c r="D26" s="200" t="s">
        <v>19</v>
      </c>
      <c r="E26" s="10"/>
      <c r="F26" s="71">
        <v>2016</v>
      </c>
      <c r="G26" s="79"/>
      <c r="H26" s="200">
        <v>2017</v>
      </c>
      <c r="I26" s="200"/>
      <c r="J26" s="200"/>
      <c r="K26" s="200">
        <v>2018</v>
      </c>
      <c r="L26" s="200"/>
      <c r="M26" s="200">
        <v>2019</v>
      </c>
      <c r="N26" s="200"/>
      <c r="O26" s="200">
        <v>2020</v>
      </c>
      <c r="P26" s="200"/>
      <c r="Q26" s="200" t="s">
        <v>78</v>
      </c>
      <c r="R26" s="200"/>
    </row>
    <row r="27" spans="1:20" s="11" customFormat="1" ht="15" customHeight="1" x14ac:dyDescent="0.25">
      <c r="A27" s="200"/>
      <c r="B27" s="200"/>
      <c r="C27" s="206"/>
      <c r="D27" s="200"/>
      <c r="E27" s="10"/>
      <c r="F27" s="199" t="s">
        <v>8</v>
      </c>
      <c r="G27" s="79"/>
      <c r="H27" s="199" t="s">
        <v>8</v>
      </c>
      <c r="I27" s="199" t="s">
        <v>84</v>
      </c>
      <c r="J27" s="199" t="s">
        <v>80</v>
      </c>
      <c r="K27" s="199" t="s">
        <v>8</v>
      </c>
      <c r="L27" s="199" t="s">
        <v>79</v>
      </c>
      <c r="M27" s="199" t="s">
        <v>8</v>
      </c>
      <c r="N27" s="199" t="s">
        <v>79</v>
      </c>
      <c r="O27" s="199" t="s">
        <v>8</v>
      </c>
      <c r="P27" s="199" t="s">
        <v>79</v>
      </c>
      <c r="Q27" s="199" t="s">
        <v>8</v>
      </c>
      <c r="R27" s="199" t="s">
        <v>79</v>
      </c>
    </row>
    <row r="28" spans="1:20" s="11" customFormat="1" ht="47.25" customHeight="1" x14ac:dyDescent="0.25">
      <c r="A28" s="200"/>
      <c r="B28" s="200"/>
      <c r="C28" s="207"/>
      <c r="D28" s="200"/>
      <c r="E28" s="12"/>
      <c r="F28" s="199"/>
      <c r="G28" s="80"/>
      <c r="H28" s="199"/>
      <c r="I28" s="199"/>
      <c r="J28" s="199"/>
      <c r="K28" s="199"/>
      <c r="L28" s="199"/>
      <c r="M28" s="199"/>
      <c r="N28" s="199"/>
      <c r="O28" s="199"/>
      <c r="P28" s="199"/>
      <c r="Q28" s="199"/>
      <c r="R28" s="199"/>
    </row>
    <row r="29" spans="1:20" ht="51" hidden="1" customHeight="1" x14ac:dyDescent="0.25">
      <c r="A29" s="222" t="s">
        <v>24</v>
      </c>
      <c r="B29" s="223" t="s">
        <v>25</v>
      </c>
      <c r="C29" s="68"/>
      <c r="D29" s="18" t="s">
        <v>9</v>
      </c>
      <c r="E29" s="14"/>
      <c r="F29" s="28"/>
      <c r="G29" s="81"/>
      <c r="H29" s="28"/>
      <c r="I29" s="81"/>
      <c r="J29" s="81"/>
      <c r="K29" s="29"/>
      <c r="L29" s="82"/>
      <c r="M29" s="20"/>
      <c r="N29" s="82"/>
      <c r="O29" s="20"/>
      <c r="P29" s="82"/>
      <c r="Q29" s="15"/>
      <c r="R29" s="82"/>
    </row>
    <row r="30" spans="1:20" ht="95.25" customHeight="1" x14ac:dyDescent="0.25">
      <c r="A30" s="222"/>
      <c r="B30" s="223"/>
      <c r="C30" s="223"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22"/>
      <c r="B31" s="223"/>
      <c r="C31" s="223"/>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16" t="s">
        <v>10</v>
      </c>
      <c r="B33" s="219" t="s">
        <v>26</v>
      </c>
      <c r="C33" s="219"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17"/>
      <c r="B34" s="220"/>
      <c r="C34" s="220"/>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18"/>
      <c r="B35" s="221"/>
      <c r="C35" s="221"/>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12" t="s">
        <v>27</v>
      </c>
      <c r="B37" s="208" t="s">
        <v>28</v>
      </c>
      <c r="C37" s="208"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13"/>
      <c r="B38" s="215"/>
      <c r="C38" s="215"/>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14"/>
      <c r="B39" s="209"/>
      <c r="C39" s="209"/>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00" t="s">
        <v>2</v>
      </c>
      <c r="B45" s="200" t="s">
        <v>3</v>
      </c>
      <c r="C45" s="205" t="s">
        <v>67</v>
      </c>
      <c r="D45" s="200" t="s">
        <v>19</v>
      </c>
      <c r="E45" s="10"/>
      <c r="F45" s="71">
        <v>2016</v>
      </c>
      <c r="G45" s="79"/>
      <c r="H45" s="200">
        <v>2017</v>
      </c>
      <c r="I45" s="200"/>
      <c r="J45" s="200"/>
      <c r="K45" s="200">
        <v>2018</v>
      </c>
      <c r="L45" s="200"/>
      <c r="M45" s="200">
        <v>2019</v>
      </c>
      <c r="N45" s="200"/>
      <c r="O45" s="200">
        <v>2020</v>
      </c>
      <c r="P45" s="200"/>
      <c r="Q45" s="200" t="s">
        <v>78</v>
      </c>
      <c r="R45" s="200"/>
    </row>
    <row r="46" spans="1:20" s="11" customFormat="1" ht="15" customHeight="1" x14ac:dyDescent="0.25">
      <c r="A46" s="200"/>
      <c r="B46" s="200"/>
      <c r="C46" s="206"/>
      <c r="D46" s="200"/>
      <c r="E46" s="10"/>
      <c r="F46" s="203" t="s">
        <v>8</v>
      </c>
      <c r="G46" s="79"/>
      <c r="H46" s="203" t="s">
        <v>8</v>
      </c>
      <c r="I46" s="199" t="s">
        <v>84</v>
      </c>
      <c r="J46" s="199" t="s">
        <v>80</v>
      </c>
      <c r="K46" s="203" t="s">
        <v>8</v>
      </c>
      <c r="L46" s="199" t="s">
        <v>79</v>
      </c>
      <c r="M46" s="203" t="s">
        <v>8</v>
      </c>
      <c r="N46" s="199" t="s">
        <v>79</v>
      </c>
      <c r="O46" s="199" t="s">
        <v>8</v>
      </c>
      <c r="P46" s="199" t="s">
        <v>79</v>
      </c>
      <c r="Q46" s="203" t="s">
        <v>8</v>
      </c>
      <c r="R46" s="199" t="s">
        <v>79</v>
      </c>
    </row>
    <row r="47" spans="1:20" s="11" customFormat="1" ht="47.25" customHeight="1" x14ac:dyDescent="0.25">
      <c r="A47" s="200"/>
      <c r="B47" s="200"/>
      <c r="C47" s="207"/>
      <c r="D47" s="200"/>
      <c r="E47" s="12"/>
      <c r="F47" s="204"/>
      <c r="G47" s="80"/>
      <c r="H47" s="204"/>
      <c r="I47" s="199"/>
      <c r="J47" s="199"/>
      <c r="K47" s="204"/>
      <c r="L47" s="199"/>
      <c r="M47" s="204"/>
      <c r="N47" s="199"/>
      <c r="O47" s="199"/>
      <c r="P47" s="199"/>
      <c r="Q47" s="204"/>
      <c r="R47" s="199"/>
    </row>
    <row r="48" spans="1:20" ht="60" customHeight="1" x14ac:dyDescent="0.25">
      <c r="A48" s="210" t="s">
        <v>35</v>
      </c>
      <c r="B48" s="208" t="s">
        <v>36</v>
      </c>
      <c r="C48" s="208"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11"/>
      <c r="B49" s="209"/>
      <c r="C49" s="209"/>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00" t="s">
        <v>2</v>
      </c>
      <c r="B54" s="200" t="s">
        <v>3</v>
      </c>
      <c r="C54" s="205" t="s">
        <v>67</v>
      </c>
      <c r="D54" s="200" t="s">
        <v>19</v>
      </c>
      <c r="E54" s="10"/>
      <c r="F54" s="71">
        <v>2016</v>
      </c>
      <c r="G54" s="79"/>
      <c r="H54" s="200">
        <v>2017</v>
      </c>
      <c r="I54" s="200"/>
      <c r="J54" s="200"/>
      <c r="K54" s="200">
        <v>2018</v>
      </c>
      <c r="L54" s="200"/>
      <c r="M54" s="200">
        <v>2019</v>
      </c>
      <c r="N54" s="200"/>
      <c r="O54" s="200">
        <v>2020</v>
      </c>
      <c r="P54" s="200"/>
      <c r="Q54" s="200" t="s">
        <v>78</v>
      </c>
      <c r="R54" s="200"/>
    </row>
    <row r="55" spans="1:20" s="11" customFormat="1" ht="15" customHeight="1" x14ac:dyDescent="0.25">
      <c r="A55" s="200"/>
      <c r="B55" s="200"/>
      <c r="C55" s="206"/>
      <c r="D55" s="200"/>
      <c r="E55" s="10"/>
      <c r="F55" s="199" t="s">
        <v>8</v>
      </c>
      <c r="G55" s="79"/>
      <c r="H55" s="199" t="s">
        <v>8</v>
      </c>
      <c r="I55" s="199" t="s">
        <v>84</v>
      </c>
      <c r="J55" s="199" t="s">
        <v>80</v>
      </c>
      <c r="K55" s="199" t="s">
        <v>8</v>
      </c>
      <c r="L55" s="199" t="s">
        <v>79</v>
      </c>
      <c r="M55" s="199" t="s">
        <v>8</v>
      </c>
      <c r="N55" s="199" t="s">
        <v>79</v>
      </c>
      <c r="O55" s="199" t="s">
        <v>8</v>
      </c>
      <c r="P55" s="199" t="s">
        <v>79</v>
      </c>
      <c r="Q55" s="199" t="s">
        <v>8</v>
      </c>
      <c r="R55" s="199" t="s">
        <v>79</v>
      </c>
    </row>
    <row r="56" spans="1:20" s="11" customFormat="1" ht="47.25" customHeight="1" x14ac:dyDescent="0.25">
      <c r="A56" s="200"/>
      <c r="B56" s="200"/>
      <c r="C56" s="207"/>
      <c r="D56" s="200"/>
      <c r="E56" s="12"/>
      <c r="F56" s="199"/>
      <c r="G56" s="80"/>
      <c r="H56" s="199"/>
      <c r="I56" s="199"/>
      <c r="J56" s="199"/>
      <c r="K56" s="199"/>
      <c r="L56" s="199"/>
      <c r="M56" s="199"/>
      <c r="N56" s="199"/>
      <c r="O56" s="199"/>
      <c r="P56" s="199"/>
      <c r="Q56" s="199"/>
      <c r="R56" s="199"/>
    </row>
    <row r="57" spans="1:20" ht="88.5" customHeight="1" x14ac:dyDescent="0.25">
      <c r="A57" s="210" t="s">
        <v>39</v>
      </c>
      <c r="B57" s="208" t="s">
        <v>13</v>
      </c>
      <c r="C57" s="208"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11"/>
      <c r="B58" s="209"/>
      <c r="C58" s="209"/>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00" t="s">
        <v>2</v>
      </c>
      <c r="B63" s="200" t="s">
        <v>3</v>
      </c>
      <c r="C63" s="205" t="s">
        <v>67</v>
      </c>
      <c r="D63" s="200" t="s">
        <v>19</v>
      </c>
      <c r="E63" s="10"/>
      <c r="F63" s="71">
        <v>2016</v>
      </c>
      <c r="G63" s="79"/>
      <c r="H63" s="200">
        <v>2017</v>
      </c>
      <c r="I63" s="200"/>
      <c r="J63" s="200"/>
      <c r="K63" s="200">
        <v>2018</v>
      </c>
      <c r="L63" s="200"/>
      <c r="M63" s="200">
        <v>2019</v>
      </c>
      <c r="N63" s="200"/>
      <c r="O63" s="200">
        <v>2020</v>
      </c>
      <c r="P63" s="200"/>
      <c r="Q63" s="200" t="s">
        <v>78</v>
      </c>
      <c r="R63" s="200"/>
    </row>
    <row r="64" spans="1:20" s="11" customFormat="1" ht="15" customHeight="1" x14ac:dyDescent="0.25">
      <c r="A64" s="200"/>
      <c r="B64" s="200"/>
      <c r="C64" s="206"/>
      <c r="D64" s="200"/>
      <c r="E64" s="10"/>
      <c r="F64" s="199" t="s">
        <v>8</v>
      </c>
      <c r="G64" s="79"/>
      <c r="H64" s="199" t="s">
        <v>8</v>
      </c>
      <c r="I64" s="199" t="s">
        <v>84</v>
      </c>
      <c r="J64" s="199" t="s">
        <v>80</v>
      </c>
      <c r="K64" s="199" t="s">
        <v>8</v>
      </c>
      <c r="L64" s="199" t="s">
        <v>79</v>
      </c>
      <c r="M64" s="199" t="s">
        <v>8</v>
      </c>
      <c r="N64" s="199" t="s">
        <v>79</v>
      </c>
      <c r="O64" s="199" t="s">
        <v>8</v>
      </c>
      <c r="P64" s="199" t="s">
        <v>79</v>
      </c>
      <c r="Q64" s="199" t="s">
        <v>8</v>
      </c>
      <c r="R64" s="199" t="s">
        <v>79</v>
      </c>
    </row>
    <row r="65" spans="1:20" s="11" customFormat="1" ht="47.25" customHeight="1" x14ac:dyDescent="0.25">
      <c r="A65" s="200"/>
      <c r="B65" s="200"/>
      <c r="C65" s="207"/>
      <c r="D65" s="200"/>
      <c r="E65" s="12"/>
      <c r="F65" s="199"/>
      <c r="G65" s="80"/>
      <c r="H65" s="199"/>
      <c r="I65" s="199"/>
      <c r="J65" s="199"/>
      <c r="K65" s="199"/>
      <c r="L65" s="199"/>
      <c r="M65" s="199"/>
      <c r="N65" s="199"/>
      <c r="O65" s="199"/>
      <c r="P65" s="199"/>
      <c r="Q65" s="199"/>
      <c r="R65" s="199"/>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tabSelected="1" topLeftCell="F4" zoomScale="65" zoomScaleNormal="65" workbookViewId="0">
      <pane xSplit="1" ySplit="13" topLeftCell="N74" activePane="bottomRight" state="frozen"/>
      <selection activeCell="F4" sqref="F4"/>
      <selection pane="topRight" activeCell="G4" sqref="G4"/>
      <selection pane="bottomLeft" activeCell="F17" sqref="F17"/>
      <selection pane="bottomRight" activeCell="Q59" sqref="Q59"/>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3.14062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col min="40" max="16384" width="11.42578125" style="8"/>
  </cols>
  <sheetData>
    <row r="1" spans="1:39" hidden="1" x14ac:dyDescent="0.25">
      <c r="A1" s="8"/>
      <c r="L1" s="163">
        <v>1000000</v>
      </c>
    </row>
    <row r="2" spans="1:39" s="3" customFormat="1" x14ac:dyDescent="0.25">
      <c r="A2" s="251" t="s">
        <v>0</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3"/>
      <c r="AM2" s="93"/>
    </row>
    <row r="3" spans="1:39" s="3" customFormat="1" x14ac:dyDescent="0.25">
      <c r="A3" s="251" t="s">
        <v>92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3"/>
      <c r="AM3" s="93"/>
    </row>
    <row r="4" spans="1:39" s="3" customFormat="1" x14ac:dyDescent="0.25">
      <c r="A4" s="251" t="s">
        <v>0</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3"/>
      <c r="AM4" s="93"/>
    </row>
    <row r="5" spans="1:39" s="3" customFormat="1" x14ac:dyDescent="0.25">
      <c r="A5" s="251" t="s">
        <v>93</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3"/>
      <c r="AM5" s="93"/>
    </row>
    <row r="6" spans="1:39" s="3" customFormat="1" x14ac:dyDescent="0.25">
      <c r="A6" s="251"/>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3"/>
      <c r="AM6" s="93"/>
    </row>
    <row r="7" spans="1:39" s="5" customFormat="1" ht="15.75" customHeight="1" x14ac:dyDescent="0.2">
      <c r="A7" s="247"/>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94"/>
    </row>
    <row r="8" spans="1:39"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hidden="1" x14ac:dyDescent="0.25">
      <c r="A9" s="142">
        <v>1</v>
      </c>
      <c r="B9" s="122" t="s">
        <v>94</v>
      </c>
      <c r="C9" s="243" t="s">
        <v>97</v>
      </c>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row>
    <row r="10" spans="1:39" hidden="1" x14ac:dyDescent="0.25">
      <c r="A10" s="141">
        <v>8</v>
      </c>
      <c r="B10" s="6" t="s">
        <v>157</v>
      </c>
      <c r="C10" s="243" t="s">
        <v>158</v>
      </c>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row>
    <row r="11" spans="1:39" hidden="1" x14ac:dyDescent="0.25">
      <c r="A11" s="141">
        <v>19</v>
      </c>
      <c r="B11" s="6" t="s">
        <v>95</v>
      </c>
      <c r="C11" s="243" t="s">
        <v>156</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row>
    <row r="12" spans="1:39" ht="30" hidden="1" x14ac:dyDescent="0.25">
      <c r="A12" s="141">
        <v>3</v>
      </c>
      <c r="B12" s="123" t="s">
        <v>98</v>
      </c>
      <c r="C12" s="243" t="s">
        <v>96</v>
      </c>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row>
    <row r="13" spans="1:39"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25">
      <c r="A14" s="230" t="s">
        <v>2</v>
      </c>
      <c r="B14" s="205" t="s">
        <v>3</v>
      </c>
      <c r="C14" s="241" t="s">
        <v>87</v>
      </c>
      <c r="D14" s="205" t="s">
        <v>67</v>
      </c>
      <c r="E14" s="241" t="s">
        <v>171</v>
      </c>
      <c r="F14" s="227" t="s">
        <v>101</v>
      </c>
      <c r="G14" s="248" t="s">
        <v>90</v>
      </c>
      <c r="H14" s="200" t="s">
        <v>172</v>
      </c>
      <c r="I14" s="10"/>
      <c r="J14" s="200">
        <v>2020</v>
      </c>
      <c r="K14" s="200"/>
      <c r="L14" s="200"/>
      <c r="M14" s="200"/>
      <c r="N14" s="10"/>
      <c r="O14" s="200">
        <v>2021</v>
      </c>
      <c r="P14" s="200"/>
      <c r="Q14" s="200"/>
      <c r="R14" s="200"/>
      <c r="T14" s="200">
        <v>2022</v>
      </c>
      <c r="U14" s="200"/>
      <c r="V14" s="200"/>
      <c r="W14" s="200"/>
      <c r="Y14" s="200">
        <v>2023</v>
      </c>
      <c r="Z14" s="200"/>
      <c r="AA14" s="200"/>
      <c r="AB14" s="200"/>
      <c r="AD14" s="201">
        <v>2024</v>
      </c>
      <c r="AE14" s="202"/>
      <c r="AF14" s="202"/>
      <c r="AG14" s="202"/>
      <c r="AI14" s="244" t="s">
        <v>102</v>
      </c>
      <c r="AJ14" s="244"/>
      <c r="AK14" s="244"/>
      <c r="AL14" s="244"/>
      <c r="AM14" s="98"/>
    </row>
    <row r="15" spans="1:39" s="11" customFormat="1" ht="16.5" customHeight="1" x14ac:dyDescent="0.25">
      <c r="A15" s="231"/>
      <c r="B15" s="206"/>
      <c r="C15" s="228"/>
      <c r="D15" s="206"/>
      <c r="E15" s="228"/>
      <c r="F15" s="228"/>
      <c r="G15" s="248"/>
      <c r="H15" s="200"/>
      <c r="I15" s="10"/>
      <c r="J15" s="199" t="s">
        <v>4</v>
      </c>
      <c r="K15" s="199"/>
      <c r="L15" s="199" t="s">
        <v>61</v>
      </c>
      <c r="M15" s="199"/>
      <c r="N15" s="10"/>
      <c r="O15" s="199" t="s">
        <v>6</v>
      </c>
      <c r="P15" s="199"/>
      <c r="Q15" s="199" t="s">
        <v>8</v>
      </c>
      <c r="R15" s="199"/>
      <c r="S15" s="10"/>
      <c r="T15" s="199" t="s">
        <v>7</v>
      </c>
      <c r="U15" s="199"/>
      <c r="V15" s="199" t="s">
        <v>8</v>
      </c>
      <c r="W15" s="199"/>
      <c r="Y15" s="199" t="s">
        <v>7</v>
      </c>
      <c r="Z15" s="199"/>
      <c r="AA15" s="199" t="s">
        <v>8</v>
      </c>
      <c r="AB15" s="199"/>
      <c r="AD15" s="199" t="s">
        <v>7</v>
      </c>
      <c r="AE15" s="199"/>
      <c r="AF15" s="199" t="s">
        <v>8</v>
      </c>
      <c r="AG15" s="199"/>
      <c r="AI15" s="203" t="s">
        <v>4</v>
      </c>
      <c r="AJ15" s="203" t="s">
        <v>66</v>
      </c>
      <c r="AK15" s="203" t="s">
        <v>8</v>
      </c>
      <c r="AL15" s="203" t="s">
        <v>5</v>
      </c>
      <c r="AM15" s="98"/>
    </row>
    <row r="16" spans="1:39" s="11" customFormat="1" ht="33" x14ac:dyDescent="0.25">
      <c r="A16" s="232"/>
      <c r="B16" s="207"/>
      <c r="C16" s="242"/>
      <c r="D16" s="207"/>
      <c r="E16" s="242"/>
      <c r="F16" s="229"/>
      <c r="G16" s="248"/>
      <c r="H16" s="200"/>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04"/>
      <c r="AJ16" s="204"/>
      <c r="AK16" s="204"/>
      <c r="AL16" s="204"/>
      <c r="AM16" s="98"/>
    </row>
    <row r="17" spans="1:39" s="100" customFormat="1" ht="75.75" customHeight="1" x14ac:dyDescent="0.25">
      <c r="A17" s="236" t="s">
        <v>99</v>
      </c>
      <c r="B17" s="208" t="s">
        <v>100</v>
      </c>
      <c r="C17" s="208" t="s">
        <v>89</v>
      </c>
      <c r="D17" s="208" t="s">
        <v>151</v>
      </c>
      <c r="E17" s="239" t="str">
        <f>C10</f>
        <v xml:space="preserve">Aumentar el acceso a vivienda digna, espacio público y equipamientos de la población vulnerable en suelo urbano y rural </v>
      </c>
      <c r="F17" s="138" t="s">
        <v>160</v>
      </c>
      <c r="G17" s="138" t="s">
        <v>104</v>
      </c>
      <c r="H17" s="245" t="str">
        <f>C12</f>
        <v>Sistema Distrital de Cuidado</v>
      </c>
      <c r="I17" s="14"/>
      <c r="J17" s="126">
        <v>0.05</v>
      </c>
      <c r="K17" s="126">
        <v>0.05</v>
      </c>
      <c r="L17" s="158"/>
      <c r="M17" s="128"/>
      <c r="N17" s="129"/>
      <c r="O17" s="130">
        <v>0.3</v>
      </c>
      <c r="P17" s="186">
        <v>0.26</v>
      </c>
      <c r="Q17" s="128"/>
      <c r="R17" s="128"/>
      <c r="S17" s="131"/>
      <c r="T17" s="132">
        <v>0.65</v>
      </c>
      <c r="U17" s="132">
        <v>0</v>
      </c>
      <c r="V17" s="133"/>
      <c r="W17" s="134"/>
      <c r="X17" s="135"/>
      <c r="Y17" s="132">
        <v>0.95</v>
      </c>
      <c r="Z17" s="132">
        <v>0</v>
      </c>
      <c r="AA17" s="133"/>
      <c r="AB17" s="134"/>
      <c r="AC17" s="135"/>
      <c r="AD17" s="136">
        <v>1</v>
      </c>
      <c r="AE17" s="136">
        <v>0</v>
      </c>
      <c r="AF17" s="133"/>
      <c r="AG17" s="134"/>
      <c r="AH17" s="131"/>
      <c r="AI17" s="136">
        <f>AD17</f>
        <v>1</v>
      </c>
      <c r="AJ17" s="190">
        <f>+P17</f>
        <v>0.26</v>
      </c>
      <c r="AK17" s="137">
        <f>L17+Q17+V17+AA17+AF17</f>
        <v>0</v>
      </c>
      <c r="AL17" s="137">
        <f>M17+R17+W17+AB17+AG17</f>
        <v>0</v>
      </c>
      <c r="AM17" s="125"/>
    </row>
    <row r="18" spans="1:39" ht="90" x14ac:dyDescent="0.25">
      <c r="A18" s="237"/>
      <c r="B18" s="215"/>
      <c r="C18" s="215"/>
      <c r="D18" s="215"/>
      <c r="E18" s="240"/>
      <c r="F18" s="13" t="s">
        <v>105</v>
      </c>
      <c r="G18" s="13" t="s">
        <v>173</v>
      </c>
      <c r="H18" s="246"/>
      <c r="I18" s="14"/>
      <c r="J18" s="15">
        <v>20</v>
      </c>
      <c r="K18" s="15">
        <v>20</v>
      </c>
      <c r="L18" s="159">
        <v>1562.1521029999999</v>
      </c>
      <c r="M18" s="29">
        <v>1072.7394810000001</v>
      </c>
      <c r="N18" s="23"/>
      <c r="O18" s="90">
        <v>300</v>
      </c>
      <c r="P18" s="15">
        <v>245</v>
      </c>
      <c r="Q18" s="29">
        <f>4689333026/L1</f>
        <v>4689.3330260000002</v>
      </c>
      <c r="R18" s="29">
        <f>3767201821/L1</f>
        <v>3767.2018210000001</v>
      </c>
      <c r="S18" s="100"/>
      <c r="T18" s="90">
        <v>480</v>
      </c>
      <c r="U18" s="103">
        <v>0</v>
      </c>
      <c r="V18" s="104">
        <v>1964</v>
      </c>
      <c r="W18" s="105"/>
      <c r="X18" s="101"/>
      <c r="Y18" s="90">
        <v>400</v>
      </c>
      <c r="Z18" s="103">
        <v>0</v>
      </c>
      <c r="AA18" s="104">
        <v>4117</v>
      </c>
      <c r="AB18" s="105"/>
      <c r="AC18" s="101"/>
      <c r="AD18" s="90">
        <v>50</v>
      </c>
      <c r="AE18" s="90">
        <v>0</v>
      </c>
      <c r="AF18" s="104">
        <f>350000000/L1</f>
        <v>350</v>
      </c>
      <c r="AG18" s="105"/>
      <c r="AH18" s="100"/>
      <c r="AI18" s="90">
        <f>J18+O18+T18+Y18+AD18</f>
        <v>1250</v>
      </c>
      <c r="AJ18" s="90">
        <f t="shared" ref="AJ18" si="0">K18+P18+U18+Z18+AE18</f>
        <v>265</v>
      </c>
      <c r="AK18" s="62">
        <f t="shared" ref="AK18" si="1">L18+Q18+V18+AA18+AF18</f>
        <v>12682.485129000001</v>
      </c>
      <c r="AL18" s="62">
        <f t="shared" ref="AL18" si="2">M18+R18+W18+AB18+AG18</f>
        <v>4839.9413020000002</v>
      </c>
      <c r="AM18" s="99"/>
    </row>
    <row r="19" spans="1:39" ht="75" x14ac:dyDescent="0.25">
      <c r="A19" s="237"/>
      <c r="B19" s="215"/>
      <c r="C19" s="215"/>
      <c r="D19" s="215"/>
      <c r="E19" s="240"/>
      <c r="F19" s="13" t="s">
        <v>106</v>
      </c>
      <c r="G19" s="13" t="s">
        <v>107</v>
      </c>
      <c r="H19" s="246"/>
      <c r="I19" s="14"/>
      <c r="J19" s="15">
        <v>0</v>
      </c>
      <c r="K19" s="15">
        <v>0</v>
      </c>
      <c r="L19" s="159">
        <v>0</v>
      </c>
      <c r="M19" s="29"/>
      <c r="N19" s="23"/>
      <c r="O19" s="90">
        <v>143</v>
      </c>
      <c r="P19" s="15">
        <v>0</v>
      </c>
      <c r="Q19" s="29">
        <f>1456900000/L1</f>
        <v>1456.9</v>
      </c>
      <c r="R19" s="29">
        <f>1085554730/L1</f>
        <v>1085.5547300000001</v>
      </c>
      <c r="S19" s="100"/>
      <c r="T19" s="90">
        <v>497</v>
      </c>
      <c r="U19" s="103">
        <v>0</v>
      </c>
      <c r="V19" s="104">
        <v>4612</v>
      </c>
      <c r="W19" s="106"/>
      <c r="X19" s="101"/>
      <c r="Y19" s="90">
        <v>460</v>
      </c>
      <c r="Z19" s="103">
        <v>0</v>
      </c>
      <c r="AA19" s="104">
        <v>1952</v>
      </c>
      <c r="AB19" s="106"/>
      <c r="AC19" s="101"/>
      <c r="AD19" s="90">
        <v>150</v>
      </c>
      <c r="AE19" s="90">
        <v>0</v>
      </c>
      <c r="AF19" s="104">
        <f>451000000/L1</f>
        <v>451</v>
      </c>
      <c r="AG19" s="106"/>
      <c r="AH19" s="100"/>
      <c r="AI19" s="90">
        <f>J19+O19+T19+Y19+AD19</f>
        <v>1250</v>
      </c>
      <c r="AJ19" s="90">
        <f t="shared" ref="AJ19" si="3">K19+P19+U19+Z19+AE19</f>
        <v>0</v>
      </c>
      <c r="AK19" s="62">
        <f t="shared" ref="AK19" si="4">L19+Q19+V19+AA19+AF19</f>
        <v>8471.9</v>
      </c>
      <c r="AL19" s="62">
        <f t="shared" ref="AL19" si="5">M19+R19+W19+AB19+AG19</f>
        <v>1085.5547300000001</v>
      </c>
    </row>
    <row r="20" spans="1:39" ht="49.5" customHeight="1" x14ac:dyDescent="0.25">
      <c r="A20" s="237"/>
      <c r="B20" s="215"/>
      <c r="C20" s="215"/>
      <c r="D20" s="215"/>
      <c r="E20" s="240"/>
      <c r="F20" s="13" t="s">
        <v>180</v>
      </c>
      <c r="G20" s="13" t="s">
        <v>107</v>
      </c>
      <c r="H20" s="246"/>
      <c r="I20" s="14"/>
      <c r="J20" s="15">
        <v>0</v>
      </c>
      <c r="K20" s="15">
        <v>0</v>
      </c>
      <c r="L20" s="159">
        <v>0</v>
      </c>
      <c r="M20" s="29"/>
      <c r="N20" s="23"/>
      <c r="O20" s="90">
        <v>406</v>
      </c>
      <c r="P20" s="15">
        <v>263</v>
      </c>
      <c r="Q20" s="29">
        <f>165096800/L1</f>
        <v>165.0968</v>
      </c>
      <c r="R20" s="29">
        <v>0</v>
      </c>
      <c r="S20" s="100"/>
      <c r="T20" s="90">
        <v>2154</v>
      </c>
      <c r="U20" s="103">
        <v>0</v>
      </c>
      <c r="V20" s="104">
        <v>0</v>
      </c>
      <c r="W20" s="106"/>
      <c r="X20" s="101"/>
      <c r="Y20" s="90">
        <v>1840</v>
      </c>
      <c r="Z20" s="103">
        <v>0</v>
      </c>
      <c r="AA20" s="104">
        <v>0</v>
      </c>
      <c r="AB20" s="106"/>
      <c r="AC20" s="101"/>
      <c r="AD20" s="90">
        <v>600</v>
      </c>
      <c r="AE20" s="90">
        <v>0</v>
      </c>
      <c r="AF20" s="104">
        <v>0</v>
      </c>
      <c r="AG20" s="106"/>
      <c r="AH20" s="100"/>
      <c r="AI20" s="90">
        <f>J20+O20+T20+Y20+AD20</f>
        <v>5000</v>
      </c>
      <c r="AJ20" s="90">
        <f t="shared" ref="AJ20" si="6">K20+P20+U20+Z20+AE20</f>
        <v>263</v>
      </c>
      <c r="AK20" s="62">
        <f t="shared" ref="AK20" si="7">L20+Q20+V20+AA20+AF20</f>
        <v>165.0968</v>
      </c>
      <c r="AL20" s="62">
        <f t="shared" ref="AL20" si="8">M20+R20+W20+AB20+AG20</f>
        <v>0</v>
      </c>
    </row>
    <row r="21" spans="1:39" s="100" customFormat="1" ht="75.75" customHeight="1" x14ac:dyDescent="0.25">
      <c r="A21" s="237"/>
      <c r="B21" s="215"/>
      <c r="C21" s="215"/>
      <c r="D21" s="215"/>
      <c r="E21" s="240"/>
      <c r="F21" s="138" t="s">
        <v>159</v>
      </c>
      <c r="G21" s="138" t="s">
        <v>108</v>
      </c>
      <c r="H21" s="246"/>
      <c r="I21" s="14"/>
      <c r="J21" s="126">
        <v>0.3</v>
      </c>
      <c r="K21" s="126">
        <v>0.3</v>
      </c>
      <c r="L21" s="158"/>
      <c r="M21" s="128"/>
      <c r="N21" s="129"/>
      <c r="O21" s="130">
        <v>0.7</v>
      </c>
      <c r="P21" s="172">
        <v>0.66400000000000003</v>
      </c>
      <c r="Q21" s="128"/>
      <c r="R21" s="128"/>
      <c r="S21" s="131"/>
      <c r="T21" s="132">
        <v>0.9</v>
      </c>
      <c r="U21" s="132">
        <v>0</v>
      </c>
      <c r="V21" s="133"/>
      <c r="W21" s="134"/>
      <c r="X21" s="135"/>
      <c r="Y21" s="132">
        <v>1</v>
      </c>
      <c r="Z21" s="132">
        <v>0</v>
      </c>
      <c r="AA21" s="133"/>
      <c r="AB21" s="134"/>
      <c r="AC21" s="135"/>
      <c r="AD21" s="136">
        <v>1</v>
      </c>
      <c r="AE21" s="136">
        <v>0</v>
      </c>
      <c r="AF21" s="133"/>
      <c r="AG21" s="134"/>
      <c r="AH21" s="131"/>
      <c r="AI21" s="136">
        <f>AD21</f>
        <v>1</v>
      </c>
      <c r="AJ21" s="190">
        <f>+P21</f>
        <v>0.66400000000000003</v>
      </c>
      <c r="AK21" s="137">
        <f t="shared" ref="AJ21:AL22" si="9">L21+Q21+V21+AA21+AF21</f>
        <v>0</v>
      </c>
      <c r="AL21" s="137">
        <f t="shared" si="9"/>
        <v>0</v>
      </c>
      <c r="AM21" s="125"/>
    </row>
    <row r="22" spans="1:39" s="100" customFormat="1" ht="75.75" customHeight="1" x14ac:dyDescent="0.25">
      <c r="A22" s="237"/>
      <c r="B22" s="215"/>
      <c r="C22" s="215"/>
      <c r="D22" s="215"/>
      <c r="E22" s="240"/>
      <c r="F22" s="138" t="s">
        <v>159</v>
      </c>
      <c r="G22" s="138" t="s">
        <v>174</v>
      </c>
      <c r="H22" s="246"/>
      <c r="I22" s="14"/>
      <c r="J22" s="126">
        <v>1</v>
      </c>
      <c r="K22" s="126">
        <v>1</v>
      </c>
      <c r="L22" s="158"/>
      <c r="M22" s="128"/>
      <c r="N22" s="129"/>
      <c r="O22" s="130">
        <v>0</v>
      </c>
      <c r="P22" s="172">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9"/>
        <v>1</v>
      </c>
      <c r="AK22" s="137">
        <f t="shared" si="9"/>
        <v>0</v>
      </c>
      <c r="AL22" s="137">
        <f t="shared" si="9"/>
        <v>0</v>
      </c>
      <c r="AM22" s="125"/>
    </row>
    <row r="23" spans="1:39" ht="60" x14ac:dyDescent="0.25">
      <c r="A23" s="237"/>
      <c r="B23" s="215"/>
      <c r="C23" s="215"/>
      <c r="D23" s="215"/>
      <c r="E23" s="240"/>
      <c r="F23" s="13" t="s">
        <v>109</v>
      </c>
      <c r="G23" s="13" t="s">
        <v>110</v>
      </c>
      <c r="H23" s="246"/>
      <c r="I23" s="14"/>
      <c r="J23" s="15">
        <v>50</v>
      </c>
      <c r="K23" s="15">
        <v>50</v>
      </c>
      <c r="L23" s="159">
        <v>3103.2696059999998</v>
      </c>
      <c r="M23" s="29">
        <v>2913.9473720000001</v>
      </c>
      <c r="N23" s="23"/>
      <c r="O23" s="15">
        <v>250</v>
      </c>
      <c r="P23" s="15">
        <v>223</v>
      </c>
      <c r="Q23" s="63">
        <f>3907515200/L1</f>
        <v>3907.5151999999998</v>
      </c>
      <c r="R23" s="63">
        <f>2888317881/L1</f>
        <v>2888.3178809999999</v>
      </c>
      <c r="S23" s="100"/>
      <c r="T23" s="90">
        <v>600</v>
      </c>
      <c r="U23" s="103">
        <v>0</v>
      </c>
      <c r="V23" s="104">
        <f>3774000000/L1</f>
        <v>3774</v>
      </c>
      <c r="W23" s="106"/>
      <c r="X23" s="101"/>
      <c r="Y23" s="90">
        <v>550</v>
      </c>
      <c r="Z23" s="103">
        <v>0</v>
      </c>
      <c r="AA23" s="104">
        <f>5000000000/L1</f>
        <v>5000</v>
      </c>
      <c r="AB23" s="106"/>
      <c r="AC23" s="101"/>
      <c r="AD23" s="90">
        <v>50</v>
      </c>
      <c r="AE23" s="90">
        <v>0</v>
      </c>
      <c r="AF23" s="104">
        <f>2000000000/L1</f>
        <v>2000</v>
      </c>
      <c r="AG23" s="106"/>
      <c r="AH23" s="100"/>
      <c r="AI23" s="90">
        <f>J23+O23+T23+Y23+AD23</f>
        <v>1500</v>
      </c>
      <c r="AJ23" s="90">
        <f t="shared" ref="AJ23" si="10">K23+P23+U23+Z23+AE23</f>
        <v>273</v>
      </c>
      <c r="AK23" s="62">
        <f t="shared" ref="AK23" si="11">L23+Q23+V23+AA23+AF23</f>
        <v>17784.784806</v>
      </c>
      <c r="AL23" s="62">
        <f t="shared" ref="AL23" si="12">M23+R23+W23+AB23+AG23</f>
        <v>5802.2652529999996</v>
      </c>
    </row>
    <row r="24" spans="1:39" s="100" customFormat="1" ht="75.75" customHeight="1" x14ac:dyDescent="0.25">
      <c r="A24" s="237"/>
      <c r="B24" s="215"/>
      <c r="C24" s="215"/>
      <c r="D24" s="215"/>
      <c r="E24" s="240"/>
      <c r="F24" s="138" t="s">
        <v>161</v>
      </c>
      <c r="G24" s="138" t="s">
        <v>111</v>
      </c>
      <c r="H24" s="246"/>
      <c r="I24" s="14"/>
      <c r="J24" s="126">
        <v>0.2</v>
      </c>
      <c r="K24" s="126">
        <v>0.2</v>
      </c>
      <c r="L24" s="158"/>
      <c r="M24" s="128"/>
      <c r="N24" s="129"/>
      <c r="O24" s="130">
        <v>0.6</v>
      </c>
      <c r="P24" s="172">
        <v>0.53200000000000003</v>
      </c>
      <c r="Q24" s="128"/>
      <c r="R24" s="128"/>
      <c r="S24" s="131"/>
      <c r="T24" s="132">
        <v>0.8</v>
      </c>
      <c r="U24" s="132">
        <v>0</v>
      </c>
      <c r="V24" s="133"/>
      <c r="W24" s="134"/>
      <c r="X24" s="135"/>
      <c r="Y24" s="132">
        <v>1</v>
      </c>
      <c r="Z24" s="132">
        <v>0</v>
      </c>
      <c r="AA24" s="133"/>
      <c r="AB24" s="134"/>
      <c r="AC24" s="135"/>
      <c r="AD24" s="136">
        <v>1</v>
      </c>
      <c r="AE24" s="136">
        <v>0</v>
      </c>
      <c r="AF24" s="133"/>
      <c r="AG24" s="134"/>
      <c r="AH24" s="131"/>
      <c r="AI24" s="136">
        <f>AD24</f>
        <v>1</v>
      </c>
      <c r="AJ24" s="190">
        <f>+P24</f>
        <v>0.53200000000000003</v>
      </c>
      <c r="AK24" s="137">
        <f>L24+Q24+V24+AA24+AF24</f>
        <v>0</v>
      </c>
      <c r="AL24" s="137">
        <f>M24+R24+W24+AB24+AG24</f>
        <v>0</v>
      </c>
      <c r="AM24" s="125"/>
    </row>
    <row r="25" spans="1:39" ht="75" x14ac:dyDescent="0.25">
      <c r="A25" s="237"/>
      <c r="B25" s="209"/>
      <c r="C25" s="209"/>
      <c r="D25" s="209"/>
      <c r="E25" s="250"/>
      <c r="F25" s="13" t="s">
        <v>112</v>
      </c>
      <c r="G25" s="13" t="s">
        <v>111</v>
      </c>
      <c r="H25" s="246"/>
      <c r="I25" s="14"/>
      <c r="J25" s="26">
        <v>0.2</v>
      </c>
      <c r="K25" s="111">
        <v>0.2</v>
      </c>
      <c r="L25" s="159">
        <f>80000000/L1</f>
        <v>80</v>
      </c>
      <c r="M25" s="29">
        <v>37.799999999999997</v>
      </c>
      <c r="N25" s="23"/>
      <c r="O25" s="26">
        <v>0.45</v>
      </c>
      <c r="P25" s="173">
        <v>0.40749999999999997</v>
      </c>
      <c r="Q25" s="29">
        <f>3002000000/L1</f>
        <v>3002</v>
      </c>
      <c r="R25" s="29">
        <f>2932000000/L1</f>
        <v>2932</v>
      </c>
      <c r="S25" s="100"/>
      <c r="T25" s="139">
        <v>0.8</v>
      </c>
      <c r="U25" s="124">
        <v>0</v>
      </c>
      <c r="V25" s="104">
        <f>4650000000/L1</f>
        <v>4650</v>
      </c>
      <c r="W25" s="105"/>
      <c r="X25" s="101"/>
      <c r="Y25" s="139">
        <v>1</v>
      </c>
      <c r="Z25" s="124">
        <v>0</v>
      </c>
      <c r="AA25" s="104">
        <f>6188000000/L1</f>
        <v>6188</v>
      </c>
      <c r="AB25" s="105"/>
      <c r="AC25" s="101"/>
      <c r="AD25" s="111">
        <v>1</v>
      </c>
      <c r="AE25" s="111">
        <v>0</v>
      </c>
      <c r="AF25" s="104">
        <f>70000000/L1</f>
        <v>70</v>
      </c>
      <c r="AG25" s="105"/>
      <c r="AH25" s="100"/>
      <c r="AI25" s="111">
        <f>AD25</f>
        <v>1</v>
      </c>
      <c r="AJ25" s="149">
        <f>+P25</f>
        <v>0.40749999999999997</v>
      </c>
      <c r="AK25" s="62">
        <f t="shared" ref="AK25" si="13">L25+Q25+V25+AA25+AF25</f>
        <v>13990</v>
      </c>
      <c r="AL25" s="62">
        <f t="shared" ref="AL25" si="14">M25+R25+W25+AB25+AG25</f>
        <v>2969.8</v>
      </c>
      <c r="AM25" s="99"/>
    </row>
    <row r="26" spans="1:39"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13220.845025999999</v>
      </c>
      <c r="R26" s="42">
        <f>SUM(R17:R25)</f>
        <v>10673.074432000001</v>
      </c>
      <c r="T26" s="41"/>
      <c r="U26" s="41"/>
      <c r="V26" s="42">
        <f>SUM(V17:V25)</f>
        <v>15000</v>
      </c>
      <c r="W26" s="42">
        <f>SUM(W17:W25)</f>
        <v>0</v>
      </c>
      <c r="Y26" s="41"/>
      <c r="Z26" s="41"/>
      <c r="AA26" s="42">
        <f>SUM(AA17:AA25)</f>
        <v>17257</v>
      </c>
      <c r="AB26" s="42">
        <f>SUM(AB17:AB25)</f>
        <v>0</v>
      </c>
      <c r="AC26" s="112"/>
      <c r="AD26" s="41"/>
      <c r="AE26" s="42"/>
      <c r="AF26" s="42">
        <f>SUM(AF17:AF25)</f>
        <v>2871</v>
      </c>
      <c r="AG26" s="42">
        <f>SUM(AG17:AG25)</f>
        <v>0</v>
      </c>
      <c r="AI26" s="96"/>
      <c r="AJ26" s="96"/>
      <c r="AK26" s="64">
        <f>SUM(AK17:AK25)</f>
        <v>53094.266734999997</v>
      </c>
      <c r="AL26" s="64">
        <f>SUM(AL17:AL25)</f>
        <v>14697.561285</v>
      </c>
      <c r="AM26" s="98"/>
    </row>
    <row r="27" spans="1:39"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39" s="5" customFormat="1" ht="15.75" customHeight="1" x14ac:dyDescent="0.2">
      <c r="A28" s="247"/>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94"/>
    </row>
    <row r="29" spans="1:39"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39" x14ac:dyDescent="0.25">
      <c r="A30" s="142">
        <v>1</v>
      </c>
      <c r="B30" s="122" t="s">
        <v>94</v>
      </c>
      <c r="C30" s="243" t="s">
        <v>113</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row>
    <row r="31" spans="1:39" x14ac:dyDescent="0.25">
      <c r="A31" s="141">
        <v>8</v>
      </c>
      <c r="B31" s="6" t="s">
        <v>157</v>
      </c>
      <c r="C31" s="243" t="s">
        <v>158</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row>
    <row r="32" spans="1:39" x14ac:dyDescent="0.25">
      <c r="A32" s="141">
        <v>19</v>
      </c>
      <c r="B32" s="6" t="s">
        <v>95</v>
      </c>
      <c r="C32" s="243" t="s">
        <v>156</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row>
    <row r="33" spans="1:40" ht="30" x14ac:dyDescent="0.25">
      <c r="A33" s="141">
        <v>3</v>
      </c>
      <c r="B33" s="123" t="s">
        <v>98</v>
      </c>
      <c r="C33" s="243" t="s">
        <v>114</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row>
    <row r="34" spans="1:40"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0" s="11" customFormat="1" ht="27" customHeight="1" x14ac:dyDescent="0.25">
      <c r="A35" s="230" t="s">
        <v>2</v>
      </c>
      <c r="B35" s="205" t="s">
        <v>3</v>
      </c>
      <c r="C35" s="241" t="s">
        <v>87</v>
      </c>
      <c r="D35" s="205" t="s">
        <v>67</v>
      </c>
      <c r="E35" s="241" t="s">
        <v>171</v>
      </c>
      <c r="F35" s="227" t="s">
        <v>101</v>
      </c>
      <c r="G35" s="248" t="s">
        <v>90</v>
      </c>
      <c r="H35" s="200" t="s">
        <v>172</v>
      </c>
      <c r="I35" s="10"/>
      <c r="J35" s="200">
        <v>2020</v>
      </c>
      <c r="K35" s="200"/>
      <c r="L35" s="200"/>
      <c r="M35" s="200"/>
      <c r="N35" s="10"/>
      <c r="O35" s="200">
        <v>2021</v>
      </c>
      <c r="P35" s="200"/>
      <c r="Q35" s="200"/>
      <c r="R35" s="200"/>
      <c r="T35" s="200">
        <v>2022</v>
      </c>
      <c r="U35" s="200"/>
      <c r="V35" s="200"/>
      <c r="W35" s="200"/>
      <c r="Y35" s="200">
        <v>2023</v>
      </c>
      <c r="Z35" s="200"/>
      <c r="AA35" s="200"/>
      <c r="AB35" s="200"/>
      <c r="AD35" s="201">
        <v>2024</v>
      </c>
      <c r="AE35" s="202"/>
      <c r="AF35" s="202"/>
      <c r="AG35" s="202"/>
      <c r="AI35" s="244" t="s">
        <v>102</v>
      </c>
      <c r="AJ35" s="244"/>
      <c r="AK35" s="244"/>
      <c r="AL35" s="244"/>
      <c r="AM35" s="98"/>
    </row>
    <row r="36" spans="1:40" s="11" customFormat="1" ht="16.5" customHeight="1" x14ac:dyDescent="0.25">
      <c r="A36" s="231"/>
      <c r="B36" s="206"/>
      <c r="C36" s="228"/>
      <c r="D36" s="206"/>
      <c r="E36" s="228"/>
      <c r="F36" s="228"/>
      <c r="G36" s="248"/>
      <c r="H36" s="200"/>
      <c r="I36" s="10"/>
      <c r="J36" s="199" t="s">
        <v>4</v>
      </c>
      <c r="K36" s="199"/>
      <c r="L36" s="199" t="s">
        <v>61</v>
      </c>
      <c r="M36" s="199"/>
      <c r="N36" s="10"/>
      <c r="O36" s="199" t="s">
        <v>6</v>
      </c>
      <c r="P36" s="199"/>
      <c r="Q36" s="199" t="s">
        <v>8</v>
      </c>
      <c r="R36" s="199"/>
      <c r="S36" s="10"/>
      <c r="T36" s="199" t="s">
        <v>7</v>
      </c>
      <c r="U36" s="199"/>
      <c r="V36" s="199" t="s">
        <v>8</v>
      </c>
      <c r="W36" s="199"/>
      <c r="Y36" s="199" t="s">
        <v>7</v>
      </c>
      <c r="Z36" s="199"/>
      <c r="AA36" s="199" t="s">
        <v>8</v>
      </c>
      <c r="AB36" s="199"/>
      <c r="AD36" s="199" t="s">
        <v>7</v>
      </c>
      <c r="AE36" s="199"/>
      <c r="AF36" s="199" t="s">
        <v>8</v>
      </c>
      <c r="AG36" s="199"/>
      <c r="AI36" s="203" t="s">
        <v>4</v>
      </c>
      <c r="AJ36" s="203" t="s">
        <v>66</v>
      </c>
      <c r="AK36" s="203" t="s">
        <v>8</v>
      </c>
      <c r="AL36" s="203" t="s">
        <v>5</v>
      </c>
      <c r="AM36" s="98"/>
    </row>
    <row r="37" spans="1:40" s="11" customFormat="1" ht="33" x14ac:dyDescent="0.25">
      <c r="A37" s="232"/>
      <c r="B37" s="207"/>
      <c r="C37" s="242"/>
      <c r="D37" s="207"/>
      <c r="E37" s="242"/>
      <c r="F37" s="229"/>
      <c r="G37" s="248"/>
      <c r="H37" s="200"/>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04"/>
      <c r="AJ37" s="204"/>
      <c r="AK37" s="204"/>
      <c r="AL37" s="204"/>
      <c r="AM37" s="98"/>
    </row>
    <row r="38" spans="1:40" ht="75.75" customHeight="1" x14ac:dyDescent="0.25">
      <c r="A38" s="236" t="s">
        <v>115</v>
      </c>
      <c r="B38" s="208" t="s">
        <v>116</v>
      </c>
      <c r="C38" s="208" t="s">
        <v>117</v>
      </c>
      <c r="D38" s="208" t="s">
        <v>152</v>
      </c>
      <c r="E38" s="239" t="str">
        <f>C31</f>
        <v xml:space="preserve">Aumentar el acceso a vivienda digna, espacio público y equipamientos de la población vulnerable en suelo urbano y rural </v>
      </c>
      <c r="F38" s="138" t="s">
        <v>162</v>
      </c>
      <c r="G38" s="138" t="s">
        <v>91</v>
      </c>
      <c r="H38" s="245" t="str">
        <f>C33</f>
        <v>Sistema Distrital de cuidado</v>
      </c>
      <c r="I38" s="14"/>
      <c r="J38" s="127">
        <v>300</v>
      </c>
      <c r="K38" s="127">
        <v>433</v>
      </c>
      <c r="L38" s="158"/>
      <c r="M38" s="128"/>
      <c r="N38" s="129"/>
      <c r="O38" s="144">
        <v>600</v>
      </c>
      <c r="P38" s="144">
        <v>881</v>
      </c>
      <c r="Q38" s="128"/>
      <c r="R38" s="128"/>
      <c r="S38" s="131"/>
      <c r="T38" s="145">
        <v>600</v>
      </c>
      <c r="U38" s="145">
        <v>0</v>
      </c>
      <c r="V38" s="133"/>
      <c r="W38" s="134"/>
      <c r="X38" s="135"/>
      <c r="Y38" s="145">
        <v>600</v>
      </c>
      <c r="Z38" s="145">
        <v>0</v>
      </c>
      <c r="AA38" s="133"/>
      <c r="AB38" s="134"/>
      <c r="AC38" s="135"/>
      <c r="AD38" s="146">
        <v>300</v>
      </c>
      <c r="AE38" s="146">
        <v>0</v>
      </c>
      <c r="AF38" s="133"/>
      <c r="AG38" s="134"/>
      <c r="AH38" s="131"/>
      <c r="AI38" s="146">
        <f t="shared" ref="AI38:AL39" si="15">J38+O38+T38+Y38+AD38</f>
        <v>2400</v>
      </c>
      <c r="AJ38" s="146">
        <f t="shared" si="15"/>
        <v>1314</v>
      </c>
      <c r="AK38" s="137">
        <f t="shared" si="15"/>
        <v>0</v>
      </c>
      <c r="AL38" s="137">
        <f t="shared" si="15"/>
        <v>0</v>
      </c>
      <c r="AM38" s="99"/>
    </row>
    <row r="39" spans="1:40" ht="75.75" customHeight="1" x14ac:dyDescent="0.25">
      <c r="A39" s="237"/>
      <c r="B39" s="215"/>
      <c r="C39" s="215"/>
      <c r="D39" s="215"/>
      <c r="E39" s="240"/>
      <c r="F39" s="13" t="s">
        <v>118</v>
      </c>
      <c r="G39" s="13" t="s">
        <v>91</v>
      </c>
      <c r="H39" s="246"/>
      <c r="I39" s="14"/>
      <c r="J39" s="107">
        <v>300</v>
      </c>
      <c r="K39" s="107">
        <v>433</v>
      </c>
      <c r="L39" s="161">
        <v>2485.9104860000002</v>
      </c>
      <c r="M39" s="29">
        <v>2462.6375039999998</v>
      </c>
      <c r="N39" s="23"/>
      <c r="O39" s="15">
        <v>600</v>
      </c>
      <c r="P39" s="15">
        <v>881</v>
      </c>
      <c r="Q39" s="63">
        <f>3197402200/L1</f>
        <v>3197.4022</v>
      </c>
      <c r="R39" s="29">
        <f>3095236134/L1</f>
        <v>3095.2361340000002</v>
      </c>
      <c r="S39" s="100"/>
      <c r="T39" s="103">
        <v>600</v>
      </c>
      <c r="U39" s="103">
        <v>0</v>
      </c>
      <c r="V39" s="29">
        <v>6486</v>
      </c>
      <c r="W39" s="105"/>
      <c r="X39" s="101"/>
      <c r="Y39" s="103">
        <v>600</v>
      </c>
      <c r="Z39" s="103">
        <v>0</v>
      </c>
      <c r="AA39" s="29">
        <v>2650</v>
      </c>
      <c r="AB39" s="105"/>
      <c r="AC39" s="101"/>
      <c r="AD39" s="90">
        <v>300</v>
      </c>
      <c r="AE39" s="90">
        <v>0</v>
      </c>
      <c r="AF39" s="104">
        <v>1909</v>
      </c>
      <c r="AG39" s="105"/>
      <c r="AH39" s="100"/>
      <c r="AI39" s="90">
        <f t="shared" si="15"/>
        <v>2400</v>
      </c>
      <c r="AJ39" s="90">
        <f t="shared" si="15"/>
        <v>1314</v>
      </c>
      <c r="AK39" s="62">
        <f t="shared" si="15"/>
        <v>16728.312686000001</v>
      </c>
      <c r="AL39" s="62">
        <f t="shared" si="15"/>
        <v>5557.873638</v>
      </c>
      <c r="AM39" s="99"/>
    </row>
    <row r="40" spans="1:40" ht="39.75" customHeight="1" x14ac:dyDescent="0.25">
      <c r="A40" s="237"/>
      <c r="B40" s="215"/>
      <c r="C40" s="215"/>
      <c r="D40" s="215"/>
      <c r="E40" s="240"/>
      <c r="F40" s="13" t="s">
        <v>119</v>
      </c>
      <c r="G40" s="13" t="s">
        <v>120</v>
      </c>
      <c r="H40" s="246"/>
      <c r="I40" s="14"/>
      <c r="J40" s="15">
        <v>1</v>
      </c>
      <c r="K40" s="15">
        <v>1</v>
      </c>
      <c r="L40" s="167">
        <v>1.1481950000000001</v>
      </c>
      <c r="M40" s="168">
        <v>1.1481950000000001</v>
      </c>
      <c r="N40" s="23"/>
      <c r="O40" s="15">
        <v>1</v>
      </c>
      <c r="P40" s="15">
        <v>1</v>
      </c>
      <c r="Q40" s="63">
        <f>725897769/L1</f>
        <v>725.89776900000004</v>
      </c>
      <c r="R40" s="29">
        <f>661412319/L1</f>
        <v>661.41231900000002</v>
      </c>
      <c r="S40" s="100"/>
      <c r="T40" s="103">
        <v>1</v>
      </c>
      <c r="U40" s="103">
        <v>0</v>
      </c>
      <c r="V40" s="29">
        <v>773</v>
      </c>
      <c r="W40" s="106"/>
      <c r="X40" s="101"/>
      <c r="Y40" s="103">
        <v>1</v>
      </c>
      <c r="Z40" s="103">
        <v>0</v>
      </c>
      <c r="AA40" s="104">
        <v>50</v>
      </c>
      <c r="AB40" s="106"/>
      <c r="AC40" s="101"/>
      <c r="AD40" s="90">
        <v>0</v>
      </c>
      <c r="AE40" s="90">
        <v>0</v>
      </c>
      <c r="AF40" s="104">
        <v>0</v>
      </c>
      <c r="AG40" s="106"/>
      <c r="AH40" s="100"/>
      <c r="AI40" s="90">
        <f>J40+O40+T40+Y40+AD40</f>
        <v>4</v>
      </c>
      <c r="AJ40" s="90">
        <f t="shared" ref="AJ40:AJ41" si="16">K40+P40+U40+Z40+AE40</f>
        <v>2</v>
      </c>
      <c r="AK40" s="62">
        <f t="shared" ref="AK40:AK41" si="17">L40+Q40+V40+AA40+AF40</f>
        <v>1550.0459639999999</v>
      </c>
      <c r="AL40" s="62">
        <f t="shared" ref="AL40:AL41" si="18">M40+R40+W40+AB40+AG40</f>
        <v>662.56051400000001</v>
      </c>
    </row>
    <row r="41" spans="1:40" ht="43.5" customHeight="1" x14ac:dyDescent="0.25">
      <c r="A41" s="237"/>
      <c r="B41" s="215"/>
      <c r="C41" s="215"/>
      <c r="D41" s="215"/>
      <c r="E41" s="240"/>
      <c r="F41" s="13" t="s">
        <v>121</v>
      </c>
      <c r="G41" s="13" t="s">
        <v>122</v>
      </c>
      <c r="H41" s="246"/>
      <c r="I41" s="14"/>
      <c r="J41" s="15">
        <v>1</v>
      </c>
      <c r="K41" s="15">
        <v>1</v>
      </c>
      <c r="L41" s="159">
        <v>3933.2635260000002</v>
      </c>
      <c r="M41" s="29">
        <v>3919.824286</v>
      </c>
      <c r="N41" s="23"/>
      <c r="O41" s="19">
        <v>0.35</v>
      </c>
      <c r="P41" s="15">
        <v>0</v>
      </c>
      <c r="Q41" s="63">
        <f>741485031/L1</f>
        <v>741.48503100000005</v>
      </c>
      <c r="R41" s="29">
        <f>725812430/L1</f>
        <v>725.81242999999995</v>
      </c>
      <c r="S41" s="100"/>
      <c r="T41" s="195">
        <v>0.65</v>
      </c>
      <c r="U41" s="103">
        <v>0</v>
      </c>
      <c r="V41" s="104">
        <v>1591</v>
      </c>
      <c r="W41" s="104"/>
      <c r="X41" s="101"/>
      <c r="Y41" s="103">
        <v>0</v>
      </c>
      <c r="Z41" s="103">
        <v>0</v>
      </c>
      <c r="AA41" s="104">
        <v>0</v>
      </c>
      <c r="AB41" s="104"/>
      <c r="AC41" s="101"/>
      <c r="AD41" s="90">
        <v>0</v>
      </c>
      <c r="AE41" s="90">
        <v>0</v>
      </c>
      <c r="AF41" s="104">
        <v>0</v>
      </c>
      <c r="AG41" s="104"/>
      <c r="AH41" s="100"/>
      <c r="AI41" s="90">
        <f>J41+O41+T41+Y41+AD41</f>
        <v>2</v>
      </c>
      <c r="AJ41" s="90">
        <f t="shared" si="16"/>
        <v>1</v>
      </c>
      <c r="AK41" s="62">
        <f t="shared" si="17"/>
        <v>6265.7485569999999</v>
      </c>
      <c r="AL41" s="62">
        <f t="shared" si="18"/>
        <v>4645.636716</v>
      </c>
      <c r="AM41" s="99"/>
    </row>
    <row r="42" spans="1:40" s="6" customFormat="1" ht="15.75" x14ac:dyDescent="0.25">
      <c r="A42" s="17"/>
      <c r="B42" s="118" t="s">
        <v>103</v>
      </c>
      <c r="C42" s="118"/>
      <c r="D42" s="118"/>
      <c r="E42" s="118"/>
      <c r="F42" s="39"/>
      <c r="G42" s="39"/>
      <c r="H42" s="39"/>
      <c r="I42" s="40"/>
      <c r="J42" s="41"/>
      <c r="K42" s="41"/>
      <c r="L42" s="160">
        <f>SUM(L38:L41)</f>
        <v>6420.3222070000011</v>
      </c>
      <c r="M42" s="42">
        <f>SUM(M38:M41)</f>
        <v>6383.6099850000001</v>
      </c>
      <c r="N42" s="51"/>
      <c r="O42" s="41"/>
      <c r="P42" s="41"/>
      <c r="Q42" s="42">
        <f>SUM(Q38:Q41)</f>
        <v>4664.7849999999999</v>
      </c>
      <c r="R42" s="42">
        <f>SUM(R38:R41)</f>
        <v>4482.4608829999997</v>
      </c>
      <c r="T42" s="41"/>
      <c r="U42" s="41"/>
      <c r="V42" s="42">
        <f>SUM(V38:V41)</f>
        <v>8850</v>
      </c>
      <c r="W42" s="42">
        <f>SUM(W38:W41)</f>
        <v>0</v>
      </c>
      <c r="Y42" s="41"/>
      <c r="Z42" s="41"/>
      <c r="AA42" s="42">
        <f>SUM(AA38:AA41)</f>
        <v>2700</v>
      </c>
      <c r="AB42" s="42">
        <f>SUM(AB38:AB41)</f>
        <v>0</v>
      </c>
      <c r="AC42" s="112"/>
      <c r="AD42" s="41"/>
      <c r="AE42" s="42"/>
      <c r="AF42" s="42">
        <f>SUM(AF38:AF41)</f>
        <v>1909</v>
      </c>
      <c r="AG42" s="42">
        <f>SUM(AG38:AG41)</f>
        <v>0</v>
      </c>
      <c r="AI42" s="96"/>
      <c r="AJ42" s="96"/>
      <c r="AK42" s="64">
        <f>SUM(AK38:AK41)</f>
        <v>24544.107207000001</v>
      </c>
      <c r="AL42" s="64">
        <f>SUM(AL38:AL41)</f>
        <v>10866.070867999999</v>
      </c>
      <c r="AM42" s="98"/>
    </row>
    <row r="43" spans="1:40" x14ac:dyDescent="0.25">
      <c r="AN43" s="89"/>
    </row>
    <row r="44" spans="1:40" s="5" customFormat="1" ht="15.75" customHeight="1" x14ac:dyDescent="0.2">
      <c r="A44" s="247"/>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94"/>
    </row>
    <row r="45" spans="1:40"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0" x14ac:dyDescent="0.25">
      <c r="A46" s="142">
        <v>2</v>
      </c>
      <c r="B46" s="122" t="s">
        <v>94</v>
      </c>
      <c r="C46" s="243" t="s">
        <v>163</v>
      </c>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row>
    <row r="47" spans="1:40" ht="15.75" x14ac:dyDescent="0.25">
      <c r="A47" s="141">
        <v>15</v>
      </c>
      <c r="B47" s="6" t="s">
        <v>157</v>
      </c>
      <c r="C47" s="249" t="s">
        <v>164</v>
      </c>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row>
    <row r="48" spans="1:40" x14ac:dyDescent="0.25">
      <c r="A48" s="141">
        <v>29</v>
      </c>
      <c r="B48" s="6" t="s">
        <v>95</v>
      </c>
      <c r="C48" s="243" t="s">
        <v>165</v>
      </c>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row>
    <row r="49" spans="1:41" ht="30" x14ac:dyDescent="0.25">
      <c r="A49" s="141">
        <v>3</v>
      </c>
      <c r="B49" s="123" t="s">
        <v>98</v>
      </c>
      <c r="C49" s="243" t="s">
        <v>114</v>
      </c>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row>
    <row r="51" spans="1:41" s="11" customFormat="1" ht="27" customHeight="1" x14ac:dyDescent="0.25">
      <c r="A51" s="230" t="s">
        <v>2</v>
      </c>
      <c r="B51" s="205" t="s">
        <v>3</v>
      </c>
      <c r="C51" s="241" t="s">
        <v>87</v>
      </c>
      <c r="D51" s="205" t="s">
        <v>67</v>
      </c>
      <c r="E51" s="241" t="s">
        <v>171</v>
      </c>
      <c r="F51" s="227" t="s">
        <v>101</v>
      </c>
      <c r="G51" s="248" t="s">
        <v>90</v>
      </c>
      <c r="H51" s="200" t="s">
        <v>172</v>
      </c>
      <c r="I51" s="10"/>
      <c r="J51" s="200">
        <v>2020</v>
      </c>
      <c r="K51" s="200"/>
      <c r="L51" s="200"/>
      <c r="M51" s="200"/>
      <c r="N51" s="10"/>
      <c r="O51" s="200">
        <v>2021</v>
      </c>
      <c r="P51" s="200"/>
      <c r="Q51" s="200"/>
      <c r="R51" s="200"/>
      <c r="T51" s="200">
        <v>2022</v>
      </c>
      <c r="U51" s="200"/>
      <c r="V51" s="200"/>
      <c r="W51" s="200"/>
      <c r="Y51" s="200">
        <v>2023</v>
      </c>
      <c r="Z51" s="200"/>
      <c r="AA51" s="200"/>
      <c r="AB51" s="200"/>
      <c r="AD51" s="201">
        <v>2024</v>
      </c>
      <c r="AE51" s="202"/>
      <c r="AF51" s="202"/>
      <c r="AG51" s="202"/>
      <c r="AI51" s="244" t="s">
        <v>102</v>
      </c>
      <c r="AJ51" s="244"/>
      <c r="AK51" s="244"/>
      <c r="AL51" s="244"/>
      <c r="AM51" s="98"/>
    </row>
    <row r="52" spans="1:41" s="11" customFormat="1" ht="16.5" customHeight="1" x14ac:dyDescent="0.25">
      <c r="A52" s="231"/>
      <c r="B52" s="206"/>
      <c r="C52" s="228"/>
      <c r="D52" s="206"/>
      <c r="E52" s="228"/>
      <c r="F52" s="228"/>
      <c r="G52" s="248"/>
      <c r="H52" s="200"/>
      <c r="I52" s="10"/>
      <c r="J52" s="199" t="s">
        <v>4</v>
      </c>
      <c r="K52" s="199"/>
      <c r="L52" s="199" t="s">
        <v>61</v>
      </c>
      <c r="M52" s="199"/>
      <c r="N52" s="10"/>
      <c r="O52" s="199" t="s">
        <v>6</v>
      </c>
      <c r="P52" s="199"/>
      <c r="Q52" s="199" t="s">
        <v>8</v>
      </c>
      <c r="R52" s="199"/>
      <c r="S52" s="10"/>
      <c r="T52" s="199" t="s">
        <v>7</v>
      </c>
      <c r="U52" s="199"/>
      <c r="V52" s="199" t="s">
        <v>8</v>
      </c>
      <c r="W52" s="199"/>
      <c r="Y52" s="199" t="s">
        <v>7</v>
      </c>
      <c r="Z52" s="199"/>
      <c r="AA52" s="199" t="s">
        <v>8</v>
      </c>
      <c r="AB52" s="199"/>
      <c r="AD52" s="199" t="s">
        <v>7</v>
      </c>
      <c r="AE52" s="199"/>
      <c r="AF52" s="199" t="s">
        <v>8</v>
      </c>
      <c r="AG52" s="199"/>
      <c r="AI52" s="203" t="s">
        <v>4</v>
      </c>
      <c r="AJ52" s="203" t="s">
        <v>66</v>
      </c>
      <c r="AK52" s="203" t="s">
        <v>8</v>
      </c>
      <c r="AL52" s="203" t="s">
        <v>5</v>
      </c>
      <c r="AM52" s="98"/>
    </row>
    <row r="53" spans="1:41" s="11" customFormat="1" ht="33" x14ac:dyDescent="0.25">
      <c r="A53" s="232"/>
      <c r="B53" s="207"/>
      <c r="C53" s="242"/>
      <c r="D53" s="207"/>
      <c r="E53" s="242"/>
      <c r="F53" s="229"/>
      <c r="G53" s="248"/>
      <c r="H53" s="200"/>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04"/>
      <c r="AJ53" s="204"/>
      <c r="AK53" s="204"/>
      <c r="AL53" s="204"/>
      <c r="AM53" s="98"/>
    </row>
    <row r="54" spans="1:41" ht="75.75" customHeight="1" x14ac:dyDescent="0.25">
      <c r="A54" s="236" t="s">
        <v>123</v>
      </c>
      <c r="B54" s="208" t="s">
        <v>125</v>
      </c>
      <c r="C54" s="208" t="s">
        <v>124</v>
      </c>
      <c r="D54" s="208" t="s">
        <v>153</v>
      </c>
      <c r="E54" s="208" t="str">
        <f>C47</f>
        <v xml:space="preserve">Intervenir integralmente áreas estratégicas de Bogotá teniendo en cuenta las dinámicas patrimoniales, ambientales, sociales y culturales  
</v>
      </c>
      <c r="F54" s="138" t="s">
        <v>126</v>
      </c>
      <c r="G54" s="138" t="s">
        <v>127</v>
      </c>
      <c r="H54" s="245" t="str">
        <f>C49</f>
        <v>Sistema Distrital de cuidado</v>
      </c>
      <c r="I54" s="14"/>
      <c r="J54" s="127">
        <v>174</v>
      </c>
      <c r="K54" s="127">
        <v>410</v>
      </c>
      <c r="L54" s="158"/>
      <c r="M54" s="128"/>
      <c r="N54" s="129"/>
      <c r="O54" s="146">
        <v>431</v>
      </c>
      <c r="P54" s="144">
        <v>479</v>
      </c>
      <c r="Q54" s="128"/>
      <c r="R54" s="128"/>
      <c r="S54" s="131"/>
      <c r="T54" s="145">
        <v>764</v>
      </c>
      <c r="U54" s="145">
        <v>0</v>
      </c>
      <c r="V54" s="133"/>
      <c r="W54" s="134"/>
      <c r="X54" s="135"/>
      <c r="Y54" s="145">
        <v>446</v>
      </c>
      <c r="Z54" s="145">
        <v>0</v>
      </c>
      <c r="AA54" s="133"/>
      <c r="AB54" s="134"/>
      <c r="AC54" s="135"/>
      <c r="AD54" s="146">
        <v>335</v>
      </c>
      <c r="AE54" s="146">
        <v>0</v>
      </c>
      <c r="AF54" s="133"/>
      <c r="AG54" s="134"/>
      <c r="AH54" s="131"/>
      <c r="AI54" s="146">
        <f>J54+O54+T54+Y54+AD54</f>
        <v>2150</v>
      </c>
      <c r="AJ54" s="146">
        <f>K54+P54+U54+Z54+AE54</f>
        <v>889</v>
      </c>
      <c r="AK54" s="137">
        <f>L54+Q54+V54+AA54+AF54</f>
        <v>0</v>
      </c>
      <c r="AL54" s="137">
        <f>M54+R54+W54+AB54+AG54</f>
        <v>0</v>
      </c>
      <c r="AM54" s="99"/>
    </row>
    <row r="55" spans="1:41" ht="71.25" customHeight="1" x14ac:dyDescent="0.25">
      <c r="A55" s="237"/>
      <c r="B55" s="215"/>
      <c r="C55" s="215"/>
      <c r="D55" s="215"/>
      <c r="E55" s="215"/>
      <c r="F55" s="13" t="s">
        <v>128</v>
      </c>
      <c r="G55" s="13" t="s">
        <v>129</v>
      </c>
      <c r="H55" s="246"/>
      <c r="I55" s="14"/>
      <c r="J55" s="15">
        <v>54</v>
      </c>
      <c r="K55" s="90">
        <v>55</v>
      </c>
      <c r="L55" s="159">
        <v>5071.6473960000003</v>
      </c>
      <c r="M55" s="29">
        <v>4319.8978859999997</v>
      </c>
      <c r="N55" s="23"/>
      <c r="O55" s="15">
        <v>230</v>
      </c>
      <c r="P55" s="15">
        <v>199</v>
      </c>
      <c r="Q55" s="63">
        <f>10132464800/L1</f>
        <v>10132.4648</v>
      </c>
      <c r="R55" s="29">
        <f>9756933286/L1</f>
        <v>9756.9332859999995</v>
      </c>
      <c r="S55" s="100"/>
      <c r="T55" s="103">
        <v>640</v>
      </c>
      <c r="U55" s="113">
        <v>0</v>
      </c>
      <c r="V55" s="104">
        <v>18058</v>
      </c>
      <c r="W55" s="105"/>
      <c r="X55" s="101"/>
      <c r="Y55" s="103">
        <v>212</v>
      </c>
      <c r="Z55" s="113">
        <v>0</v>
      </c>
      <c r="AA55" s="104">
        <v>20553</v>
      </c>
      <c r="AB55" s="105"/>
      <c r="AC55" s="101"/>
      <c r="AD55" s="90">
        <v>87</v>
      </c>
      <c r="AE55" s="90">
        <v>0</v>
      </c>
      <c r="AF55" s="104">
        <f>7214699949/L1</f>
        <v>7214.6999489999998</v>
      </c>
      <c r="AG55" s="105"/>
      <c r="AH55" s="100"/>
      <c r="AI55" s="90">
        <f>J55+O55+T55+Y55+AD55</f>
        <v>1223</v>
      </c>
      <c r="AJ55" s="90">
        <f t="shared" ref="AJ55:AJ58" si="19">K55+P55+U55+Z55+AE55</f>
        <v>254</v>
      </c>
      <c r="AK55" s="62">
        <f t="shared" ref="AK55:AK59" si="20">L55+Q55+V55+AA55+AF55</f>
        <v>61029.812145000004</v>
      </c>
      <c r="AL55" s="62">
        <f t="shared" ref="AL55:AL59" si="21">M55+R55+W55+AB55+AG55</f>
        <v>14076.831171999998</v>
      </c>
      <c r="AM55" s="99"/>
    </row>
    <row r="56" spans="1:41" ht="66.75" customHeight="1" x14ac:dyDescent="0.25">
      <c r="A56" s="237"/>
      <c r="B56" s="215"/>
      <c r="C56" s="215"/>
      <c r="D56" s="215"/>
      <c r="E56" s="215"/>
      <c r="F56" s="13" t="s">
        <v>130</v>
      </c>
      <c r="G56" s="13" t="s">
        <v>131</v>
      </c>
      <c r="H56" s="246"/>
      <c r="I56" s="14"/>
      <c r="J56" s="15">
        <v>28</v>
      </c>
      <c r="K56" s="15">
        <v>27</v>
      </c>
      <c r="L56" s="159">
        <v>2969.3287610000002</v>
      </c>
      <c r="M56" s="29">
        <v>2928.9973829999999</v>
      </c>
      <c r="N56" s="23"/>
      <c r="O56" s="90">
        <v>36</v>
      </c>
      <c r="P56" s="90">
        <v>33</v>
      </c>
      <c r="Q56" s="63">
        <f>2593276473/L1</f>
        <v>2593.2764729999999</v>
      </c>
      <c r="R56" s="29">
        <f>2172319707/L1</f>
        <v>2172.3197070000001</v>
      </c>
      <c r="S56" s="100"/>
      <c r="T56" s="103">
        <v>30</v>
      </c>
      <c r="U56" s="103">
        <v>0</v>
      </c>
      <c r="V56" s="104">
        <v>1768</v>
      </c>
      <c r="W56" s="106"/>
      <c r="X56" s="101"/>
      <c r="Y56" s="103">
        <v>15</v>
      </c>
      <c r="Z56" s="103">
        <v>0</v>
      </c>
      <c r="AA56" s="104">
        <v>917</v>
      </c>
      <c r="AB56" s="106"/>
      <c r="AC56" s="101"/>
      <c r="AD56" s="90">
        <v>7</v>
      </c>
      <c r="AE56" s="90">
        <v>0</v>
      </c>
      <c r="AF56" s="104">
        <f>929630034/L1</f>
        <v>929.63003400000002</v>
      </c>
      <c r="AG56" s="106"/>
      <c r="AH56" s="100"/>
      <c r="AI56" s="90">
        <f>J56+O56+T56+Y56+AD56</f>
        <v>116</v>
      </c>
      <c r="AJ56" s="90">
        <f t="shared" si="19"/>
        <v>60</v>
      </c>
      <c r="AK56" s="62">
        <f t="shared" si="20"/>
        <v>9177.2352680000004</v>
      </c>
      <c r="AL56" s="62">
        <f t="shared" si="21"/>
        <v>5101.3170900000005</v>
      </c>
    </row>
    <row r="57" spans="1:41" ht="43.5" customHeight="1" x14ac:dyDescent="0.25">
      <c r="A57" s="237"/>
      <c r="B57" s="215"/>
      <c r="C57" s="215"/>
      <c r="D57" s="215"/>
      <c r="E57" s="215"/>
      <c r="F57" s="13" t="s">
        <v>178</v>
      </c>
      <c r="G57" s="13" t="s">
        <v>132</v>
      </c>
      <c r="H57" s="246"/>
      <c r="I57" s="14"/>
      <c r="J57" s="15">
        <v>1497</v>
      </c>
      <c r="K57" s="15">
        <v>1484</v>
      </c>
      <c r="L57" s="159">
        <v>3667.6184499999999</v>
      </c>
      <c r="M57" s="29">
        <v>3203.0383700000002</v>
      </c>
      <c r="N57" s="23"/>
      <c r="O57" s="90">
        <v>1598</v>
      </c>
      <c r="P57" s="15">
        <v>1578</v>
      </c>
      <c r="Q57" s="29">
        <f>5904783901/L1</f>
        <v>5904.7839009999998</v>
      </c>
      <c r="R57" s="63">
        <f>5660253759/L1</f>
        <v>5660.2537590000002</v>
      </c>
      <c r="S57" s="100"/>
      <c r="T57" s="103">
        <v>1824</v>
      </c>
      <c r="U57" s="103">
        <v>0</v>
      </c>
      <c r="V57" s="104">
        <v>5389</v>
      </c>
      <c r="W57" s="104"/>
      <c r="X57" s="101"/>
      <c r="Y57" s="103">
        <v>1840</v>
      </c>
      <c r="Z57" s="103">
        <v>0</v>
      </c>
      <c r="AA57" s="104">
        <v>5532</v>
      </c>
      <c r="AB57" s="104"/>
      <c r="AC57" s="101"/>
      <c r="AD57" s="90">
        <v>1850</v>
      </c>
      <c r="AE57" s="90">
        <v>0</v>
      </c>
      <c r="AF57" s="104">
        <f>3335936543/L1</f>
        <v>3335.9365429999998</v>
      </c>
      <c r="AG57" s="104"/>
      <c r="AH57" s="100"/>
      <c r="AI57" s="90">
        <f>AD57</f>
        <v>1850</v>
      </c>
      <c r="AJ57" s="90">
        <f>+P57</f>
        <v>1578</v>
      </c>
      <c r="AK57" s="62">
        <f t="shared" si="20"/>
        <v>23829.338894</v>
      </c>
      <c r="AL57" s="62">
        <f t="shared" si="21"/>
        <v>8863.2921290000013</v>
      </c>
      <c r="AM57" s="99"/>
    </row>
    <row r="58" spans="1:41" ht="43.5" customHeight="1" x14ac:dyDescent="0.25">
      <c r="A58" s="152"/>
      <c r="B58" s="215"/>
      <c r="C58" s="215"/>
      <c r="D58" s="215"/>
      <c r="E58" s="215"/>
      <c r="F58" s="13" t="s">
        <v>179</v>
      </c>
      <c r="G58" s="13" t="s">
        <v>132</v>
      </c>
      <c r="H58" s="191"/>
      <c r="I58" s="14"/>
      <c r="J58" s="15">
        <v>0</v>
      </c>
      <c r="K58" s="15">
        <v>0</v>
      </c>
      <c r="L58" s="159"/>
      <c r="M58" s="29"/>
      <c r="N58" s="23"/>
      <c r="O58" s="90">
        <v>383</v>
      </c>
      <c r="P58" s="90">
        <v>385</v>
      </c>
      <c r="Q58" s="63">
        <f>454549201/L1</f>
        <v>454.54920099999998</v>
      </c>
      <c r="R58" s="29">
        <f>181477545/L1</f>
        <v>181.47754499999999</v>
      </c>
      <c r="S58" s="100"/>
      <c r="T58" s="103">
        <v>620</v>
      </c>
      <c r="U58" s="103">
        <v>0</v>
      </c>
      <c r="V58" s="104">
        <v>550</v>
      </c>
      <c r="W58" s="104"/>
      <c r="X58" s="101"/>
      <c r="Y58" s="103">
        <v>361</v>
      </c>
      <c r="Z58" s="103">
        <v>0</v>
      </c>
      <c r="AA58" s="104">
        <v>550</v>
      </c>
      <c r="AB58" s="104"/>
      <c r="AC58" s="101"/>
      <c r="AD58" s="90">
        <v>10</v>
      </c>
      <c r="AE58" s="90">
        <v>0</v>
      </c>
      <c r="AF58" s="104">
        <f>534838196/L1</f>
        <v>534.83819600000004</v>
      </c>
      <c r="AG58" s="104"/>
      <c r="AH58" s="100"/>
      <c r="AI58" s="90">
        <f t="shared" ref="AI58" si="22">J58+O58+T58+Y58+AD58</f>
        <v>1374</v>
      </c>
      <c r="AJ58" s="90">
        <f t="shared" si="19"/>
        <v>385</v>
      </c>
      <c r="AK58" s="62">
        <f t="shared" si="20"/>
        <v>2089.387397</v>
      </c>
      <c r="AL58" s="62">
        <f t="shared" si="21"/>
        <v>181.47754499999999</v>
      </c>
      <c r="AM58" s="99"/>
    </row>
    <row r="59" spans="1:41" ht="109.5" customHeight="1" x14ac:dyDescent="0.25">
      <c r="A59" s="152"/>
      <c r="B59" s="209"/>
      <c r="C59" s="209"/>
      <c r="D59" s="209"/>
      <c r="E59" s="209"/>
      <c r="F59" s="13" t="s">
        <v>177</v>
      </c>
      <c r="G59" s="13" t="s">
        <v>132</v>
      </c>
      <c r="H59" s="191"/>
      <c r="I59" s="14"/>
      <c r="J59" s="15">
        <v>0</v>
      </c>
      <c r="K59" s="15">
        <v>0</v>
      </c>
      <c r="L59" s="159"/>
      <c r="M59" s="29"/>
      <c r="N59" s="23"/>
      <c r="O59" s="26">
        <v>1</v>
      </c>
      <c r="P59" s="192">
        <v>1</v>
      </c>
      <c r="Q59" s="63">
        <f>4579020625/L1</f>
        <v>4579.0206250000001</v>
      </c>
      <c r="R59" s="29">
        <f>4016589449/L1</f>
        <v>4016.5894490000001</v>
      </c>
      <c r="S59" s="100"/>
      <c r="T59" s="26">
        <v>1</v>
      </c>
      <c r="U59" s="103">
        <v>0</v>
      </c>
      <c r="V59" s="104">
        <v>7605</v>
      </c>
      <c r="W59" s="104"/>
      <c r="X59" s="101"/>
      <c r="Y59" s="26">
        <v>1</v>
      </c>
      <c r="Z59" s="103">
        <v>0</v>
      </c>
      <c r="AA59" s="104">
        <v>8486</v>
      </c>
      <c r="AB59" s="104"/>
      <c r="AC59" s="101"/>
      <c r="AD59" s="26">
        <v>1</v>
      </c>
      <c r="AE59" s="90"/>
      <c r="AF59" s="104">
        <f>2345866639/L1</f>
        <v>2345.8666389999999</v>
      </c>
      <c r="AG59" s="104"/>
      <c r="AH59" s="100"/>
      <c r="AI59" s="111">
        <f>AD59</f>
        <v>1</v>
      </c>
      <c r="AJ59" s="192">
        <f>(P59+U59+Z59+AE59)/4</f>
        <v>0.25</v>
      </c>
      <c r="AK59" s="62">
        <f t="shared" si="20"/>
        <v>23015.887264000001</v>
      </c>
      <c r="AL59" s="62">
        <f t="shared" si="21"/>
        <v>4016.5894490000001</v>
      </c>
      <c r="AM59" s="99"/>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21787.573746000002</v>
      </c>
      <c r="T60" s="41"/>
      <c r="U60" s="41"/>
      <c r="V60" s="160">
        <f>SUM(V54:V59)</f>
        <v>33370</v>
      </c>
      <c r="W60" s="42">
        <f>SUM(W54:W57)</f>
        <v>0</v>
      </c>
      <c r="Y60" s="41"/>
      <c r="Z60" s="41"/>
      <c r="AA60" s="160">
        <f>SUM(AA54:AA59)</f>
        <v>36038</v>
      </c>
      <c r="AB60" s="42">
        <f>SUM(AB54:AB57)</f>
        <v>0</v>
      </c>
      <c r="AC60" s="112"/>
      <c r="AD60" s="41"/>
      <c r="AE60" s="42"/>
      <c r="AF60" s="160">
        <f>SUM(AF54:AF59)</f>
        <v>14360.971361</v>
      </c>
      <c r="AG60" s="42">
        <f>SUM(AG54:AG57)</f>
        <v>0</v>
      </c>
      <c r="AI60" s="96"/>
      <c r="AJ60" s="96"/>
      <c r="AK60" s="160">
        <f>SUM(AK54:AK59)</f>
        <v>119141.66096800001</v>
      </c>
      <c r="AL60" s="160">
        <f>SUM(AL54:AL59)</f>
        <v>32239.507385000001</v>
      </c>
      <c r="AM60" s="98"/>
      <c r="AO60" s="196"/>
    </row>
    <row r="61" spans="1:41" x14ac:dyDescent="0.25">
      <c r="AO61" s="197"/>
    </row>
    <row r="62" spans="1:41" s="5" customFormat="1" ht="15.75" customHeight="1" x14ac:dyDescent="0.2">
      <c r="A62" s="247"/>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43" t="s">
        <v>113</v>
      </c>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row>
    <row r="65" spans="1:39" x14ac:dyDescent="0.25">
      <c r="A65" s="141">
        <v>8</v>
      </c>
      <c r="B65" s="6" t="s">
        <v>157</v>
      </c>
      <c r="C65" s="243" t="s">
        <v>158</v>
      </c>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row>
    <row r="66" spans="1:39" x14ac:dyDescent="0.25">
      <c r="A66" s="141">
        <v>19</v>
      </c>
      <c r="B66" s="6" t="s">
        <v>95</v>
      </c>
      <c r="C66" s="243" t="s">
        <v>156</v>
      </c>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row>
    <row r="67" spans="1:39" ht="30" x14ac:dyDescent="0.25">
      <c r="A67" s="141">
        <v>3</v>
      </c>
      <c r="B67" s="123" t="s">
        <v>98</v>
      </c>
      <c r="C67" s="243" t="s">
        <v>114</v>
      </c>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row>
    <row r="69" spans="1:39" s="11" customFormat="1" ht="27" customHeight="1" x14ac:dyDescent="0.25">
      <c r="A69" s="230" t="s">
        <v>2</v>
      </c>
      <c r="B69" s="205" t="s">
        <v>3</v>
      </c>
      <c r="C69" s="241" t="s">
        <v>87</v>
      </c>
      <c r="D69" s="205" t="s">
        <v>67</v>
      </c>
      <c r="E69" s="241" t="s">
        <v>171</v>
      </c>
      <c r="F69" s="227" t="s">
        <v>101</v>
      </c>
      <c r="G69" s="248" t="s">
        <v>90</v>
      </c>
      <c r="H69" s="200" t="s">
        <v>172</v>
      </c>
      <c r="I69" s="10"/>
      <c r="J69" s="200">
        <v>2020</v>
      </c>
      <c r="K69" s="200"/>
      <c r="L69" s="200"/>
      <c r="M69" s="200"/>
      <c r="N69" s="10"/>
      <c r="O69" s="200">
        <v>2021</v>
      </c>
      <c r="P69" s="200"/>
      <c r="Q69" s="200"/>
      <c r="R69" s="200"/>
      <c r="T69" s="200">
        <v>2022</v>
      </c>
      <c r="U69" s="200"/>
      <c r="V69" s="200"/>
      <c r="W69" s="200"/>
      <c r="Y69" s="200">
        <v>2023</v>
      </c>
      <c r="Z69" s="200"/>
      <c r="AA69" s="200"/>
      <c r="AB69" s="200"/>
      <c r="AD69" s="201">
        <v>2024</v>
      </c>
      <c r="AE69" s="202"/>
      <c r="AF69" s="202"/>
      <c r="AG69" s="202"/>
      <c r="AI69" s="244" t="s">
        <v>102</v>
      </c>
      <c r="AJ69" s="244"/>
      <c r="AK69" s="244"/>
      <c r="AL69" s="244"/>
      <c r="AM69" s="98"/>
    </row>
    <row r="70" spans="1:39" s="11" customFormat="1" ht="16.5" customHeight="1" x14ac:dyDescent="0.25">
      <c r="A70" s="231"/>
      <c r="B70" s="206"/>
      <c r="C70" s="228"/>
      <c r="D70" s="206"/>
      <c r="E70" s="228"/>
      <c r="F70" s="228"/>
      <c r="G70" s="248"/>
      <c r="H70" s="200"/>
      <c r="I70" s="10"/>
      <c r="J70" s="199" t="s">
        <v>4</v>
      </c>
      <c r="K70" s="199"/>
      <c r="L70" s="199" t="s">
        <v>61</v>
      </c>
      <c r="M70" s="199"/>
      <c r="N70" s="10"/>
      <c r="O70" s="199" t="s">
        <v>6</v>
      </c>
      <c r="P70" s="199"/>
      <c r="Q70" s="199" t="s">
        <v>8</v>
      </c>
      <c r="R70" s="199"/>
      <c r="S70" s="10"/>
      <c r="T70" s="199" t="s">
        <v>7</v>
      </c>
      <c r="U70" s="199"/>
      <c r="V70" s="199" t="s">
        <v>8</v>
      </c>
      <c r="W70" s="199"/>
      <c r="Y70" s="199" t="s">
        <v>7</v>
      </c>
      <c r="Z70" s="199"/>
      <c r="AA70" s="199" t="s">
        <v>8</v>
      </c>
      <c r="AB70" s="199"/>
      <c r="AD70" s="199" t="s">
        <v>7</v>
      </c>
      <c r="AE70" s="199"/>
      <c r="AF70" s="199" t="s">
        <v>8</v>
      </c>
      <c r="AG70" s="199"/>
      <c r="AI70" s="203" t="s">
        <v>4</v>
      </c>
      <c r="AJ70" s="203" t="s">
        <v>66</v>
      </c>
      <c r="AK70" s="203" t="s">
        <v>8</v>
      </c>
      <c r="AL70" s="203" t="s">
        <v>5</v>
      </c>
      <c r="AM70" s="98"/>
    </row>
    <row r="71" spans="1:39" s="11" customFormat="1" ht="33" x14ac:dyDescent="0.25">
      <c r="A71" s="232"/>
      <c r="B71" s="207"/>
      <c r="C71" s="242"/>
      <c r="D71" s="207"/>
      <c r="E71" s="242"/>
      <c r="F71" s="229"/>
      <c r="G71" s="248"/>
      <c r="H71" s="200"/>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04"/>
      <c r="AJ71" s="204"/>
      <c r="AK71" s="204"/>
      <c r="AL71" s="204"/>
      <c r="AM71" s="98"/>
    </row>
    <row r="72" spans="1:39" ht="75.75" customHeight="1" x14ac:dyDescent="0.25">
      <c r="A72" s="236" t="s">
        <v>133</v>
      </c>
      <c r="B72" s="208" t="s">
        <v>134</v>
      </c>
      <c r="C72" s="208" t="s">
        <v>88</v>
      </c>
      <c r="D72" s="208" t="s">
        <v>154</v>
      </c>
      <c r="E72" s="239" t="str">
        <f>C65</f>
        <v xml:space="preserve">Aumentar el acceso a vivienda digna, espacio público y equipamientos de la población vulnerable en suelo urbano y rural </v>
      </c>
      <c r="F72" s="138" t="s">
        <v>168</v>
      </c>
      <c r="G72" s="138" t="s">
        <v>176</v>
      </c>
      <c r="H72" s="245" t="str">
        <f>C67</f>
        <v>Sistema Distrital de cuidado</v>
      </c>
      <c r="I72" s="14"/>
      <c r="J72" s="148">
        <v>17305.599999999999</v>
      </c>
      <c r="K72" s="127">
        <v>17000</v>
      </c>
      <c r="L72" s="158"/>
      <c r="M72" s="128"/>
      <c r="N72" s="129"/>
      <c r="O72" s="198">
        <v>19000</v>
      </c>
      <c r="P72" s="177">
        <v>2026.9</v>
      </c>
      <c r="Q72" s="128"/>
      <c r="R72" s="128"/>
      <c r="S72" s="131"/>
      <c r="T72" s="144">
        <v>36250</v>
      </c>
      <c r="U72" s="145">
        <v>0</v>
      </c>
      <c r="V72" s="133"/>
      <c r="W72" s="134"/>
      <c r="X72" s="135"/>
      <c r="Y72" s="144">
        <v>30000</v>
      </c>
      <c r="Z72" s="145">
        <v>0</v>
      </c>
      <c r="AA72" s="133"/>
      <c r="AB72" s="134"/>
      <c r="AC72" s="135"/>
      <c r="AD72" s="146">
        <v>4444</v>
      </c>
      <c r="AE72" s="146">
        <v>0</v>
      </c>
      <c r="AF72" s="133"/>
      <c r="AG72" s="134"/>
      <c r="AH72" s="131"/>
      <c r="AI72" s="146">
        <f>J72+O72+T72+Y72+AD72</f>
        <v>106999.6</v>
      </c>
      <c r="AJ72" s="146">
        <f>K72+P72+U72+Z72+AE72</f>
        <v>19026.900000000001</v>
      </c>
      <c r="AK72" s="137">
        <f>L72+Q72+V72+AA72+AF72</f>
        <v>0</v>
      </c>
      <c r="AL72" s="137">
        <f>M72+R72+W72+AB72+AG72</f>
        <v>0</v>
      </c>
      <c r="AM72" s="99"/>
    </row>
    <row r="73" spans="1:39" ht="43.5" customHeight="1" x14ac:dyDescent="0.25">
      <c r="A73" s="237"/>
      <c r="B73" s="215"/>
      <c r="C73" s="215"/>
      <c r="D73" s="215"/>
      <c r="E73" s="240"/>
      <c r="F73" s="13" t="s">
        <v>175</v>
      </c>
      <c r="G73" s="13" t="s">
        <v>135</v>
      </c>
      <c r="H73" s="246"/>
      <c r="I73" s="14"/>
      <c r="J73" s="147">
        <v>17305.599999999999</v>
      </c>
      <c r="K73" s="107">
        <v>17000</v>
      </c>
      <c r="L73" s="161">
        <f>3602795429/L1</f>
        <v>3602.7954289999998</v>
      </c>
      <c r="M73" s="29">
        <v>3501.5279959999998</v>
      </c>
      <c r="N73" s="23"/>
      <c r="O73" s="254">
        <v>15000</v>
      </c>
      <c r="P73" s="176">
        <v>2026.9</v>
      </c>
      <c r="Q73" s="63">
        <f>61487390000/L1</f>
        <v>61487.39</v>
      </c>
      <c r="R73" s="29">
        <f>54234176623/L1</f>
        <v>54234.176622999999</v>
      </c>
      <c r="S73" s="100"/>
      <c r="T73" s="90">
        <v>40250</v>
      </c>
      <c r="U73" s="103">
        <v>0</v>
      </c>
      <c r="V73" s="104">
        <f>18764039550/L1</f>
        <v>18764.039550000001</v>
      </c>
      <c r="W73" s="105"/>
      <c r="X73" s="101"/>
      <c r="Y73" s="15">
        <v>30000</v>
      </c>
      <c r="Z73" s="103">
        <v>0</v>
      </c>
      <c r="AA73" s="104">
        <f>11175354970/L1</f>
        <v>11175.35497</v>
      </c>
      <c r="AB73" s="105"/>
      <c r="AC73" s="101"/>
      <c r="AD73" s="90">
        <v>4444</v>
      </c>
      <c r="AE73" s="90">
        <v>0</v>
      </c>
      <c r="AF73" s="104">
        <f>2304686059/L1</f>
        <v>2304.6860590000001</v>
      </c>
      <c r="AG73" s="105"/>
      <c r="AH73" s="100"/>
      <c r="AI73" s="90">
        <f>J73+O73+T73+Y73+AD73</f>
        <v>106999.6</v>
      </c>
      <c r="AJ73" s="90">
        <f>K73+P73+U73+Z73+AE73</f>
        <v>19026.900000000001</v>
      </c>
      <c r="AK73" s="62">
        <f t="shared" ref="AK73:AK74" si="23">L73+Q73+V73+AA73+AF73</f>
        <v>97334.266007999991</v>
      </c>
      <c r="AL73" s="62">
        <f t="shared" ref="AL73:AL74" si="24">M73+R73+W73+AB73+AG73</f>
        <v>57735.704618999996</v>
      </c>
      <c r="AM73" s="99"/>
    </row>
    <row r="74" spans="1:39" ht="30" x14ac:dyDescent="0.25">
      <c r="A74" s="237"/>
      <c r="B74" s="215"/>
      <c r="C74" s="215"/>
      <c r="D74" s="215"/>
      <c r="E74" s="240"/>
      <c r="F74" s="13" t="s">
        <v>136</v>
      </c>
      <c r="G74" s="13" t="s">
        <v>135</v>
      </c>
      <c r="H74" s="246"/>
      <c r="I74" s="14"/>
      <c r="J74" s="26">
        <v>1</v>
      </c>
      <c r="K74" s="149">
        <v>0.96689999999999998</v>
      </c>
      <c r="L74" s="159">
        <f>1600000000/L1</f>
        <v>1600</v>
      </c>
      <c r="M74" s="29">
        <v>1435.632384</v>
      </c>
      <c r="N74" s="23"/>
      <c r="O74" s="26">
        <v>1</v>
      </c>
      <c r="P74" s="173">
        <v>0.89329999999999998</v>
      </c>
      <c r="Q74" s="63">
        <f>5907488000/L1</f>
        <v>5907.4880000000003</v>
      </c>
      <c r="R74" s="29">
        <f>3970957469/L1</f>
        <v>3970.9574689999999</v>
      </c>
      <c r="S74" s="100"/>
      <c r="T74" s="139">
        <v>1</v>
      </c>
      <c r="U74" s="124">
        <v>0</v>
      </c>
      <c r="V74" s="104">
        <v>5000</v>
      </c>
      <c r="W74" s="105"/>
      <c r="X74" s="101"/>
      <c r="Y74" s="139">
        <v>1</v>
      </c>
      <c r="Z74" s="124">
        <v>0</v>
      </c>
      <c r="AA74" s="104">
        <v>4000</v>
      </c>
      <c r="AB74" s="105"/>
      <c r="AC74" s="101"/>
      <c r="AD74" s="111">
        <v>1</v>
      </c>
      <c r="AE74" s="111">
        <v>0</v>
      </c>
      <c r="AF74" s="104">
        <f>1500000000/L1</f>
        <v>1500</v>
      </c>
      <c r="AG74" s="105"/>
      <c r="AH74" s="100"/>
      <c r="AI74" s="111">
        <f>AD74</f>
        <v>1</v>
      </c>
      <c r="AJ74" s="149">
        <f>(K74+P74+U74+Z74+AE74)/5</f>
        <v>0.37203999999999998</v>
      </c>
      <c r="AK74" s="62">
        <f t="shared" si="23"/>
        <v>18007.488000000001</v>
      </c>
      <c r="AL74" s="62">
        <f t="shared" si="24"/>
        <v>5406.5898529999995</v>
      </c>
      <c r="AM74" s="99"/>
    </row>
    <row r="75" spans="1:39"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67394.877999999997</v>
      </c>
      <c r="R75" s="42">
        <f>SUM(R72:R74)</f>
        <v>58205.134092</v>
      </c>
      <c r="T75" s="41"/>
      <c r="U75" s="41"/>
      <c r="V75" s="42">
        <f>SUM(V72:V74)</f>
        <v>23764.039550000001</v>
      </c>
      <c r="W75" s="42">
        <f>SUM(W72:W74)</f>
        <v>0</v>
      </c>
      <c r="Y75" s="41"/>
      <c r="Z75" s="41"/>
      <c r="AA75" s="42">
        <f>SUM(AA72:AA74)</f>
        <v>15175.35497</v>
      </c>
      <c r="AB75" s="42">
        <f>SUM(AB72:AB74)</f>
        <v>0</v>
      </c>
      <c r="AC75" s="112"/>
      <c r="AD75" s="41"/>
      <c r="AE75" s="42"/>
      <c r="AF75" s="42">
        <f>SUM(AF72:AF74)</f>
        <v>3804.6860590000001</v>
      </c>
      <c r="AG75" s="42">
        <f>SUM(AG72:AG74)</f>
        <v>0</v>
      </c>
      <c r="AI75" s="96"/>
      <c r="AJ75" s="96"/>
      <c r="AK75" s="64">
        <f>SUM(AK72:AK74)</f>
        <v>115341.75400799999</v>
      </c>
      <c r="AL75" s="64">
        <f>SUM(AL72:AL74)</f>
        <v>63142.294471999994</v>
      </c>
      <c r="AM75" s="98"/>
    </row>
    <row r="77" spans="1:39" s="5" customFormat="1" ht="15.75" customHeight="1" x14ac:dyDescent="0.2">
      <c r="A77" s="247"/>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94"/>
    </row>
    <row r="78" spans="1:39"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39" x14ac:dyDescent="0.25">
      <c r="A79" s="142">
        <v>5</v>
      </c>
      <c r="B79" s="122" t="s">
        <v>94</v>
      </c>
      <c r="C79" s="243" t="s">
        <v>166</v>
      </c>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row>
    <row r="80" spans="1:39" x14ac:dyDescent="0.25">
      <c r="A80" s="141">
        <v>30</v>
      </c>
      <c r="B80" s="6" t="s">
        <v>157</v>
      </c>
      <c r="C80" s="243" t="s">
        <v>167</v>
      </c>
      <c r="D80" s="243"/>
      <c r="E80" s="243"/>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row>
    <row r="81" spans="1:39" x14ac:dyDescent="0.25">
      <c r="A81" s="141">
        <v>56</v>
      </c>
      <c r="B81" s="6" t="s">
        <v>95</v>
      </c>
      <c r="C81" s="243" t="s">
        <v>137</v>
      </c>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row>
    <row r="82" spans="1:39" ht="30" x14ac:dyDescent="0.25">
      <c r="A82" s="141"/>
      <c r="B82" s="123" t="s">
        <v>98</v>
      </c>
      <c r="C82" s="243" t="s">
        <v>138</v>
      </c>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row>
    <row r="84" spans="1:39" s="11" customFormat="1" ht="27" customHeight="1" x14ac:dyDescent="0.25">
      <c r="A84" s="230" t="s">
        <v>2</v>
      </c>
      <c r="B84" s="205" t="s">
        <v>3</v>
      </c>
      <c r="C84" s="241" t="s">
        <v>87</v>
      </c>
      <c r="D84" s="205" t="s">
        <v>67</v>
      </c>
      <c r="E84" s="241" t="s">
        <v>171</v>
      </c>
      <c r="F84" s="227" t="s">
        <v>101</v>
      </c>
      <c r="G84" s="248" t="s">
        <v>90</v>
      </c>
      <c r="H84" s="200" t="s">
        <v>172</v>
      </c>
      <c r="I84" s="10"/>
      <c r="J84" s="200">
        <v>2020</v>
      </c>
      <c r="K84" s="200"/>
      <c r="L84" s="200"/>
      <c r="M84" s="200"/>
      <c r="N84" s="10"/>
      <c r="O84" s="200">
        <v>2021</v>
      </c>
      <c r="P84" s="200"/>
      <c r="Q84" s="200"/>
      <c r="R84" s="200"/>
      <c r="T84" s="200">
        <v>2022</v>
      </c>
      <c r="U84" s="200"/>
      <c r="V84" s="200"/>
      <c r="W84" s="200"/>
      <c r="Y84" s="200">
        <v>2023</v>
      </c>
      <c r="Z84" s="200"/>
      <c r="AA84" s="200"/>
      <c r="AB84" s="200"/>
      <c r="AD84" s="201">
        <v>2024</v>
      </c>
      <c r="AE84" s="202"/>
      <c r="AF84" s="202"/>
      <c r="AG84" s="202"/>
      <c r="AI84" s="244" t="s">
        <v>102</v>
      </c>
      <c r="AJ84" s="244"/>
      <c r="AK84" s="244"/>
      <c r="AL84" s="244"/>
      <c r="AM84" s="98"/>
    </row>
    <row r="85" spans="1:39" s="11" customFormat="1" ht="16.5" customHeight="1" x14ac:dyDescent="0.25">
      <c r="A85" s="231"/>
      <c r="B85" s="206"/>
      <c r="C85" s="228"/>
      <c r="D85" s="206"/>
      <c r="E85" s="228"/>
      <c r="F85" s="228"/>
      <c r="G85" s="248"/>
      <c r="H85" s="200"/>
      <c r="I85" s="10"/>
      <c r="J85" s="199" t="s">
        <v>4</v>
      </c>
      <c r="K85" s="199"/>
      <c r="L85" s="199" t="s">
        <v>61</v>
      </c>
      <c r="M85" s="199"/>
      <c r="N85" s="10"/>
      <c r="O85" s="199" t="s">
        <v>6</v>
      </c>
      <c r="P85" s="199"/>
      <c r="Q85" s="199" t="s">
        <v>8</v>
      </c>
      <c r="R85" s="199"/>
      <c r="S85" s="10"/>
      <c r="T85" s="199" t="s">
        <v>7</v>
      </c>
      <c r="U85" s="199"/>
      <c r="V85" s="199" t="s">
        <v>8</v>
      </c>
      <c r="W85" s="199"/>
      <c r="Y85" s="199" t="s">
        <v>7</v>
      </c>
      <c r="Z85" s="199"/>
      <c r="AA85" s="199" t="s">
        <v>8</v>
      </c>
      <c r="AB85" s="199"/>
      <c r="AD85" s="199" t="s">
        <v>7</v>
      </c>
      <c r="AE85" s="199"/>
      <c r="AF85" s="199" t="s">
        <v>8</v>
      </c>
      <c r="AG85" s="199"/>
      <c r="AI85" s="203" t="s">
        <v>4</v>
      </c>
      <c r="AJ85" s="203" t="s">
        <v>66</v>
      </c>
      <c r="AK85" s="203" t="s">
        <v>8</v>
      </c>
      <c r="AL85" s="203" t="s">
        <v>5</v>
      </c>
      <c r="AM85" s="98"/>
    </row>
    <row r="86" spans="1:39" s="11" customFormat="1" ht="33" x14ac:dyDescent="0.25">
      <c r="A86" s="232"/>
      <c r="B86" s="207"/>
      <c r="C86" s="242"/>
      <c r="D86" s="207"/>
      <c r="E86" s="242"/>
      <c r="F86" s="229"/>
      <c r="G86" s="248"/>
      <c r="H86" s="200"/>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04"/>
      <c r="AJ86" s="204"/>
      <c r="AK86" s="204"/>
      <c r="AL86" s="204"/>
      <c r="AM86" s="98"/>
    </row>
    <row r="87" spans="1:39" ht="45" x14ac:dyDescent="0.25">
      <c r="A87" s="236" t="s">
        <v>139</v>
      </c>
      <c r="B87" s="208" t="s">
        <v>140</v>
      </c>
      <c r="C87" s="208" t="s">
        <v>141</v>
      </c>
      <c r="D87" s="208" t="s">
        <v>155</v>
      </c>
      <c r="E87" s="239" t="str">
        <f>C80</f>
        <v xml:space="preserve">Incrementar la efectividad de la gestión pública distrital y local. </v>
      </c>
      <c r="F87" s="138" t="s">
        <v>169</v>
      </c>
      <c r="G87" s="138" t="s">
        <v>142</v>
      </c>
      <c r="H87" s="245" t="str">
        <f>C82</f>
        <v>Gestión pública efectiva, abierta y transparente</v>
      </c>
      <c r="I87" s="14"/>
      <c r="J87" s="178">
        <v>0.1</v>
      </c>
      <c r="K87" s="179">
        <v>0.1</v>
      </c>
      <c r="L87" s="162"/>
      <c r="M87" s="128"/>
      <c r="N87" s="129"/>
      <c r="O87" s="178">
        <v>0.25</v>
      </c>
      <c r="P87" s="186">
        <v>0.22939999999999999</v>
      </c>
      <c r="Q87" s="128"/>
      <c r="R87" s="128"/>
      <c r="S87" s="131"/>
      <c r="T87" s="182">
        <v>0.3</v>
      </c>
      <c r="U87" s="182">
        <v>0</v>
      </c>
      <c r="V87" s="133"/>
      <c r="W87" s="134"/>
      <c r="X87" s="135"/>
      <c r="Y87" s="182">
        <v>0.25</v>
      </c>
      <c r="Z87" s="132">
        <v>0</v>
      </c>
      <c r="AA87" s="133"/>
      <c r="AB87" s="134"/>
      <c r="AC87" s="135"/>
      <c r="AD87" s="184">
        <v>0.1</v>
      </c>
      <c r="AE87" s="182">
        <v>0</v>
      </c>
      <c r="AF87" s="133"/>
      <c r="AG87" s="134"/>
      <c r="AH87" s="131"/>
      <c r="AI87" s="184">
        <f>J87+O87+T87+Y87+AD87</f>
        <v>0.99999999999999989</v>
      </c>
      <c r="AJ87" s="179">
        <f t="shared" ref="AJ87:AJ89" si="25">K87+P87+U87+Z87+AE87</f>
        <v>0.32940000000000003</v>
      </c>
      <c r="AK87" s="137">
        <f t="shared" ref="AK87:AK88" si="26">L87+Q87+V87+AA87+AF87</f>
        <v>0</v>
      </c>
      <c r="AL87" s="137">
        <f t="shared" ref="AL87:AL88" si="27">M87+R87+W87+AB87+AG87</f>
        <v>0</v>
      </c>
      <c r="AM87" s="99"/>
    </row>
    <row r="88" spans="1:39" ht="45" x14ac:dyDescent="0.25">
      <c r="A88" s="237"/>
      <c r="B88" s="215"/>
      <c r="C88" s="215"/>
      <c r="D88" s="215"/>
      <c r="E88" s="240"/>
      <c r="F88" s="150" t="s">
        <v>143</v>
      </c>
      <c r="G88" s="150" t="s">
        <v>144</v>
      </c>
      <c r="H88" s="246"/>
      <c r="I88" s="14"/>
      <c r="J88" s="180">
        <v>0.1</v>
      </c>
      <c r="K88" s="181">
        <v>0.1</v>
      </c>
      <c r="L88" s="159">
        <v>3048.153773</v>
      </c>
      <c r="M88" s="29">
        <v>2948.422376</v>
      </c>
      <c r="N88" s="23"/>
      <c r="O88" s="180">
        <v>0.25</v>
      </c>
      <c r="P88" s="187">
        <v>0.2283</v>
      </c>
      <c r="Q88" s="63">
        <f>3810618915/L1</f>
        <v>3810.618915</v>
      </c>
      <c r="R88" s="29">
        <f>3141438506/L1</f>
        <v>3141.438506</v>
      </c>
      <c r="S88" s="100"/>
      <c r="T88" s="183">
        <v>0.3</v>
      </c>
      <c r="U88" s="188">
        <v>0</v>
      </c>
      <c r="V88" s="63">
        <f>4376589000/L1</f>
        <v>4376.5889999999999</v>
      </c>
      <c r="W88" s="105"/>
      <c r="X88" s="101"/>
      <c r="Y88" s="183">
        <v>0.25</v>
      </c>
      <c r="Z88" s="124">
        <v>0</v>
      </c>
      <c r="AA88" s="63">
        <f xml:space="preserve"> 7805715000 /L1</f>
        <v>7805.7150000000001</v>
      </c>
      <c r="AB88" s="105"/>
      <c r="AC88" s="101"/>
      <c r="AD88" s="185">
        <v>0.1</v>
      </c>
      <c r="AE88" s="188">
        <v>0</v>
      </c>
      <c r="AF88" s="63">
        <f>7091482781/L1</f>
        <v>7091.4827809999997</v>
      </c>
      <c r="AG88" s="105"/>
      <c r="AH88" s="100"/>
      <c r="AI88" s="185">
        <f>J88+O88+T88+Y88+AD88</f>
        <v>0.99999999999999989</v>
      </c>
      <c r="AJ88" s="189">
        <f t="shared" si="25"/>
        <v>0.32830000000000004</v>
      </c>
      <c r="AK88" s="62">
        <f t="shared" si="26"/>
        <v>26132.559469</v>
      </c>
      <c r="AL88" s="62">
        <f t="shared" si="27"/>
        <v>6089.8608819999999</v>
      </c>
      <c r="AM88" s="99"/>
    </row>
    <row r="89" spans="1:39" ht="45" x14ac:dyDescent="0.25">
      <c r="A89" s="237"/>
      <c r="B89" s="215"/>
      <c r="C89" s="215"/>
      <c r="D89" s="215"/>
      <c r="E89" s="240"/>
      <c r="F89" s="150" t="s">
        <v>145</v>
      </c>
      <c r="G89" s="150" t="s">
        <v>146</v>
      </c>
      <c r="H89" s="246"/>
      <c r="I89" s="14"/>
      <c r="J89" s="180">
        <v>0.1</v>
      </c>
      <c r="K89" s="181">
        <v>0.1</v>
      </c>
      <c r="L89" s="159">
        <v>1331.746357</v>
      </c>
      <c r="M89" s="29">
        <v>1314.039006</v>
      </c>
      <c r="N89" s="23"/>
      <c r="O89" s="180">
        <v>0.25</v>
      </c>
      <c r="P89" s="187">
        <v>0.22500000000000001</v>
      </c>
      <c r="Q89" s="63">
        <f>2758674825/L1</f>
        <v>2758.6748250000001</v>
      </c>
      <c r="R89" s="29">
        <f>2405367207/L1</f>
        <v>2405.3672069999998</v>
      </c>
      <c r="S89" s="100"/>
      <c r="T89" s="183">
        <v>0.3</v>
      </c>
      <c r="U89" s="188">
        <v>0</v>
      </c>
      <c r="V89" s="63">
        <f>3336935000/L1</f>
        <v>3336.9349999999999</v>
      </c>
      <c r="W89" s="105"/>
      <c r="X89" s="101"/>
      <c r="Y89" s="183">
        <v>0.25</v>
      </c>
      <c r="Z89" s="124">
        <v>0</v>
      </c>
      <c r="AA89" s="63">
        <f>3377143000/L1</f>
        <v>3377.143</v>
      </c>
      <c r="AB89" s="105"/>
      <c r="AC89" s="101"/>
      <c r="AD89" s="185">
        <v>0.1</v>
      </c>
      <c r="AE89" s="188">
        <v>0</v>
      </c>
      <c r="AF89" s="63">
        <f>2564850351/L1</f>
        <v>2564.850351</v>
      </c>
      <c r="AG89" s="105"/>
      <c r="AH89" s="100"/>
      <c r="AI89" s="185">
        <f t="shared" ref="AI89" si="28">J89+O89+T89+Y89+AD89</f>
        <v>0.99999999999999989</v>
      </c>
      <c r="AJ89" s="189">
        <f t="shared" si="25"/>
        <v>0.32500000000000001</v>
      </c>
      <c r="AK89" s="62">
        <f t="shared" ref="AK89:AK91" si="29">L89+Q89+V89+AA89+AF89</f>
        <v>13369.349533000001</v>
      </c>
      <c r="AL89" s="62">
        <f t="shared" ref="AL89:AL91" si="30">M89+R89+W89+AB89+AG89</f>
        <v>3719.4062129999998</v>
      </c>
      <c r="AM89" s="99"/>
    </row>
    <row r="90" spans="1:39" ht="75" x14ac:dyDescent="0.25">
      <c r="A90" s="237"/>
      <c r="B90" s="215"/>
      <c r="C90" s="215"/>
      <c r="D90" s="215"/>
      <c r="E90" s="240"/>
      <c r="F90" s="150" t="s">
        <v>147</v>
      </c>
      <c r="G90" s="150" t="s">
        <v>148</v>
      </c>
      <c r="H90" s="246"/>
      <c r="I90" s="14"/>
      <c r="J90" s="165">
        <v>1.5</v>
      </c>
      <c r="K90" s="166">
        <v>1.5</v>
      </c>
      <c r="L90" s="159">
        <v>147.96897799999999</v>
      </c>
      <c r="M90" s="29">
        <v>147.96897799999999</v>
      </c>
      <c r="N90" s="23"/>
      <c r="O90" s="169">
        <v>3.75</v>
      </c>
      <c r="P90" s="169">
        <v>3.44</v>
      </c>
      <c r="Q90" s="63">
        <f>226913453/L1</f>
        <v>226.913453</v>
      </c>
      <c r="R90" s="29">
        <f>223563624/L1</f>
        <v>223.563624</v>
      </c>
      <c r="S90" s="100"/>
      <c r="T90" s="169">
        <v>4.5</v>
      </c>
      <c r="U90" s="169">
        <v>0</v>
      </c>
      <c r="V90" s="63">
        <f>227336000/L1</f>
        <v>227.33600000000001</v>
      </c>
      <c r="W90" s="105"/>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31">J90+O90+T90+Y90+AD90</f>
        <v>15</v>
      </c>
      <c r="AJ90" s="193">
        <f t="shared" ref="AJ90:AJ91" si="32">K90+P90+U90+Z90+AE90</f>
        <v>4.9399999999999995</v>
      </c>
      <c r="AK90" s="62">
        <f t="shared" si="29"/>
        <v>1145.075431</v>
      </c>
      <c r="AL90" s="62">
        <f t="shared" si="30"/>
        <v>371.532602</v>
      </c>
      <c r="AM90" s="99"/>
    </row>
    <row r="91" spans="1:39" ht="60" x14ac:dyDescent="0.25">
      <c r="A91" s="237"/>
      <c r="B91" s="215"/>
      <c r="C91" s="215"/>
      <c r="D91" s="215"/>
      <c r="E91" s="240"/>
      <c r="F91" s="150" t="s">
        <v>170</v>
      </c>
      <c r="G91" s="150" t="s">
        <v>150</v>
      </c>
      <c r="H91" s="246"/>
      <c r="I91" s="14"/>
      <c r="J91" s="26">
        <v>0</v>
      </c>
      <c r="K91" s="175">
        <v>0</v>
      </c>
      <c r="L91" s="159">
        <v>0</v>
      </c>
      <c r="M91" s="29">
        <v>0</v>
      </c>
      <c r="N91" s="23"/>
      <c r="O91" s="26">
        <v>0.35</v>
      </c>
      <c r="P91" s="187">
        <v>0.315</v>
      </c>
      <c r="Q91" s="174">
        <f>324263993/L1</f>
        <v>324.26399300000003</v>
      </c>
      <c r="R91" s="29">
        <f>322206012/L1</f>
        <v>322.20601199999999</v>
      </c>
      <c r="S91" s="100"/>
      <c r="T91" s="139">
        <v>0.3</v>
      </c>
      <c r="U91" s="124">
        <v>0</v>
      </c>
      <c r="V91" s="63">
        <f>590569000/L1</f>
        <v>590.56899999999996</v>
      </c>
      <c r="W91" s="105"/>
      <c r="X91" s="101"/>
      <c r="Y91" s="139">
        <v>0.25</v>
      </c>
      <c r="Z91" s="124">
        <v>0</v>
      </c>
      <c r="AA91" s="63">
        <f>1005714000/L1</f>
        <v>1005.7140000000001</v>
      </c>
      <c r="AB91" s="105"/>
      <c r="AC91" s="101"/>
      <c r="AD91" s="111">
        <v>0.1</v>
      </c>
      <c r="AE91" s="111">
        <v>0</v>
      </c>
      <c r="AF91" s="63">
        <f xml:space="preserve"> 320000000/L1</f>
        <v>320</v>
      </c>
      <c r="AG91" s="105"/>
      <c r="AH91" s="100"/>
      <c r="AI91" s="111">
        <f t="shared" si="31"/>
        <v>0.99999999999999989</v>
      </c>
      <c r="AJ91" s="149">
        <f t="shared" si="32"/>
        <v>0.315</v>
      </c>
      <c r="AK91" s="62">
        <f t="shared" si="29"/>
        <v>2240.5469929999999</v>
      </c>
      <c r="AL91" s="62">
        <f t="shared" si="30"/>
        <v>322.20601199999999</v>
      </c>
      <c r="AM91" s="99"/>
    </row>
    <row r="92" spans="1:39"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4">
        <v>0.1196</v>
      </c>
      <c r="Q92" s="174">
        <f>2125220814/L1</f>
        <v>2125.2208139999998</v>
      </c>
      <c r="R92" s="29">
        <f>1966226220/L1</f>
        <v>1966.22622</v>
      </c>
      <c r="S92" s="100"/>
      <c r="T92" s="139">
        <v>0.15</v>
      </c>
      <c r="U92" s="124">
        <v>0</v>
      </c>
      <c r="V92" s="63">
        <f xml:space="preserve"> 3468571000/L1</f>
        <v>3468.5709999999999</v>
      </c>
      <c r="W92" s="105"/>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3">J92+O92+T92+Y92+AD92</f>
        <v>0.49999999999999994</v>
      </c>
      <c r="AJ92" s="149">
        <f t="shared" ref="AJ92" si="34">K92+P92+U92+Z92+AE92</f>
        <v>0.1696</v>
      </c>
      <c r="AK92" s="62">
        <f t="shared" ref="AK92" si="35">L92+Q92+V92+AA92+AF92</f>
        <v>13405.952127999999</v>
      </c>
      <c r="AL92" s="62">
        <f t="shared" ref="AL92" si="36">M92+R92+W92+AB92+AG92</f>
        <v>3964.4579220000001</v>
      </c>
      <c r="AM92" s="99"/>
    </row>
    <row r="93" spans="1:39"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9245.6920000000009</v>
      </c>
      <c r="R93" s="151">
        <f>SUM(R87:R92)</f>
        <v>8058.8015689999993</v>
      </c>
      <c r="T93" s="41"/>
      <c r="U93" s="41"/>
      <c r="V93" s="151">
        <f>SUM(V87:V92)</f>
        <v>12000</v>
      </c>
      <c r="W93" s="151">
        <f>SUM(W87:W92)</f>
        <v>0</v>
      </c>
      <c r="Y93" s="41"/>
      <c r="Z93" s="41"/>
      <c r="AA93" s="151">
        <f>SUM(AA87:AA92)</f>
        <v>16000</v>
      </c>
      <c r="AB93" s="151">
        <f>SUM(AB87:AB92)</f>
        <v>0</v>
      </c>
      <c r="AC93" s="112"/>
      <c r="AD93" s="41"/>
      <c r="AE93" s="42"/>
      <c r="AF93" s="151">
        <f>SUM(AF87:AF92)</f>
        <v>12319.564938</v>
      </c>
      <c r="AG93" s="151">
        <f>SUM(AG87:AG92)</f>
        <v>0</v>
      </c>
      <c r="AI93" s="96"/>
      <c r="AJ93" s="96"/>
      <c r="AK93" s="151">
        <f>SUM(AK87:AK92)</f>
        <v>56293.483553999999</v>
      </c>
      <c r="AL93" s="151">
        <f>SUM(AL87:AL92)</f>
        <v>14467.463630999999</v>
      </c>
      <c r="AM93" s="98"/>
    </row>
    <row r="113" spans="17:37" x14ac:dyDescent="0.25">
      <c r="Q113" s="89">
        <f>+Q93+Q75+Q60+Q42+Q26</f>
        <v>118190.29502599999</v>
      </c>
      <c r="R113" s="89">
        <f>+R93+R75+R60+R42+R26</f>
        <v>103207.04472199999</v>
      </c>
      <c r="AK113" s="89">
        <f>+AK93+AK75+AK60+AK42+AK26</f>
        <v>368415.27247200004</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E84:E86"/>
    <mergeCell ref="F84:F86"/>
    <mergeCell ref="D35:D37"/>
    <mergeCell ref="E35:E37"/>
    <mergeCell ref="F35:F37"/>
    <mergeCell ref="G35:G37"/>
    <mergeCell ref="H35:H37"/>
    <mergeCell ref="J35:M35"/>
    <mergeCell ref="T36:U36"/>
    <mergeCell ref="G69:G71"/>
    <mergeCell ref="H69:H71"/>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s>
  <printOptions headings="1"/>
  <pageMargins left="0.70866141732283472" right="0.70866141732283472" top="0.74803149606299213" bottom="0.74803149606299213" header="0.31496062992125984" footer="0.31496062992125984"/>
  <pageSetup paperSize="5" scale="26"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Noviembre 2021</vt:lpstr>
      <vt:lpstr>'Noviembre 2021'!Área_de_impresión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2021-12-23T17:10:58Z</dcterms:modified>
</cp:coreProperties>
</file>