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16.160.201\planeacion\Oficial\EVIDENCIAS PLANEACION - CONTRATISTAS\2020\2020 - IV TRIMESTRE\494-2020 CRISTHIAN RODRIGUEZ\DICIEMBRE\PLURIANUALES\"/>
    </mc:Choice>
  </mc:AlternateContent>
  <bookViews>
    <workbookView xWindow="0" yWindow="0" windowWidth="15360" windowHeight="5520" tabRatio="553" firstSheet="2" activeTab="2"/>
  </bookViews>
  <sheets>
    <sheet name="DIFERENCIAS" sheetId="52" state="hidden" r:id="rId1"/>
    <sheet name="SOPORTE REPROGRAMACIÓN $ 2017" sheetId="53" state="hidden" r:id="rId2"/>
    <sheet name="Noviembre 2020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'Noviembre 2020'!$A:$AL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L89" i="93" l="1"/>
  <c r="L22" i="93" l="1"/>
  <c r="M24" i="93"/>
  <c r="L70" i="93" l="1"/>
  <c r="AI19" i="93" l="1"/>
  <c r="AJ19" i="93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Q88" i="93"/>
  <c r="Q87" i="93"/>
  <c r="Q86" i="93"/>
  <c r="Q85" i="93"/>
  <c r="AF71" i="93"/>
  <c r="AF70" i="93"/>
  <c r="AA71" i="93"/>
  <c r="AA70" i="93"/>
  <c r="V71" i="93"/>
  <c r="V70" i="93"/>
  <c r="Q71" i="93"/>
  <c r="Q70" i="93"/>
  <c r="L71" i="93"/>
  <c r="AF56" i="93"/>
  <c r="AF55" i="93"/>
  <c r="AF54" i="93"/>
  <c r="AA56" i="93"/>
  <c r="AA55" i="93"/>
  <c r="AA54" i="93"/>
  <c r="V56" i="93"/>
  <c r="V55" i="93"/>
  <c r="V54" i="93"/>
  <c r="Q56" i="93"/>
  <c r="Q55" i="93"/>
  <c r="Q54" i="93"/>
  <c r="L56" i="93"/>
  <c r="AF38" i="93"/>
  <c r="AA39" i="93"/>
  <c r="AA38" i="93"/>
  <c r="V39" i="93"/>
  <c r="V38" i="93"/>
  <c r="Q40" i="93"/>
  <c r="Q39" i="93"/>
  <c r="Q38" i="93"/>
  <c r="AF24" i="93"/>
  <c r="AF22" i="93"/>
  <c r="AF20" i="93"/>
  <c r="AF19" i="93"/>
  <c r="AA24" i="93"/>
  <c r="AA22" i="93"/>
  <c r="AA20" i="93"/>
  <c r="AA19" i="93"/>
  <c r="V24" i="93"/>
  <c r="V22" i="93"/>
  <c r="V20" i="93"/>
  <c r="V19" i="93"/>
  <c r="Q24" i="93"/>
  <c r="Q22" i="93"/>
  <c r="Q20" i="93"/>
  <c r="Q19" i="93"/>
  <c r="L24" i="93"/>
  <c r="H84" i="93"/>
  <c r="E84" i="93"/>
  <c r="H69" i="93"/>
  <c r="E69" i="93"/>
  <c r="H53" i="93"/>
  <c r="E53" i="93"/>
  <c r="H37" i="93"/>
  <c r="E37" i="93"/>
  <c r="H18" i="93"/>
  <c r="E18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I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1" i="93"/>
  <c r="AK21" i="93"/>
  <c r="AJ21" i="93"/>
  <c r="AI21" i="93"/>
  <c r="AI20" i="93"/>
  <c r="AI18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20" i="93"/>
  <c r="AK20" i="93"/>
  <c r="AJ20" i="93"/>
  <c r="AL18" i="93" l="1"/>
  <c r="AL19" i="93"/>
  <c r="AJ18" i="93"/>
  <c r="AK19" i="93"/>
  <c r="AK18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/>
  <c r="J58" i="53"/>
  <c r="N58" i="53" s="1"/>
  <c r="J49" i="53"/>
  <c r="P49" i="53"/>
  <c r="N49" i="53"/>
  <c r="J48" i="53"/>
  <c r="I50" i="53"/>
  <c r="I40" i="53"/>
  <c r="J38" i="53"/>
  <c r="L38" i="53" s="1"/>
  <c r="J39" i="53"/>
  <c r="J40" i="53"/>
  <c r="J37" i="53"/>
  <c r="O36" i="53"/>
  <c r="J34" i="53"/>
  <c r="J35" i="53"/>
  <c r="L35" i="53" s="1"/>
  <c r="J33" i="53"/>
  <c r="P33" i="53"/>
  <c r="I36" i="53"/>
  <c r="J31" i="53"/>
  <c r="J30" i="53"/>
  <c r="P30" i="53" s="1"/>
  <c r="I32" i="53"/>
  <c r="J17" i="53"/>
  <c r="J18" i="53"/>
  <c r="L18" i="53" s="1"/>
  <c r="R18" i="53" s="1"/>
  <c r="J19" i="53"/>
  <c r="P19" i="53" s="1"/>
  <c r="J20" i="53"/>
  <c r="N20" i="53" s="1"/>
  <c r="N21" i="53" s="1"/>
  <c r="J16" i="53"/>
  <c r="L16" i="53" s="1"/>
  <c r="I21" i="53"/>
  <c r="Q16" i="53"/>
  <c r="Q17" i="53"/>
  <c r="Q18" i="53"/>
  <c r="Q19" i="53"/>
  <c r="Q20" i="53"/>
  <c r="Q30" i="53"/>
  <c r="Q32" i="53" s="1"/>
  <c r="Q31" i="53"/>
  <c r="Q33" i="53"/>
  <c r="Q34" i="53"/>
  <c r="Q35" i="53"/>
  <c r="Q37" i="53"/>
  <c r="Q38" i="53"/>
  <c r="Q39" i="53"/>
  <c r="Q48" i="53"/>
  <c r="Q49" i="53"/>
  <c r="Q57" i="53"/>
  <c r="Q58" i="53"/>
  <c r="Q66" i="53"/>
  <c r="Q67" i="53" s="1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N57" i="53"/>
  <c r="L49" i="53"/>
  <c r="P57" i="53"/>
  <c r="P20" i="53"/>
  <c r="L33" i="53"/>
  <c r="N33" i="53"/>
  <c r="N38" i="53"/>
  <c r="R49" i="53"/>
  <c r="P37" i="53"/>
  <c r="N37" i="53"/>
  <c r="L37" i="53"/>
  <c r="L30" i="53"/>
  <c r="N30" i="53"/>
  <c r="J36" i="53"/>
  <c r="L34" i="53"/>
  <c r="P34" i="53"/>
  <c r="P17" i="53"/>
  <c r="L17" i="53"/>
  <c r="P31" i="53"/>
  <c r="J32" i="53"/>
  <c r="L31" i="53"/>
  <c r="L39" i="53"/>
  <c r="N39" i="53"/>
  <c r="N40" i="53" s="1"/>
  <c r="N31" i="53"/>
  <c r="N32" i="53" s="1"/>
  <c r="N34" i="53"/>
  <c r="N17" i="53"/>
  <c r="R57" i="53"/>
  <c r="F69" i="53"/>
  <c r="Q36" i="53"/>
  <c r="N19" i="53"/>
  <c r="L19" i="53"/>
  <c r="P39" i="53"/>
  <c r="Q59" i="53"/>
  <c r="Q40" i="53"/>
  <c r="Q50" i="53"/>
  <c r="Q21" i="53"/>
  <c r="N48" i="53"/>
  <c r="N50" i="53" s="1"/>
  <c r="L48" i="53"/>
  <c r="P48" i="53"/>
  <c r="P50" i="53"/>
  <c r="R33" i="53"/>
  <c r="P58" i="53"/>
  <c r="P59" i="53" s="1"/>
  <c r="P18" i="53"/>
  <c r="J50" i="53"/>
  <c r="L20" i="53"/>
  <c r="R20" i="53" s="1"/>
  <c r="R37" i="53"/>
  <c r="J59" i="53"/>
  <c r="N18" i="53"/>
  <c r="L66" i="53"/>
  <c r="N35" i="53"/>
  <c r="P35" i="53"/>
  <c r="P36" i="53"/>
  <c r="J67" i="53"/>
  <c r="J21" i="53"/>
  <c r="P16" i="53"/>
  <c r="L58" i="53"/>
  <c r="P66" i="53"/>
  <c r="P67" i="53" s="1"/>
  <c r="N16" i="53"/>
  <c r="R34" i="53"/>
  <c r="R39" i="53"/>
  <c r="R17" i="53"/>
  <c r="L32" i="53"/>
  <c r="R31" i="53"/>
  <c r="L67" i="53"/>
  <c r="R66" i="53"/>
  <c r="R67" i="53" s="1"/>
  <c r="T67" i="53" s="1"/>
  <c r="L50" i="53"/>
  <c r="R48" i="53"/>
  <c r="R50" i="53" s="1"/>
  <c r="T50" i="53" s="1"/>
  <c r="N36" i="53"/>
  <c r="L59" i="53"/>
  <c r="R35" i="53" l="1"/>
  <c r="L36" i="53"/>
  <c r="R16" i="53"/>
  <c r="L21" i="53"/>
  <c r="N59" i="53"/>
  <c r="R58" i="53"/>
  <c r="R59" i="53" s="1"/>
  <c r="T59" i="53" s="1"/>
  <c r="Q69" i="53"/>
  <c r="R38" i="53"/>
  <c r="R40" i="53" s="1"/>
  <c r="T40" i="53" s="1"/>
  <c r="L40" i="53"/>
  <c r="R36" i="53"/>
  <c r="T36" i="53" s="1"/>
  <c r="P21" i="53"/>
  <c r="R19" i="53"/>
  <c r="P32" i="53"/>
  <c r="R30" i="53"/>
  <c r="R32" i="53" s="1"/>
  <c r="T32" i="53" s="1"/>
  <c r="P38" i="53"/>
  <c r="P40" i="53" s="1"/>
  <c r="AK25" i="93"/>
  <c r="AL25" i="93"/>
  <c r="R21" i="53" l="1"/>
  <c r="R69" i="53" l="1"/>
  <c r="S69" i="53" s="1"/>
  <c r="T21" i="53"/>
</calcChain>
</file>

<file path=xl/sharedStrings.xml><?xml version="1.0" encoding="utf-8"?>
<sst xmlns="http://schemas.openxmlformats.org/spreadsheetml/2006/main" count="491" uniqueCount="177">
  <si>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</si>
  <si>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</si>
  <si>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</si>
  <si>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</si>
  <si>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</si>
  <si>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</si>
  <si>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</si>
  <si>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</si>
  <si>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</si>
  <si>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</si>
  <si>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</si>
  <si>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</si>
  <si>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</si>
  <si>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</si>
  <si>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</si>
  <si>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</si>
  <si>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</si>
  <si>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</si>
  <si>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</si>
  <si>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</si>
  <si>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</si>
  <si>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</si>
  <si>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</si>
  <si>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</si>
  <si>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</si>
  <si>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</si>
  <si>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</si>
  <si>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</si>
  <si>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</si>
  <si>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</si>
  <si>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</si>
  <si>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</si>
  <si>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</si>
  <si>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</si>
  <si>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</si>
  <si>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</si>
  <si>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</si>
  <si>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</si>
  <si>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</si>
  <si>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</si>
  <si>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</si>
  <si>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</si>
  <si>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</si>
  <si>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</si>
  <si>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</si>
  <si>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</si>
  <si>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</si>
  <si>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</si>
  <si>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</si>
  <si>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</si>
  <si>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</si>
  <si>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</si>
  <si>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</si>
  <si>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</si>
  <si>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</si>
  <si>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</si>
  <si>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</si>
  <si>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</si>
  <si>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</si>
  <si>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</si>
  <si>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</si>
  <si>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</si>
  <si>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</si>
  <si>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</si>
  <si>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</si>
  <si>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</si>
  <si>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</si>
  <si>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</si>
  <si>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</si>
  <si>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</si>
  <si>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</si>
  <si>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</si>
  <si>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</si>
  <si>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</si>
  <si>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</si>
  <si>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</si>
  <si>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</si>
  <si>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</si>
  <si>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</si>
  <si>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</si>
  <si>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</si>
  <si>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</si>
  <si>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</si>
  <si>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</si>
  <si>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</si>
  <si>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</si>
  <si>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</si>
  <si>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</si>
  <si>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</si>
  <si>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</si>
  <si>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</si>
  <si>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</si>
  <si>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</si>
  <si>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</si>
  <si>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</si>
  <si>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</si>
  <si>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</si>
  <si>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</si>
  <si>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</si>
  <si>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</si>
  <si>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</si>
  <si>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</si>
  <si>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</si>
  <si>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</si>
  <si>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</si>
  <si>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</si>
  <si>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</si>
  <si>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</si>
  <si>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</si>
  <si>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</si>
  <si>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</si>
  <si>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</si>
  <si>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</si>
  <si>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</si>
  <si>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</si>
  <si>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</si>
  <si>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</si>
  <si>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</si>
  <si>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</si>
  <si>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</si>
  <si>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</si>
  <si>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</si>
  <si>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</si>
  <si>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</si>
  <si>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</si>
  <si>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</si>
  <si>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</si>
  <si>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</si>
  <si>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</si>
  <si>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</si>
  <si>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</si>
  <si>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</si>
  <si>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</si>
  <si>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</si>
  <si>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</si>
  <si>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</si>
  <si>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90.000 m2 de en espacio público en los territorios priorizados para realizar el mejoramiento de barrios en las Upz tipo1.</t>
  </si>
  <si>
    <t>Construir 90.000 m2 de en espacio público en los territorios priorizados para realizar el mejoramiento de barrios en las Upz tipo1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</si>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</sst>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\ _€_-;\-* #,##0.00\ _€_-;_-* &quot;-&quot;??\ _€_-;_-@_-"/>
    <numFmt numFmtId="168" formatCode="_(&quot;$&quot;\ * #,##0_);_(&quot;$&quot;\ * \(#,##0\);_(&quot;$&quot;\ * &quot;-&quot;_);_(@_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0.0%"/>
    <numFmt numFmtId="172" formatCode="_(&quot;$&quot;\ * #,##0_);_(&quot;$&quot;\ * \(#,##0\);_(&quot;$&quot;\ * &quot;-&quot;??_);_(@_)"/>
    <numFmt numFmtId="173" formatCode="_ [$€-2]\ * #,##0.00_ ;_ [$€-2]\ * \-#,##0.00_ ;_ [$€-2]\ * &quot;-&quot;??_ "/>
    <numFmt numFmtId="174" formatCode="_(* #,##0_);_(* \(#,##0\);_(* &quot;-&quot;??_);_(@_)"/>
    <numFmt numFmtId="175" formatCode="&quot;$&quot;\ #,##0"/>
    <numFmt numFmtId="176" formatCode="_(* #,##0.0_);_(* \(#,##0.0\);_(* &quot;-&quot;??_);_(@_)"/>
    <numFmt numFmtId="177" formatCode="[$€-2]\ #,##0.00_);[Red]\([$€-2]\ #,##0.00\)"/>
    <numFmt numFmtId="178" formatCode="&quot;$&quot;\ #,##0.00;&quot;$&quot;\ \-#,##0.00"/>
    <numFmt numFmtId="179" formatCode="&quot;$&quot;\ #,##0.00;[Red]&quot;$&quot;\ \-#,##0.00"/>
    <numFmt numFmtId="180" formatCode="_ &quot;$&quot;\ * #,##0.00_ ;_ &quot;$&quot;\ * \-#,##0.00_ ;_ &quot;$&quot;\ * &quot;-&quot;??_ ;_ @_ "/>
    <numFmt numFmtId="181" formatCode="_ * #,##0.00_ ;_ * \-#,##0.00_ ;_ * &quot;-&quot;??_ ;_ @_ "/>
    <numFmt numFmtId="182" formatCode="_(&quot;$&quot;* #,##0.00_);_(&quot;$&quot;* \(#,##0.00\);_(&quot;$&quot;* &quot;-&quot;??_);_(@_)"/>
    <numFmt numFmtId="183" formatCode="_-* #,##0.00\ _P_t_a_-;\-* #,##0.00\ _P_t_a_-;_-* &quot;-&quot;??\ _P_t_a_-;_-@_-"/>
    <numFmt numFmtId="184" formatCode="[$$-80A]#,##0.00"/>
    <numFmt numFmtId="185" formatCode="_-* #,##0.00\ _p_t_a_-;\-* #,##0.00\ _p_t_a_-;_-* &quot;-&quot;??\ _p_t_a_-;_-@_-"/>
    <numFmt numFmtId="186" formatCode="_-* #,##0\ _P_t_a_-;\-* #,##0\ _P_t_a_-;_-* &quot;-&quot;\ _P_t_a_-;_-@_-"/>
    <numFmt numFmtId="187" formatCode="_ [$€]\ * #,##0.00_ ;_ [$€]\ * \-#,##0.00_ ;_ [$€]\ * &quot;-&quot;??_ ;_ @_ "/>
    <numFmt numFmtId="188" formatCode="#,##0.0"/>
    <numFmt numFmtId="189" formatCode="_-[$$-240A]* #,##0_-;\-[$$-240A]* #,##0_-;_-[$$-240A]* &quot;-&quot;??_-;_-@_-"/>
    <numFmt numFmtId="190" formatCode="_-&quot;$&quot;* #,##0_-;\-&quot;$&quot;* #,##0_-;_-&quot;$&quot;* &quot;-&quot;??_-;_-@_-"/>
    <numFmt numFmtId="191" formatCode="_(&quot;$&quot;\ * #,##0.000_);_(&quot;$&quot;\ * \(#,##0.000\);_(&quot;$&quot;\ * &quot;-&quot;??_);_(@_)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6">
    <xf numFmtId="0" fontId="0" fillId="0" borderId="0"/>
    <xf numFmtId="0" fontId="11" fillId="2" borderId="0" applyNumberFormat="0" applyBorder="0" applyAlignment="0" applyProtection="0"/>
    <xf numFmtId="167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3" fontId="3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70" fontId="18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0" fontId="12" fillId="3" borderId="0" applyNumberFormat="0" applyBorder="0" applyAlignment="0" applyProtection="0"/>
    <xf numFmtId="16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" fillId="0" borderId="0" applyFont="0" applyFill="0" applyBorder="0" applyAlignment="0" applyProtection="0"/>
    <xf numFmtId="0" fontId="1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42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9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46" fillId="0" borderId="0"/>
    <xf numFmtId="42" fontId="46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4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6" fontId="18" fillId="0" borderId="0" applyFont="0" applyFill="0" applyBorder="0" applyAlignment="0" applyProtection="0"/>
  </cellStyleXfs>
  <cellXfs count="225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2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2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2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2" fontId="27" fillId="0" borderId="3" xfId="80" applyNumberFormat="1" applyFont="1" applyFill="1" applyBorder="1" applyAlignment="1">
      <alignment vertical="center"/>
    </xf>
    <xf numFmtId="172" fontId="27" fillId="0" borderId="3" xfId="88" applyNumberFormat="1" applyFont="1" applyFill="1" applyBorder="1" applyAlignment="1">
      <alignment horizontal="center" vertical="center"/>
    </xf>
    <xf numFmtId="172" fontId="27" fillId="0" borderId="3" xfId="80" applyNumberFormat="1" applyFont="1" applyFill="1" applyBorder="1" applyAlignment="1">
      <alignment horizontal="center" vertical="center"/>
    </xf>
    <xf numFmtId="172" fontId="27" fillId="5" borderId="3" xfId="88" applyNumberFormat="1" applyFont="1" applyFill="1" applyBorder="1" applyAlignment="1">
      <alignment horizontal="center" vertical="center"/>
    </xf>
    <xf numFmtId="172" fontId="27" fillId="5" borderId="3" xfId="80" applyNumberFormat="1" applyFont="1" applyFill="1" applyBorder="1" applyAlignment="1">
      <alignment horizontal="center" vertical="center"/>
    </xf>
    <xf numFmtId="172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2" fontId="27" fillId="0" borderId="3" xfId="88" applyNumberFormat="1" applyFont="1" applyFill="1" applyBorder="1" applyAlignment="1">
      <alignment vertical="center"/>
    </xf>
    <xf numFmtId="172" fontId="27" fillId="5" borderId="3" xfId="88" applyNumberFormat="1" applyFont="1" applyFill="1" applyBorder="1" applyAlignment="1">
      <alignment vertical="center"/>
    </xf>
    <xf numFmtId="172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2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2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2" fontId="31" fillId="0" borderId="3" xfId="88" applyNumberFormat="1" applyFont="1" applyFill="1" applyBorder="1" applyAlignment="1">
      <alignment horizontal="center" vertical="center"/>
    </xf>
    <xf numFmtId="172" fontId="31" fillId="5" borderId="0" xfId="81" applyNumberFormat="1" applyFont="1" applyFill="1" applyBorder="1"/>
    <xf numFmtId="172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2" fontId="31" fillId="0" borderId="0" xfId="80" applyNumberFormat="1" applyFont="1" applyFill="1" applyBorder="1" applyAlignment="1">
      <alignment horizontal="center" vertical="center"/>
    </xf>
    <xf numFmtId="172" fontId="31" fillId="0" borderId="0" xfId="80" applyNumberFormat="1" applyFont="1" applyFill="1" applyBorder="1" applyAlignment="1">
      <alignment vertical="center"/>
    </xf>
    <xf numFmtId="172" fontId="33" fillId="0" borderId="0" xfId="80" applyNumberFormat="1" applyFont="1" applyFill="1" applyBorder="1" applyAlignment="1">
      <alignment horizontal="center" vertical="center"/>
    </xf>
    <xf numFmtId="172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2" fontId="35" fillId="0" borderId="3" xfId="80" applyNumberFormat="1" applyFont="1" applyFill="1" applyBorder="1" applyAlignment="1">
      <alignment vertical="center"/>
    </xf>
    <xf numFmtId="172" fontId="35" fillId="0" borderId="3" xfId="80" applyNumberFormat="1" applyFont="1" applyFill="1" applyBorder="1" applyAlignment="1">
      <alignment horizontal="center" vertical="center"/>
    </xf>
    <xf numFmtId="172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4" fontId="18" fillId="0" borderId="0" xfId="24" applyNumberFormat="1" applyBorder="1"/>
    <xf numFmtId="172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2" fontId="0" fillId="0" borderId="3" xfId="0" applyNumberFormat="1" applyBorder="1"/>
    <xf numFmtId="172" fontId="24" fillId="0" borderId="3" xfId="0" applyNumberFormat="1" applyFont="1" applyBorder="1"/>
    <xf numFmtId="172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2" fontId="31" fillId="0" borderId="3" xfId="80" applyNumberFormat="1" applyFont="1" applyFill="1" applyBorder="1" applyAlignment="1">
      <alignment vertical="center"/>
    </xf>
    <xf numFmtId="172" fontId="18" fillId="11" borderId="0" xfId="128" applyNumberFormat="1" applyFill="1"/>
    <xf numFmtId="172" fontId="24" fillId="11" borderId="0" xfId="128" applyNumberFormat="1" applyFont="1" applyFill="1"/>
    <xf numFmtId="172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4" fontId="23" fillId="0" borderId="0" xfId="24" applyNumberFormat="1" applyFont="1" applyBorder="1"/>
    <xf numFmtId="0" fontId="40" fillId="0" borderId="0" xfId="128" applyFont="1"/>
    <xf numFmtId="174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75" fontId="3" fillId="0" borderId="3" xfId="0" applyNumberFormat="1" applyFont="1" applyFill="1" applyBorder="1" applyAlignment="1">
      <alignment horizontal="right" vertical="center"/>
    </xf>
    <xf numFmtId="175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4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2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164" fontId="3" fillId="16" borderId="3" xfId="0" applyNumberFormat="1" applyFont="1" applyFill="1" applyBorder="1" applyAlignment="1">
      <alignment horizontal="right" vertical="center"/>
    </xf>
    <xf numFmtId="175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2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8" fontId="27" fillId="0" borderId="4" xfId="81" applyNumberFormat="1" applyFont="1" applyFill="1" applyBorder="1" applyAlignment="1">
      <alignment horizontal="center" vertical="center"/>
    </xf>
    <xf numFmtId="188" fontId="27" fillId="16" borderId="4" xfId="81" applyNumberFormat="1" applyFont="1" applyFill="1" applyBorder="1" applyAlignment="1">
      <alignment horizontal="center" vertical="center"/>
    </xf>
    <xf numFmtId="171" fontId="35" fillId="0" borderId="3" xfId="149" applyNumberFormat="1" applyFont="1" applyFill="1" applyBorder="1" applyAlignment="1">
      <alignment horizontal="center" vertical="center"/>
    </xf>
    <xf numFmtId="171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9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90" fontId="18" fillId="0" borderId="0" xfId="3515" applyNumberFormat="1"/>
    <xf numFmtId="190" fontId="4" fillId="0" borderId="0" xfId="3515" applyNumberFormat="1" applyFont="1" applyBorder="1" applyAlignment="1"/>
    <xf numFmtId="190" fontId="18" fillId="0" borderId="0" xfId="3515" applyNumberFormat="1" applyBorder="1"/>
    <xf numFmtId="190" fontId="34" fillId="8" borderId="3" xfId="3515" applyNumberFormat="1" applyFont="1" applyFill="1" applyBorder="1" applyAlignment="1">
      <alignment vertical="center" wrapText="1"/>
    </xf>
    <xf numFmtId="190" fontId="27" fillId="16" borderId="4" xfId="3515" applyNumberFormat="1" applyFont="1" applyFill="1" applyBorder="1" applyAlignment="1">
      <alignment horizontal="center" vertical="center"/>
    </xf>
    <xf numFmtId="190" fontId="27" fillId="0" borderId="3" xfId="3515" applyNumberFormat="1" applyFont="1" applyFill="1" applyBorder="1" applyAlignment="1">
      <alignment horizontal="center" vertical="center"/>
    </xf>
    <xf numFmtId="190" fontId="31" fillId="0" borderId="3" xfId="3515" applyNumberFormat="1" applyFont="1" applyFill="1" applyBorder="1" applyAlignment="1">
      <alignment horizontal="center" vertical="center"/>
    </xf>
    <xf numFmtId="190" fontId="27" fillId="0" borderId="4" xfId="3515" applyNumberFormat="1" applyFont="1" applyFill="1" applyBorder="1" applyAlignment="1">
      <alignment horizontal="center" vertical="center"/>
    </xf>
    <xf numFmtId="190" fontId="27" fillId="16" borderId="3" xfId="3515" applyNumberFormat="1" applyFont="1" applyFill="1" applyBorder="1" applyAlignment="1">
      <alignment horizontal="center" vertical="center"/>
    </xf>
    <xf numFmtId="190" fontId="19" fillId="0" borderId="0" xfId="3515" applyNumberFormat="1" applyFont="1"/>
    <xf numFmtId="0" fontId="18" fillId="0" borderId="0" xfId="128" applyBorder="1" applyAlignment="1">
      <alignment horizontal="center"/>
    </xf>
    <xf numFmtId="191" fontId="27" fillId="0" borderId="3" xfId="80" applyNumberFormat="1" applyFont="1" applyFill="1" applyBorder="1" applyAlignment="1">
      <alignment horizontal="center" vertical="center"/>
    </xf>
    <xf numFmtId="170" fontId="27" fillId="0" borderId="3" xfId="24" applyFont="1" applyFill="1" applyBorder="1" applyAlignment="1">
      <alignment horizontal="center" vertical="center"/>
    </xf>
    <xf numFmtId="170" fontId="35" fillId="0" borderId="3" xfId="24" applyFont="1" applyFill="1" applyBorder="1" applyAlignment="1">
      <alignment horizontal="center" vertical="center"/>
    </xf>
    <xf numFmtId="188" fontId="27" fillId="0" borderId="3" xfId="81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  <xf numFmtId="0" fontId="0" fillId="0" borderId="0" xfId="128" applyFont="1" applyAlignment="1">
      <alignment horizontal="left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4" fillId="0" borderId="11" xfId="128" applyFont="1" applyBorder="1" applyAlignment="1">
      <alignment horizontal="center"/>
    </xf>
    <xf numFmtId="0" fontId="24" fillId="0" borderId="12" xfId="128" applyFont="1" applyBorder="1" applyAlignment="1">
      <alignment horizontal="center"/>
    </xf>
    <xf numFmtId="0" fontId="24" fillId="0" borderId="13" xfId="128" applyFont="1" applyBorder="1" applyAlignment="1">
      <alignment horizontal="center"/>
    </xf>
  </cellXfs>
  <cellStyles count="3516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96" t="s">
        <v>0</v>
      </c>
      <c r="B3" s="197"/>
      <c r="C3" s="197"/>
      <c r="D3" s="198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96" t="s">
        <v>14</v>
      </c>
      <c r="B4" s="197"/>
      <c r="C4" s="197"/>
      <c r="D4" s="198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96" t="s">
        <v>0</v>
      </c>
      <c r="B5" s="197"/>
      <c r="C5" s="197"/>
      <c r="D5" s="198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96" t="s">
        <v>15</v>
      </c>
      <c r="B6" s="197"/>
      <c r="C6" s="197"/>
      <c r="D6" s="198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05" t="s">
        <v>85</v>
      </c>
      <c r="B8" s="206"/>
      <c r="C8" s="206"/>
      <c r="D8" s="206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07" t="s">
        <v>16</v>
      </c>
      <c r="C10" s="207"/>
      <c r="D10" s="207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202" t="s">
        <v>2</v>
      </c>
      <c r="B13" s="177" t="s">
        <v>3</v>
      </c>
      <c r="C13" s="177" t="s">
        <v>67</v>
      </c>
      <c r="D13" s="199" t="s">
        <v>19</v>
      </c>
      <c r="E13" s="10"/>
      <c r="F13" s="67">
        <v>2016</v>
      </c>
      <c r="G13" s="10"/>
      <c r="H13" s="173">
        <v>2017</v>
      </c>
      <c r="I13" s="174"/>
      <c r="J13" s="210"/>
      <c r="K13" s="173">
        <v>2018</v>
      </c>
      <c r="L13" s="210"/>
      <c r="M13" s="173">
        <v>2019</v>
      </c>
      <c r="N13" s="210"/>
      <c r="O13" s="173">
        <v>2020</v>
      </c>
      <c r="P13" s="174"/>
      <c r="Q13" s="174" t="s">
        <v>78</v>
      </c>
      <c r="R13" s="174"/>
    </row>
    <row r="14" spans="1:18" s="11" customFormat="1" ht="15" customHeight="1" x14ac:dyDescent="0.25">
      <c r="A14" s="203"/>
      <c r="B14" s="178"/>
      <c r="C14" s="178"/>
      <c r="D14" s="200"/>
      <c r="E14" s="10"/>
      <c r="F14" s="171" t="s">
        <v>8</v>
      </c>
      <c r="G14" s="10"/>
      <c r="H14" s="171" t="s">
        <v>8</v>
      </c>
      <c r="I14" s="171" t="s">
        <v>84</v>
      </c>
      <c r="J14" s="171" t="s">
        <v>80</v>
      </c>
      <c r="K14" s="171" t="s">
        <v>8</v>
      </c>
      <c r="L14" s="171" t="s">
        <v>79</v>
      </c>
      <c r="M14" s="171" t="s">
        <v>8</v>
      </c>
      <c r="N14" s="171" t="s">
        <v>79</v>
      </c>
      <c r="O14" s="175" t="s">
        <v>8</v>
      </c>
      <c r="P14" s="171" t="s">
        <v>79</v>
      </c>
      <c r="Q14" s="175" t="s">
        <v>8</v>
      </c>
      <c r="R14" s="171" t="s">
        <v>79</v>
      </c>
    </row>
    <row r="15" spans="1:18" s="11" customFormat="1" ht="47.25" customHeight="1" x14ac:dyDescent="0.25">
      <c r="A15" s="204"/>
      <c r="B15" s="179"/>
      <c r="C15" s="179"/>
      <c r="D15" s="201"/>
      <c r="E15" s="12"/>
      <c r="F15" s="171"/>
      <c r="G15" s="12"/>
      <c r="H15" s="171"/>
      <c r="I15" s="171"/>
      <c r="J15" s="171"/>
      <c r="K15" s="171"/>
      <c r="L15" s="171"/>
      <c r="M15" s="171"/>
      <c r="N15" s="171"/>
      <c r="O15" s="176"/>
      <c r="P15" s="171"/>
      <c r="Q15" s="176"/>
      <c r="R15" s="171"/>
    </row>
    <row r="16" spans="1:18" ht="60" customHeight="1" x14ac:dyDescent="0.25">
      <c r="A16" s="208" t="s">
        <v>11</v>
      </c>
      <c r="B16" s="180" t="s">
        <v>12</v>
      </c>
      <c r="C16" s="180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09"/>
      <c r="B17" s="187"/>
      <c r="C17" s="187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09"/>
      <c r="B18" s="187"/>
      <c r="C18" s="187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09"/>
      <c r="B19" s="187"/>
      <c r="C19" s="187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09"/>
      <c r="B20" s="181"/>
      <c r="C20" s="181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2" t="s">
        <v>2</v>
      </c>
      <c r="B26" s="172" t="s">
        <v>3</v>
      </c>
      <c r="C26" s="177" t="s">
        <v>67</v>
      </c>
      <c r="D26" s="172" t="s">
        <v>19</v>
      </c>
      <c r="E26" s="10"/>
      <c r="F26" s="71">
        <v>2016</v>
      </c>
      <c r="G26" s="79"/>
      <c r="H26" s="172">
        <v>2017</v>
      </c>
      <c r="I26" s="172"/>
      <c r="J26" s="172"/>
      <c r="K26" s="172">
        <v>2018</v>
      </c>
      <c r="L26" s="172"/>
      <c r="M26" s="172">
        <v>2019</v>
      </c>
      <c r="N26" s="172"/>
      <c r="O26" s="172">
        <v>2020</v>
      </c>
      <c r="P26" s="172"/>
      <c r="Q26" s="172" t="s">
        <v>78</v>
      </c>
      <c r="R26" s="172"/>
    </row>
    <row r="27" spans="1:20" s="11" customFormat="1" ht="15" customHeight="1" x14ac:dyDescent="0.25">
      <c r="A27" s="172"/>
      <c r="B27" s="172"/>
      <c r="C27" s="178"/>
      <c r="D27" s="172"/>
      <c r="E27" s="10"/>
      <c r="F27" s="171" t="s">
        <v>8</v>
      </c>
      <c r="G27" s="79"/>
      <c r="H27" s="171" t="s">
        <v>8</v>
      </c>
      <c r="I27" s="171" t="s">
        <v>84</v>
      </c>
      <c r="J27" s="171" t="s">
        <v>80</v>
      </c>
      <c r="K27" s="171" t="s">
        <v>8</v>
      </c>
      <c r="L27" s="171" t="s">
        <v>79</v>
      </c>
      <c r="M27" s="171" t="s">
        <v>8</v>
      </c>
      <c r="N27" s="171" t="s">
        <v>79</v>
      </c>
      <c r="O27" s="171" t="s">
        <v>8</v>
      </c>
      <c r="P27" s="171" t="s">
        <v>79</v>
      </c>
      <c r="Q27" s="171" t="s">
        <v>8</v>
      </c>
      <c r="R27" s="171" t="s">
        <v>79</v>
      </c>
    </row>
    <row r="28" spans="1:20" s="11" customFormat="1" ht="47.25" customHeight="1" x14ac:dyDescent="0.25">
      <c r="A28" s="172"/>
      <c r="B28" s="172"/>
      <c r="C28" s="179"/>
      <c r="D28" s="172"/>
      <c r="E28" s="12"/>
      <c r="F28" s="171"/>
      <c r="G28" s="80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</row>
    <row r="29" spans="1:20" ht="51" hidden="1" customHeight="1" x14ac:dyDescent="0.25">
      <c r="A29" s="194" t="s">
        <v>24</v>
      </c>
      <c r="B29" s="195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194"/>
      <c r="B30" s="195"/>
      <c r="C30" s="195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194"/>
      <c r="B31" s="195"/>
      <c r="C31" s="195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188" t="s">
        <v>10</v>
      </c>
      <c r="B33" s="191" t="s">
        <v>26</v>
      </c>
      <c r="C33" s="191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189"/>
      <c r="B34" s="192"/>
      <c r="C34" s="192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190"/>
      <c r="B35" s="193"/>
      <c r="C35" s="193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184" t="s">
        <v>27</v>
      </c>
      <c r="B37" s="180" t="s">
        <v>28</v>
      </c>
      <c r="C37" s="180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185"/>
      <c r="B38" s="187"/>
      <c r="C38" s="187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186"/>
      <c r="B39" s="181"/>
      <c r="C39" s="181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2" t="s">
        <v>2</v>
      </c>
      <c r="B45" s="172" t="s">
        <v>3</v>
      </c>
      <c r="C45" s="177" t="s">
        <v>67</v>
      </c>
      <c r="D45" s="172" t="s">
        <v>19</v>
      </c>
      <c r="E45" s="10"/>
      <c r="F45" s="71">
        <v>2016</v>
      </c>
      <c r="G45" s="79"/>
      <c r="H45" s="172">
        <v>2017</v>
      </c>
      <c r="I45" s="172"/>
      <c r="J45" s="172"/>
      <c r="K45" s="172">
        <v>2018</v>
      </c>
      <c r="L45" s="172"/>
      <c r="M45" s="172">
        <v>2019</v>
      </c>
      <c r="N45" s="172"/>
      <c r="O45" s="172">
        <v>2020</v>
      </c>
      <c r="P45" s="172"/>
      <c r="Q45" s="172" t="s">
        <v>78</v>
      </c>
      <c r="R45" s="172"/>
    </row>
    <row r="46" spans="1:20" s="11" customFormat="1" ht="15" customHeight="1" x14ac:dyDescent="0.25">
      <c r="A46" s="172"/>
      <c r="B46" s="172"/>
      <c r="C46" s="178"/>
      <c r="D46" s="172"/>
      <c r="E46" s="10"/>
      <c r="F46" s="175" t="s">
        <v>8</v>
      </c>
      <c r="G46" s="79"/>
      <c r="H46" s="175" t="s">
        <v>8</v>
      </c>
      <c r="I46" s="171" t="s">
        <v>84</v>
      </c>
      <c r="J46" s="171" t="s">
        <v>80</v>
      </c>
      <c r="K46" s="175" t="s">
        <v>8</v>
      </c>
      <c r="L46" s="171" t="s">
        <v>79</v>
      </c>
      <c r="M46" s="175" t="s">
        <v>8</v>
      </c>
      <c r="N46" s="171" t="s">
        <v>79</v>
      </c>
      <c r="O46" s="171" t="s">
        <v>8</v>
      </c>
      <c r="P46" s="171" t="s">
        <v>79</v>
      </c>
      <c r="Q46" s="175" t="s">
        <v>8</v>
      </c>
      <c r="R46" s="171" t="s">
        <v>79</v>
      </c>
    </row>
    <row r="47" spans="1:20" s="11" customFormat="1" ht="47.25" customHeight="1" x14ac:dyDescent="0.25">
      <c r="A47" s="172"/>
      <c r="B47" s="172"/>
      <c r="C47" s="179"/>
      <c r="D47" s="172"/>
      <c r="E47" s="12"/>
      <c r="F47" s="176"/>
      <c r="G47" s="80"/>
      <c r="H47" s="176"/>
      <c r="I47" s="171"/>
      <c r="J47" s="171"/>
      <c r="K47" s="176"/>
      <c r="L47" s="171"/>
      <c r="M47" s="176"/>
      <c r="N47" s="171"/>
      <c r="O47" s="171"/>
      <c r="P47" s="171"/>
      <c r="Q47" s="176"/>
      <c r="R47" s="171"/>
    </row>
    <row r="48" spans="1:20" ht="60" customHeight="1" x14ac:dyDescent="0.25">
      <c r="A48" s="182" t="s">
        <v>35</v>
      </c>
      <c r="B48" s="180" t="s">
        <v>36</v>
      </c>
      <c r="C48" s="180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183"/>
      <c r="B49" s="181"/>
      <c r="C49" s="181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2" t="s">
        <v>2</v>
      </c>
      <c r="B54" s="172" t="s">
        <v>3</v>
      </c>
      <c r="C54" s="177" t="s">
        <v>67</v>
      </c>
      <c r="D54" s="172" t="s">
        <v>19</v>
      </c>
      <c r="E54" s="10"/>
      <c r="F54" s="71">
        <v>2016</v>
      </c>
      <c r="G54" s="79"/>
      <c r="H54" s="172">
        <v>2017</v>
      </c>
      <c r="I54" s="172"/>
      <c r="J54" s="172"/>
      <c r="K54" s="172">
        <v>2018</v>
      </c>
      <c r="L54" s="172"/>
      <c r="M54" s="172">
        <v>2019</v>
      </c>
      <c r="N54" s="172"/>
      <c r="O54" s="172">
        <v>2020</v>
      </c>
      <c r="P54" s="172"/>
      <c r="Q54" s="172" t="s">
        <v>78</v>
      </c>
      <c r="R54" s="172"/>
    </row>
    <row r="55" spans="1:20" s="11" customFormat="1" ht="15" customHeight="1" x14ac:dyDescent="0.25">
      <c r="A55" s="172"/>
      <c r="B55" s="172"/>
      <c r="C55" s="178"/>
      <c r="D55" s="172"/>
      <c r="E55" s="10"/>
      <c r="F55" s="171" t="s">
        <v>8</v>
      </c>
      <c r="G55" s="79"/>
      <c r="H55" s="171" t="s">
        <v>8</v>
      </c>
      <c r="I55" s="171" t="s">
        <v>84</v>
      </c>
      <c r="J55" s="171" t="s">
        <v>80</v>
      </c>
      <c r="K55" s="171" t="s">
        <v>8</v>
      </c>
      <c r="L55" s="171" t="s">
        <v>79</v>
      </c>
      <c r="M55" s="171" t="s">
        <v>8</v>
      </c>
      <c r="N55" s="171" t="s">
        <v>79</v>
      </c>
      <c r="O55" s="171" t="s">
        <v>8</v>
      </c>
      <c r="P55" s="171" t="s">
        <v>79</v>
      </c>
      <c r="Q55" s="171" t="s">
        <v>8</v>
      </c>
      <c r="R55" s="171" t="s">
        <v>79</v>
      </c>
    </row>
    <row r="56" spans="1:20" s="11" customFormat="1" ht="47.25" customHeight="1" x14ac:dyDescent="0.25">
      <c r="A56" s="172"/>
      <c r="B56" s="172"/>
      <c r="C56" s="179"/>
      <c r="D56" s="172"/>
      <c r="E56" s="12"/>
      <c r="F56" s="171"/>
      <c r="G56" s="80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</row>
    <row r="57" spans="1:20" ht="88.5" customHeight="1" x14ac:dyDescent="0.25">
      <c r="A57" s="182" t="s">
        <v>39</v>
      </c>
      <c r="B57" s="180" t="s">
        <v>13</v>
      </c>
      <c r="C57" s="180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183"/>
      <c r="B58" s="181"/>
      <c r="C58" s="181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2" t="s">
        <v>2</v>
      </c>
      <c r="B63" s="172" t="s">
        <v>3</v>
      </c>
      <c r="C63" s="177" t="s">
        <v>67</v>
      </c>
      <c r="D63" s="172" t="s">
        <v>19</v>
      </c>
      <c r="E63" s="10"/>
      <c r="F63" s="71">
        <v>2016</v>
      </c>
      <c r="G63" s="79"/>
      <c r="H63" s="172">
        <v>2017</v>
      </c>
      <c r="I63" s="172"/>
      <c r="J63" s="172"/>
      <c r="K63" s="172">
        <v>2018</v>
      </c>
      <c r="L63" s="172"/>
      <c r="M63" s="172">
        <v>2019</v>
      </c>
      <c r="N63" s="172"/>
      <c r="O63" s="172">
        <v>2020</v>
      </c>
      <c r="P63" s="172"/>
      <c r="Q63" s="172" t="s">
        <v>78</v>
      </c>
      <c r="R63" s="172"/>
    </row>
    <row r="64" spans="1:20" s="11" customFormat="1" ht="15" customHeight="1" x14ac:dyDescent="0.25">
      <c r="A64" s="172"/>
      <c r="B64" s="172"/>
      <c r="C64" s="178"/>
      <c r="D64" s="172"/>
      <c r="E64" s="10"/>
      <c r="F64" s="171" t="s">
        <v>8</v>
      </c>
      <c r="G64" s="79"/>
      <c r="H64" s="171" t="s">
        <v>8</v>
      </c>
      <c r="I64" s="171" t="s">
        <v>84</v>
      </c>
      <c r="J64" s="171" t="s">
        <v>80</v>
      </c>
      <c r="K64" s="171" t="s">
        <v>8</v>
      </c>
      <c r="L64" s="171" t="s">
        <v>79</v>
      </c>
      <c r="M64" s="171" t="s">
        <v>8</v>
      </c>
      <c r="N64" s="171" t="s">
        <v>79</v>
      </c>
      <c r="O64" s="171" t="s">
        <v>8</v>
      </c>
      <c r="P64" s="171" t="s">
        <v>79</v>
      </c>
      <c r="Q64" s="171" t="s">
        <v>8</v>
      </c>
      <c r="R64" s="171" t="s">
        <v>79</v>
      </c>
    </row>
    <row r="65" spans="1:20" s="11" customFormat="1" ht="47.25" customHeight="1" x14ac:dyDescent="0.25">
      <c r="A65" s="172"/>
      <c r="B65" s="172"/>
      <c r="C65" s="179"/>
      <c r="D65" s="172"/>
      <c r="E65" s="12"/>
      <c r="F65" s="171"/>
      <c r="G65" s="80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G43" zoomScale="70" zoomScaleNormal="70" workbookViewId="0">
      <selection activeCell="K90" sqref="K90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bestFit="1" customWidth="1"/>
    <col min="13" max="13" width="18.7109375" style="8" bestFit="1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x14ac:dyDescent="0.25">
      <c r="A1" s="222" t="s">
        <v>65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4"/>
    </row>
    <row r="2" spans="1:39" x14ac:dyDescent="0.25">
      <c r="A2" s="8"/>
      <c r="L2" s="165">
        <v>1000000</v>
      </c>
    </row>
    <row r="3" spans="1:39" s="3" customFormat="1" x14ac:dyDescent="0.25">
      <c r="A3" s="222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4"/>
      <c r="AM3" s="94"/>
    </row>
    <row r="4" spans="1:39" s="3" customFormat="1" x14ac:dyDescent="0.25">
      <c r="A4" s="222" t="s">
        <v>92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4"/>
      <c r="AM4" s="94"/>
    </row>
    <row r="5" spans="1:39" s="3" customFormat="1" x14ac:dyDescent="0.25">
      <c r="A5" s="222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4"/>
      <c r="AM5" s="94"/>
    </row>
    <row r="6" spans="1:39" s="3" customFormat="1" x14ac:dyDescent="0.25">
      <c r="A6" s="222" t="s">
        <v>93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4"/>
      <c r="AM6" s="94"/>
    </row>
    <row r="7" spans="1:39" s="3" customFormat="1" x14ac:dyDescent="0.25">
      <c r="A7" s="222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4"/>
      <c r="AM7" s="94"/>
    </row>
    <row r="8" spans="1:39" s="5" customFormat="1" ht="15.75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95"/>
    </row>
    <row r="9" spans="1:39" s="3" customFormat="1" ht="12.75" x14ac:dyDescent="0.2">
      <c r="A9" s="141"/>
      <c r="B9" s="4"/>
      <c r="C9" s="4"/>
      <c r="D9" s="4"/>
      <c r="E9" s="4"/>
      <c r="F9" s="4"/>
      <c r="G9" s="4"/>
      <c r="H9" s="4"/>
      <c r="I9" s="2"/>
      <c r="J9" s="141"/>
      <c r="K9" s="2"/>
      <c r="L9" s="157"/>
      <c r="M9" s="2"/>
      <c r="N9" s="2"/>
      <c r="O9" s="2"/>
      <c r="P9" s="2"/>
      <c r="Q9" s="2"/>
      <c r="R9" s="2"/>
      <c r="T9" s="103"/>
      <c r="U9" s="103"/>
      <c r="V9" s="103"/>
      <c r="W9" s="103"/>
      <c r="Y9" s="103"/>
      <c r="Z9" s="103"/>
      <c r="AA9" s="103"/>
      <c r="AB9" s="103"/>
      <c r="AD9" s="2"/>
      <c r="AE9" s="2"/>
      <c r="AF9" s="103"/>
      <c r="AG9" s="103"/>
      <c r="AI9" s="110"/>
      <c r="AJ9" s="110"/>
      <c r="AK9" s="110"/>
      <c r="AL9" s="111"/>
      <c r="AM9" s="94"/>
    </row>
    <row r="10" spans="1:39" x14ac:dyDescent="0.25">
      <c r="A10" s="143">
        <v>1</v>
      </c>
      <c r="B10" s="123" t="s">
        <v>94</v>
      </c>
      <c r="C10" s="216" t="s">
        <v>97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</row>
    <row r="11" spans="1:39" x14ac:dyDescent="0.25">
      <c r="A11" s="142">
        <v>8</v>
      </c>
      <c r="B11" s="6" t="s">
        <v>160</v>
      </c>
      <c r="C11" s="216" t="s">
        <v>161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</row>
    <row r="12" spans="1:39" x14ac:dyDescent="0.25">
      <c r="A12" s="142">
        <v>19</v>
      </c>
      <c r="B12" s="6" t="s">
        <v>95</v>
      </c>
      <c r="C12" s="216" t="s">
        <v>159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</row>
    <row r="13" spans="1:39" ht="30" x14ac:dyDescent="0.25">
      <c r="A13" s="142">
        <v>3</v>
      </c>
      <c r="B13" s="124" t="s">
        <v>98</v>
      </c>
      <c r="C13" s="216" t="s">
        <v>96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</row>
    <row r="14" spans="1:39" ht="14.25" customHeight="1" x14ac:dyDescent="0.25">
      <c r="F14" s="7"/>
      <c r="G14" s="7"/>
      <c r="H14" s="7"/>
      <c r="I14" s="8"/>
      <c r="J14" s="166"/>
      <c r="K14" s="7"/>
      <c r="L14" s="158"/>
      <c r="M14" s="7"/>
      <c r="N14" s="8"/>
      <c r="O14" s="7"/>
      <c r="P14" s="7"/>
      <c r="Q14" s="7"/>
      <c r="R14" s="92">
        <v>1000000</v>
      </c>
      <c r="T14" s="92"/>
      <c r="U14" s="92"/>
      <c r="V14" s="92">
        <v>1000000</v>
      </c>
      <c r="W14" s="92">
        <v>1000000</v>
      </c>
      <c r="Y14" s="92"/>
      <c r="Z14" s="92"/>
      <c r="AA14" s="92"/>
      <c r="AB14" s="92">
        <v>1000000</v>
      </c>
      <c r="AD14" s="7"/>
      <c r="AE14" s="7"/>
      <c r="AF14" s="92"/>
      <c r="AG14" s="92">
        <v>1000000</v>
      </c>
      <c r="AI14" s="96"/>
      <c r="AJ14" s="96"/>
      <c r="AK14" s="96"/>
    </row>
    <row r="15" spans="1:39" s="11" customFormat="1" ht="27" customHeight="1" x14ac:dyDescent="0.25">
      <c r="A15" s="202" t="s">
        <v>2</v>
      </c>
      <c r="B15" s="177" t="s">
        <v>3</v>
      </c>
      <c r="C15" s="218" t="s">
        <v>87</v>
      </c>
      <c r="D15" s="177" t="s">
        <v>67</v>
      </c>
      <c r="E15" s="218" t="s">
        <v>174</v>
      </c>
      <c r="F15" s="199" t="s">
        <v>101</v>
      </c>
      <c r="G15" s="220" t="s">
        <v>90</v>
      </c>
      <c r="H15" s="172" t="s">
        <v>175</v>
      </c>
      <c r="I15" s="10"/>
      <c r="J15" s="172">
        <v>2020</v>
      </c>
      <c r="K15" s="172"/>
      <c r="L15" s="172"/>
      <c r="M15" s="172"/>
      <c r="N15" s="10"/>
      <c r="O15" s="172">
        <v>2021</v>
      </c>
      <c r="P15" s="172"/>
      <c r="Q15" s="172"/>
      <c r="R15" s="172"/>
      <c r="T15" s="172">
        <v>2022</v>
      </c>
      <c r="U15" s="172"/>
      <c r="V15" s="172"/>
      <c r="W15" s="172"/>
      <c r="Y15" s="172">
        <v>2023</v>
      </c>
      <c r="Z15" s="172"/>
      <c r="AA15" s="172"/>
      <c r="AB15" s="172"/>
      <c r="AD15" s="173">
        <v>2024</v>
      </c>
      <c r="AE15" s="174"/>
      <c r="AF15" s="174"/>
      <c r="AG15" s="174"/>
      <c r="AI15" s="217" t="s">
        <v>102</v>
      </c>
      <c r="AJ15" s="217"/>
      <c r="AK15" s="217"/>
      <c r="AL15" s="217"/>
      <c r="AM15" s="99"/>
    </row>
    <row r="16" spans="1:39" s="11" customFormat="1" ht="16.5" customHeight="1" x14ac:dyDescent="0.25">
      <c r="A16" s="203"/>
      <c r="B16" s="178"/>
      <c r="C16" s="200"/>
      <c r="D16" s="178"/>
      <c r="E16" s="200"/>
      <c r="F16" s="200"/>
      <c r="G16" s="220"/>
      <c r="H16" s="172"/>
      <c r="I16" s="10"/>
      <c r="J16" s="171" t="s">
        <v>4</v>
      </c>
      <c r="K16" s="171"/>
      <c r="L16" s="171" t="s">
        <v>61</v>
      </c>
      <c r="M16" s="171"/>
      <c r="N16" s="10"/>
      <c r="O16" s="171" t="s">
        <v>6</v>
      </c>
      <c r="P16" s="171"/>
      <c r="Q16" s="171" t="s">
        <v>8</v>
      </c>
      <c r="R16" s="171"/>
      <c r="S16" s="10"/>
      <c r="T16" s="171" t="s">
        <v>7</v>
      </c>
      <c r="U16" s="171"/>
      <c r="V16" s="171" t="s">
        <v>8</v>
      </c>
      <c r="W16" s="171"/>
      <c r="Y16" s="171" t="s">
        <v>7</v>
      </c>
      <c r="Z16" s="171"/>
      <c r="AA16" s="171" t="s">
        <v>8</v>
      </c>
      <c r="AB16" s="171"/>
      <c r="AD16" s="171" t="s">
        <v>7</v>
      </c>
      <c r="AE16" s="171"/>
      <c r="AF16" s="171" t="s">
        <v>8</v>
      </c>
      <c r="AG16" s="171"/>
      <c r="AI16" s="175" t="s">
        <v>4</v>
      </c>
      <c r="AJ16" s="175" t="s">
        <v>66</v>
      </c>
      <c r="AK16" s="175" t="s">
        <v>8</v>
      </c>
      <c r="AL16" s="175" t="s">
        <v>5</v>
      </c>
      <c r="AM16" s="99"/>
    </row>
    <row r="17" spans="1:39" s="11" customFormat="1" ht="33" x14ac:dyDescent="0.25">
      <c r="A17" s="204"/>
      <c r="B17" s="179"/>
      <c r="C17" s="219"/>
      <c r="D17" s="179"/>
      <c r="E17" s="219"/>
      <c r="F17" s="201"/>
      <c r="G17" s="220"/>
      <c r="H17" s="172"/>
      <c r="I17" s="12"/>
      <c r="J17" s="155" t="s">
        <v>59</v>
      </c>
      <c r="K17" s="115" t="s">
        <v>60</v>
      </c>
      <c r="L17" s="159" t="s">
        <v>64</v>
      </c>
      <c r="M17" s="115" t="s">
        <v>63</v>
      </c>
      <c r="N17" s="12"/>
      <c r="O17" s="61" t="s">
        <v>59</v>
      </c>
      <c r="P17" s="115" t="s">
        <v>60</v>
      </c>
      <c r="Q17" s="159" t="s">
        <v>64</v>
      </c>
      <c r="R17" s="115" t="s">
        <v>63</v>
      </c>
      <c r="S17" s="10"/>
      <c r="T17" s="61" t="s">
        <v>59</v>
      </c>
      <c r="U17" s="115" t="s">
        <v>60</v>
      </c>
      <c r="V17" s="159" t="s">
        <v>64</v>
      </c>
      <c r="W17" s="115" t="s">
        <v>63</v>
      </c>
      <c r="Y17" s="115" t="s">
        <v>59</v>
      </c>
      <c r="Z17" s="115" t="s">
        <v>60</v>
      </c>
      <c r="AA17" s="115" t="s">
        <v>64</v>
      </c>
      <c r="AB17" s="115" t="s">
        <v>63</v>
      </c>
      <c r="AD17" s="115" t="s">
        <v>59</v>
      </c>
      <c r="AE17" s="115" t="s">
        <v>60</v>
      </c>
      <c r="AF17" s="115" t="s">
        <v>64</v>
      </c>
      <c r="AG17" s="115" t="s">
        <v>63</v>
      </c>
      <c r="AI17" s="176"/>
      <c r="AJ17" s="176"/>
      <c r="AK17" s="176"/>
      <c r="AL17" s="176"/>
      <c r="AM17" s="99"/>
    </row>
    <row r="18" spans="1:39" s="101" customFormat="1" ht="75.75" customHeight="1" x14ac:dyDescent="0.25">
      <c r="A18" s="208" t="s">
        <v>99</v>
      </c>
      <c r="B18" s="180" t="s">
        <v>100</v>
      </c>
      <c r="C18" s="180" t="s">
        <v>89</v>
      </c>
      <c r="D18" s="180" t="s">
        <v>154</v>
      </c>
      <c r="E18" s="211" t="str">
        <f>C11</f>
        <v xml:space="preserve">Aumentar el acceso a vivienda digna, espacio público y equipamientos de la población vulnerable en suelo urbano y rural </v>
      </c>
      <c r="F18" s="139" t="s">
        <v>163</v>
      </c>
      <c r="G18" s="139" t="s">
        <v>104</v>
      </c>
      <c r="H18" s="213" t="str">
        <f>C13</f>
        <v>Sistema Distrital de Cuidado</v>
      </c>
      <c r="I18" s="14"/>
      <c r="J18" s="127">
        <v>0.05</v>
      </c>
      <c r="K18" s="127">
        <v>0</v>
      </c>
      <c r="L18" s="160"/>
      <c r="M18" s="129"/>
      <c r="N18" s="130"/>
      <c r="O18" s="131">
        <v>0.3</v>
      </c>
      <c r="P18" s="131">
        <v>0</v>
      </c>
      <c r="Q18" s="129"/>
      <c r="R18" s="129"/>
      <c r="S18" s="132"/>
      <c r="T18" s="133">
        <v>0.65</v>
      </c>
      <c r="U18" s="133">
        <v>0</v>
      </c>
      <c r="V18" s="134"/>
      <c r="W18" s="135"/>
      <c r="X18" s="136"/>
      <c r="Y18" s="133">
        <v>0.95</v>
      </c>
      <c r="Z18" s="133">
        <v>0</v>
      </c>
      <c r="AA18" s="134"/>
      <c r="AB18" s="135"/>
      <c r="AC18" s="136"/>
      <c r="AD18" s="137">
        <v>1</v>
      </c>
      <c r="AE18" s="137">
        <v>0</v>
      </c>
      <c r="AF18" s="134"/>
      <c r="AG18" s="135"/>
      <c r="AH18" s="132"/>
      <c r="AI18" s="137">
        <f>AD18</f>
        <v>1</v>
      </c>
      <c r="AJ18" s="137">
        <f>K18+P18+U18+Z18+AE18</f>
        <v>0</v>
      </c>
      <c r="AK18" s="138">
        <f>L18+Q18+V18+AA18+AF18</f>
        <v>0</v>
      </c>
      <c r="AL18" s="138">
        <f>M18+R18+W18+AB18+AG18</f>
        <v>0</v>
      </c>
      <c r="AM18" s="126"/>
    </row>
    <row r="19" spans="1:39" ht="90" x14ac:dyDescent="0.25">
      <c r="A19" s="209"/>
      <c r="B19" s="187"/>
      <c r="C19" s="187"/>
      <c r="D19" s="187"/>
      <c r="E19" s="212"/>
      <c r="F19" s="13" t="s">
        <v>105</v>
      </c>
      <c r="G19" s="13" t="s">
        <v>176</v>
      </c>
      <c r="H19" s="214"/>
      <c r="I19" s="14"/>
      <c r="J19" s="15">
        <v>20</v>
      </c>
      <c r="K19" s="15">
        <v>0</v>
      </c>
      <c r="L19" s="161">
        <v>1503</v>
      </c>
      <c r="M19" s="29">
        <v>203</v>
      </c>
      <c r="N19" s="23"/>
      <c r="O19" s="15">
        <v>418</v>
      </c>
      <c r="P19" s="15">
        <v>0</v>
      </c>
      <c r="Q19" s="29">
        <f>4208000000/L2</f>
        <v>4208</v>
      </c>
      <c r="R19" s="29"/>
      <c r="S19" s="101"/>
      <c r="T19" s="104">
        <v>813</v>
      </c>
      <c r="U19" s="104">
        <v>0</v>
      </c>
      <c r="V19" s="105">
        <f>4316000000/L2</f>
        <v>4316</v>
      </c>
      <c r="W19" s="106"/>
      <c r="X19" s="102"/>
      <c r="Y19" s="104">
        <v>1187</v>
      </c>
      <c r="Z19" s="104">
        <v>0</v>
      </c>
      <c r="AA19" s="105">
        <f>3937000000/L2</f>
        <v>3937</v>
      </c>
      <c r="AB19" s="106"/>
      <c r="AC19" s="102"/>
      <c r="AD19" s="91">
        <v>1250</v>
      </c>
      <c r="AE19" s="91">
        <v>0</v>
      </c>
      <c r="AF19" s="105">
        <f>324000000/L2</f>
        <v>324</v>
      </c>
      <c r="AG19" s="106"/>
      <c r="AH19" s="101"/>
      <c r="AI19" s="91">
        <f>AD19</f>
        <v>1250</v>
      </c>
      <c r="AJ19" s="91">
        <f t="shared" ref="AJ19" si="0">K19+P19+U19+Z19+AE19</f>
        <v>0</v>
      </c>
      <c r="AK19" s="62">
        <f t="shared" ref="AK19" si="1">L19+Q19+V19+AA19+AF19</f>
        <v>14288</v>
      </c>
      <c r="AL19" s="62">
        <f t="shared" ref="AL19" si="2">M19+R19+W19+AB19+AG19</f>
        <v>203</v>
      </c>
      <c r="AM19" s="100"/>
    </row>
    <row r="20" spans="1:39" ht="75" x14ac:dyDescent="0.25">
      <c r="A20" s="209"/>
      <c r="B20" s="187"/>
      <c r="C20" s="187"/>
      <c r="D20" s="187"/>
      <c r="E20" s="212"/>
      <c r="F20" s="13" t="s">
        <v>106</v>
      </c>
      <c r="G20" s="13" t="s">
        <v>107</v>
      </c>
      <c r="H20" s="214"/>
      <c r="I20" s="14"/>
      <c r="J20" s="15">
        <v>0</v>
      </c>
      <c r="K20" s="15">
        <v>0</v>
      </c>
      <c r="L20" s="161">
        <v>0</v>
      </c>
      <c r="M20" s="29"/>
      <c r="N20" s="23"/>
      <c r="O20" s="15">
        <v>400</v>
      </c>
      <c r="P20" s="15">
        <v>0</v>
      </c>
      <c r="Q20" s="29">
        <f>1500000000/L2</f>
        <v>1500</v>
      </c>
      <c r="R20" s="29"/>
      <c r="S20" s="101"/>
      <c r="T20" s="104">
        <v>400</v>
      </c>
      <c r="U20" s="104">
        <v>0</v>
      </c>
      <c r="V20" s="105">
        <f>1550000000/L2</f>
        <v>1550</v>
      </c>
      <c r="W20" s="107"/>
      <c r="X20" s="102"/>
      <c r="Y20" s="104">
        <v>400</v>
      </c>
      <c r="Z20" s="104">
        <v>0</v>
      </c>
      <c r="AA20" s="105">
        <f>1550000000/L2</f>
        <v>1550</v>
      </c>
      <c r="AB20" s="107"/>
      <c r="AC20" s="102"/>
      <c r="AD20" s="91">
        <v>50</v>
      </c>
      <c r="AE20" s="91">
        <v>0</v>
      </c>
      <c r="AF20" s="105">
        <f>400000000/L2</f>
        <v>400</v>
      </c>
      <c r="AG20" s="107"/>
      <c r="AH20" s="101"/>
      <c r="AI20" s="91">
        <f>J20+O20+T20+Y20+AD20</f>
        <v>1250</v>
      </c>
      <c r="AJ20" s="91">
        <f t="shared" ref="AJ20" si="3">K20+P20+U20+Z20+AE20</f>
        <v>0</v>
      </c>
      <c r="AK20" s="62">
        <f t="shared" ref="AK20" si="4">L20+Q20+V20+AA20+AF20</f>
        <v>5000</v>
      </c>
      <c r="AL20" s="62">
        <f t="shared" ref="AL20" si="5">M20+R20+W20+AB20+AG20</f>
        <v>0</v>
      </c>
    </row>
    <row r="21" spans="1:39" s="101" customFormat="1" ht="75.75" customHeight="1" x14ac:dyDescent="0.25">
      <c r="A21" s="209"/>
      <c r="B21" s="187"/>
      <c r="C21" s="187"/>
      <c r="D21" s="187"/>
      <c r="E21" s="212"/>
      <c r="F21" s="139" t="s">
        <v>162</v>
      </c>
      <c r="G21" s="139" t="s">
        <v>108</v>
      </c>
      <c r="H21" s="214"/>
      <c r="I21" s="14"/>
      <c r="J21" s="127">
        <v>0.3</v>
      </c>
      <c r="K21" s="127">
        <v>0.2</v>
      </c>
      <c r="L21" s="160"/>
      <c r="M21" s="129"/>
      <c r="N21" s="130"/>
      <c r="O21" s="131">
        <v>0.7</v>
      </c>
      <c r="P21" s="131">
        <v>0</v>
      </c>
      <c r="Q21" s="129"/>
      <c r="R21" s="129"/>
      <c r="S21" s="132"/>
      <c r="T21" s="133">
        <v>0.9</v>
      </c>
      <c r="U21" s="133">
        <v>0</v>
      </c>
      <c r="V21" s="134"/>
      <c r="W21" s="135"/>
      <c r="X21" s="136"/>
      <c r="Y21" s="133">
        <v>1</v>
      </c>
      <c r="Z21" s="133">
        <v>0</v>
      </c>
      <c r="AA21" s="134"/>
      <c r="AB21" s="135"/>
      <c r="AC21" s="136"/>
      <c r="AD21" s="137">
        <v>1</v>
      </c>
      <c r="AE21" s="137">
        <v>0</v>
      </c>
      <c r="AF21" s="134"/>
      <c r="AG21" s="135"/>
      <c r="AH21" s="132"/>
      <c r="AI21" s="137">
        <f>AD21</f>
        <v>1</v>
      </c>
      <c r="AJ21" s="137">
        <f>K21+P21+U21+Z21+AE21</f>
        <v>0.2</v>
      </c>
      <c r="AK21" s="138">
        <f>L21+Q21+V21+AA21+AF21</f>
        <v>0</v>
      </c>
      <c r="AL21" s="138">
        <f>M21+R21+W21+AB21+AG21</f>
        <v>0</v>
      </c>
      <c r="AM21" s="126"/>
    </row>
    <row r="22" spans="1:39" ht="60" x14ac:dyDescent="0.25">
      <c r="A22" s="209"/>
      <c r="B22" s="187"/>
      <c r="C22" s="187"/>
      <c r="D22" s="187"/>
      <c r="E22" s="212"/>
      <c r="F22" s="13" t="s">
        <v>109</v>
      </c>
      <c r="G22" s="13" t="s">
        <v>110</v>
      </c>
      <c r="H22" s="214"/>
      <c r="I22" s="14"/>
      <c r="J22" s="15">
        <v>50</v>
      </c>
      <c r="K22" s="15">
        <v>0</v>
      </c>
      <c r="L22" s="161">
        <f>3162421974/L2</f>
        <v>3162.4219739999999</v>
      </c>
      <c r="M22" s="29">
        <v>2499</v>
      </c>
      <c r="N22" s="23"/>
      <c r="O22" s="15">
        <v>500</v>
      </c>
      <c r="P22" s="15">
        <v>0</v>
      </c>
      <c r="Q22" s="29">
        <f>5500000000/L2</f>
        <v>5500</v>
      </c>
      <c r="R22" s="29"/>
      <c r="S22" s="101"/>
      <c r="T22" s="104">
        <v>500</v>
      </c>
      <c r="U22" s="104">
        <v>0</v>
      </c>
      <c r="V22" s="105">
        <f>5500000000/L2</f>
        <v>5500</v>
      </c>
      <c r="W22" s="107"/>
      <c r="X22" s="102"/>
      <c r="Y22" s="104">
        <v>400</v>
      </c>
      <c r="Z22" s="104">
        <v>0</v>
      </c>
      <c r="AA22" s="105">
        <f>4000000000/L2</f>
        <v>4000</v>
      </c>
      <c r="AB22" s="107"/>
      <c r="AC22" s="102"/>
      <c r="AD22" s="91">
        <v>50</v>
      </c>
      <c r="AE22" s="91">
        <v>0</v>
      </c>
      <c r="AF22" s="105">
        <f>500000000/L2</f>
        <v>500</v>
      </c>
      <c r="AG22" s="107"/>
      <c r="AH22" s="101"/>
      <c r="AI22" s="91">
        <f>J22+O22+T22+Y22+AD22</f>
        <v>1500</v>
      </c>
      <c r="AJ22" s="91">
        <f t="shared" ref="AJ22" si="6">K22+P22+U22+Z22+AE22</f>
        <v>0</v>
      </c>
      <c r="AK22" s="62">
        <f t="shared" ref="AK22" si="7">L22+Q22+V22+AA22+AF22</f>
        <v>18662.421974000001</v>
      </c>
      <c r="AL22" s="62">
        <f t="shared" ref="AL22" si="8">M22+R22+W22+AB22+AG22</f>
        <v>2499</v>
      </c>
    </row>
    <row r="23" spans="1:39" s="101" customFormat="1" ht="75.75" customHeight="1" x14ac:dyDescent="0.25">
      <c r="A23" s="209"/>
      <c r="B23" s="187"/>
      <c r="C23" s="187"/>
      <c r="D23" s="187"/>
      <c r="E23" s="212"/>
      <c r="F23" s="139" t="s">
        <v>164</v>
      </c>
      <c r="G23" s="139" t="s">
        <v>111</v>
      </c>
      <c r="H23" s="214"/>
      <c r="I23" s="14"/>
      <c r="J23" s="127">
        <v>0.2</v>
      </c>
      <c r="K23" s="127">
        <v>0.15</v>
      </c>
      <c r="L23" s="160"/>
      <c r="M23" s="129"/>
      <c r="N23" s="130"/>
      <c r="O23" s="131">
        <v>0.6</v>
      </c>
      <c r="P23" s="131">
        <v>0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0.15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209"/>
      <c r="B24" s="181"/>
      <c r="C24" s="181"/>
      <c r="D24" s="181"/>
      <c r="E24" s="221"/>
      <c r="F24" s="13" t="s">
        <v>112</v>
      </c>
      <c r="G24" s="13" t="s">
        <v>111</v>
      </c>
      <c r="H24" s="214"/>
      <c r="I24" s="14"/>
      <c r="J24" s="26">
        <v>0.2</v>
      </c>
      <c r="K24" s="112">
        <v>0.15</v>
      </c>
      <c r="L24" s="161">
        <f>80000000/L2</f>
        <v>80</v>
      </c>
      <c r="M24" s="29">
        <f>27000000/L2</f>
        <v>27</v>
      </c>
      <c r="N24" s="23"/>
      <c r="O24" s="26">
        <v>0.6</v>
      </c>
      <c r="P24" s="26">
        <v>0</v>
      </c>
      <c r="Q24" s="29">
        <f>4650000000/L2</f>
        <v>4650</v>
      </c>
      <c r="R24" s="29"/>
      <c r="S24" s="101"/>
      <c r="T24" s="140">
        <v>0.8</v>
      </c>
      <c r="U24" s="125">
        <v>0</v>
      </c>
      <c r="V24" s="105">
        <f>4650000000/L2</f>
        <v>4650</v>
      </c>
      <c r="W24" s="106"/>
      <c r="X24" s="102"/>
      <c r="Y24" s="140">
        <v>1</v>
      </c>
      <c r="Z24" s="125">
        <v>0</v>
      </c>
      <c r="AA24" s="105">
        <f>5550000000/L2</f>
        <v>5550</v>
      </c>
      <c r="AB24" s="106"/>
      <c r="AC24" s="102"/>
      <c r="AD24" s="112">
        <v>1</v>
      </c>
      <c r="AE24" s="112">
        <v>0</v>
      </c>
      <c r="AF24" s="105">
        <f>70000000/L2</f>
        <v>70</v>
      </c>
      <c r="AG24" s="106"/>
      <c r="AH24" s="101"/>
      <c r="AI24" s="112">
        <f>AD24</f>
        <v>1</v>
      </c>
      <c r="AJ24" s="112">
        <f t="shared" ref="AJ24" si="9">K24+P24+U24+Z24+AE24</f>
        <v>0.15</v>
      </c>
      <c r="AK24" s="62">
        <f t="shared" ref="AK24" si="10">L24+Q24+V24+AA24+AF24</f>
        <v>15000</v>
      </c>
      <c r="AL24" s="62">
        <f t="shared" ref="AL24" si="11">M24+R24+W24+AB24+AG24</f>
        <v>27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SUM(L18:L24)</f>
        <v>4745.4219739999999</v>
      </c>
      <c r="M25" s="42">
        <f>SUM(M18:M24)</f>
        <v>2729</v>
      </c>
      <c r="N25" s="51"/>
      <c r="O25" s="41"/>
      <c r="P25" s="41"/>
      <c r="Q25" s="42">
        <f>SUM(Q18:Q24)</f>
        <v>15858</v>
      </c>
      <c r="R25" s="42">
        <f>SUM(R18:R24)</f>
        <v>0</v>
      </c>
      <c r="T25" s="41"/>
      <c r="U25" s="41"/>
      <c r="V25" s="42">
        <f>SUM(V18:V24)</f>
        <v>16016</v>
      </c>
      <c r="W25" s="42">
        <f>SUM(W18:W24)</f>
        <v>0</v>
      </c>
      <c r="Y25" s="41"/>
      <c r="Z25" s="41"/>
      <c r="AA25" s="42">
        <f>SUM(AA18:AA24)</f>
        <v>15037</v>
      </c>
      <c r="AB25" s="42">
        <f>SUM(AB18:AB24)</f>
        <v>0</v>
      </c>
      <c r="AC25" s="113"/>
      <c r="AD25" s="41"/>
      <c r="AE25" s="42"/>
      <c r="AF25" s="42">
        <f>SUM(AF18:AF24)</f>
        <v>1294</v>
      </c>
      <c r="AG25" s="42">
        <f>SUM(AG18:AG24)</f>
        <v>0</v>
      </c>
      <c r="AI25" s="97"/>
      <c r="AJ25" s="97"/>
      <c r="AK25" s="64">
        <f>SUM(AK18:AK24)</f>
        <v>52950.421973999997</v>
      </c>
      <c r="AL25" s="64">
        <f>SUM(AL18:AL24)</f>
        <v>2729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16" t="s">
        <v>113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</row>
    <row r="30" spans="1:39" x14ac:dyDescent="0.25">
      <c r="A30" s="142">
        <v>8</v>
      </c>
      <c r="B30" s="6" t="s">
        <v>160</v>
      </c>
      <c r="C30" s="216" t="s">
        <v>161</v>
      </c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</row>
    <row r="31" spans="1:39" x14ac:dyDescent="0.25">
      <c r="A31" s="142">
        <v>19</v>
      </c>
      <c r="B31" s="6" t="s">
        <v>95</v>
      </c>
      <c r="C31" s="216" t="s">
        <v>159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</row>
    <row r="32" spans="1:39" ht="30" x14ac:dyDescent="0.25">
      <c r="A32" s="142">
        <v>3</v>
      </c>
      <c r="B32" s="124" t="s">
        <v>98</v>
      </c>
      <c r="C32" s="216" t="s">
        <v>114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202" t="s">
        <v>2</v>
      </c>
      <c r="B34" s="177" t="s">
        <v>3</v>
      </c>
      <c r="C34" s="218" t="s">
        <v>87</v>
      </c>
      <c r="D34" s="177" t="s">
        <v>67</v>
      </c>
      <c r="E34" s="218" t="s">
        <v>174</v>
      </c>
      <c r="F34" s="199" t="s">
        <v>101</v>
      </c>
      <c r="G34" s="220" t="s">
        <v>90</v>
      </c>
      <c r="H34" s="172" t="s">
        <v>175</v>
      </c>
      <c r="I34" s="10"/>
      <c r="J34" s="172">
        <v>2020</v>
      </c>
      <c r="K34" s="172"/>
      <c r="L34" s="172"/>
      <c r="M34" s="172"/>
      <c r="N34" s="10"/>
      <c r="O34" s="172">
        <v>2021</v>
      </c>
      <c r="P34" s="172"/>
      <c r="Q34" s="172"/>
      <c r="R34" s="172"/>
      <c r="T34" s="172">
        <v>2022</v>
      </c>
      <c r="U34" s="172"/>
      <c r="V34" s="172"/>
      <c r="W34" s="172"/>
      <c r="Y34" s="172">
        <v>2023</v>
      </c>
      <c r="Z34" s="172"/>
      <c r="AA34" s="172"/>
      <c r="AB34" s="172"/>
      <c r="AD34" s="173">
        <v>2024</v>
      </c>
      <c r="AE34" s="174"/>
      <c r="AF34" s="174"/>
      <c r="AG34" s="174"/>
      <c r="AI34" s="217" t="s">
        <v>102</v>
      </c>
      <c r="AJ34" s="217"/>
      <c r="AK34" s="217"/>
      <c r="AL34" s="217"/>
      <c r="AM34" s="99"/>
    </row>
    <row r="35" spans="1:39" s="11" customFormat="1" ht="16.5" customHeight="1" x14ac:dyDescent="0.25">
      <c r="A35" s="203"/>
      <c r="B35" s="178"/>
      <c r="C35" s="200"/>
      <c r="D35" s="178"/>
      <c r="E35" s="200"/>
      <c r="F35" s="200"/>
      <c r="G35" s="220"/>
      <c r="H35" s="172"/>
      <c r="I35" s="10"/>
      <c r="J35" s="171" t="s">
        <v>4</v>
      </c>
      <c r="K35" s="171"/>
      <c r="L35" s="171" t="s">
        <v>61</v>
      </c>
      <c r="M35" s="171"/>
      <c r="N35" s="10"/>
      <c r="O35" s="171" t="s">
        <v>6</v>
      </c>
      <c r="P35" s="171"/>
      <c r="Q35" s="171" t="s">
        <v>8</v>
      </c>
      <c r="R35" s="171"/>
      <c r="S35" s="10"/>
      <c r="T35" s="171" t="s">
        <v>7</v>
      </c>
      <c r="U35" s="171"/>
      <c r="V35" s="171" t="s">
        <v>8</v>
      </c>
      <c r="W35" s="171"/>
      <c r="Y35" s="171" t="s">
        <v>7</v>
      </c>
      <c r="Z35" s="171"/>
      <c r="AA35" s="171" t="s">
        <v>8</v>
      </c>
      <c r="AB35" s="171"/>
      <c r="AD35" s="171" t="s">
        <v>7</v>
      </c>
      <c r="AE35" s="171"/>
      <c r="AF35" s="171" t="s">
        <v>8</v>
      </c>
      <c r="AG35" s="171"/>
      <c r="AI35" s="175" t="s">
        <v>4</v>
      </c>
      <c r="AJ35" s="175" t="s">
        <v>66</v>
      </c>
      <c r="AK35" s="175" t="s">
        <v>8</v>
      </c>
      <c r="AL35" s="175" t="s">
        <v>5</v>
      </c>
      <c r="AM35" s="99"/>
    </row>
    <row r="36" spans="1:39" s="11" customFormat="1" ht="33" x14ac:dyDescent="0.25">
      <c r="A36" s="204"/>
      <c r="B36" s="179"/>
      <c r="C36" s="219"/>
      <c r="D36" s="179"/>
      <c r="E36" s="219"/>
      <c r="F36" s="201"/>
      <c r="G36" s="220"/>
      <c r="H36" s="172"/>
      <c r="I36" s="12"/>
      <c r="J36" s="155" t="s">
        <v>59</v>
      </c>
      <c r="K36" s="117" t="s">
        <v>60</v>
      </c>
      <c r="L36" s="159" t="s">
        <v>62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176"/>
      <c r="AJ36" s="176"/>
      <c r="AK36" s="176"/>
      <c r="AL36" s="176"/>
      <c r="AM36" s="99"/>
    </row>
    <row r="37" spans="1:39" ht="75.75" customHeight="1" x14ac:dyDescent="0.25">
      <c r="A37" s="208" t="s">
        <v>115</v>
      </c>
      <c r="B37" s="180" t="s">
        <v>116</v>
      </c>
      <c r="C37" s="180" t="s">
        <v>117</v>
      </c>
      <c r="D37" s="180" t="s">
        <v>155</v>
      </c>
      <c r="E37" s="211" t="str">
        <f>C30</f>
        <v xml:space="preserve">Aumentar el acceso a vivienda digna, espacio público y equipamientos de la población vulnerable en suelo urbano y rural </v>
      </c>
      <c r="F37" s="139" t="s">
        <v>165</v>
      </c>
      <c r="G37" s="139" t="s">
        <v>91</v>
      </c>
      <c r="H37" s="213" t="str">
        <f>C32</f>
        <v>Sistema Distrital de cuidado</v>
      </c>
      <c r="I37" s="14"/>
      <c r="J37" s="128">
        <v>300</v>
      </c>
      <c r="K37" s="128">
        <v>248</v>
      </c>
      <c r="L37" s="160"/>
      <c r="M37" s="129"/>
      <c r="N37" s="130"/>
      <c r="O37" s="145">
        <v>600</v>
      </c>
      <c r="P37" s="145">
        <v>0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2">J37+O37+T37+Y37+AD37</f>
        <v>2400</v>
      </c>
      <c r="AJ37" s="147">
        <f t="shared" si="12"/>
        <v>248</v>
      </c>
      <c r="AK37" s="138">
        <f t="shared" si="12"/>
        <v>0</v>
      </c>
      <c r="AL37" s="138">
        <f t="shared" si="12"/>
        <v>0</v>
      </c>
      <c r="AM37" s="100"/>
    </row>
    <row r="38" spans="1:39" ht="75.75" customHeight="1" x14ac:dyDescent="0.25">
      <c r="A38" s="209"/>
      <c r="B38" s="187"/>
      <c r="C38" s="187"/>
      <c r="D38" s="187"/>
      <c r="E38" s="212"/>
      <c r="F38" s="13" t="s">
        <v>118</v>
      </c>
      <c r="G38" s="13" t="s">
        <v>91</v>
      </c>
      <c r="H38" s="214"/>
      <c r="I38" s="14"/>
      <c r="J38" s="108">
        <v>300</v>
      </c>
      <c r="K38" s="108">
        <v>273</v>
      </c>
      <c r="L38" s="163">
        <v>2448</v>
      </c>
      <c r="M38" s="29">
        <v>1588</v>
      </c>
      <c r="N38" s="23"/>
      <c r="O38" s="15">
        <v>600</v>
      </c>
      <c r="P38" s="15">
        <v>0</v>
      </c>
      <c r="Q38" s="29">
        <f>3775257731/L2</f>
        <v>3775.2577310000001</v>
      </c>
      <c r="R38" s="29"/>
      <c r="S38" s="101"/>
      <c r="T38" s="104">
        <v>600</v>
      </c>
      <c r="U38" s="104">
        <v>0</v>
      </c>
      <c r="V38" s="29">
        <f>3775257731/L2</f>
        <v>3775.2577310000001</v>
      </c>
      <c r="W38" s="106"/>
      <c r="X38" s="102"/>
      <c r="Y38" s="104">
        <v>600</v>
      </c>
      <c r="Z38" s="104">
        <v>0</v>
      </c>
      <c r="AA38" s="29">
        <f>3775257731/L2</f>
        <v>3775.2577310000001</v>
      </c>
      <c r="AB38" s="106"/>
      <c r="AC38" s="102"/>
      <c r="AD38" s="91">
        <v>300</v>
      </c>
      <c r="AE38" s="91">
        <v>0</v>
      </c>
      <c r="AF38" s="105">
        <f>1887628865/L2</f>
        <v>1887.6288649999999</v>
      </c>
      <c r="AG38" s="106"/>
      <c r="AH38" s="101"/>
      <c r="AI38" s="91">
        <f t="shared" si="12"/>
        <v>2400</v>
      </c>
      <c r="AJ38" s="91">
        <f t="shared" si="12"/>
        <v>273</v>
      </c>
      <c r="AK38" s="62">
        <f t="shared" si="12"/>
        <v>15661.402058</v>
      </c>
      <c r="AL38" s="62">
        <f t="shared" si="12"/>
        <v>1588</v>
      </c>
      <c r="AM38" s="100"/>
    </row>
    <row r="39" spans="1:39" ht="39.75" customHeight="1" x14ac:dyDescent="0.25">
      <c r="A39" s="209"/>
      <c r="B39" s="187"/>
      <c r="C39" s="187"/>
      <c r="D39" s="187"/>
      <c r="E39" s="212"/>
      <c r="F39" s="13" t="s">
        <v>119</v>
      </c>
      <c r="G39" s="13" t="s">
        <v>120</v>
      </c>
      <c r="H39" s="214"/>
      <c r="I39" s="14"/>
      <c r="J39" s="15">
        <v>1</v>
      </c>
      <c r="K39" s="15">
        <v>1</v>
      </c>
      <c r="L39" s="161">
        <v>2.35</v>
      </c>
      <c r="M39" s="167">
        <v>1.1499999999999999</v>
      </c>
      <c r="N39" s="23"/>
      <c r="O39" s="15">
        <v>1</v>
      </c>
      <c r="P39" s="15">
        <v>0</v>
      </c>
      <c r="Q39" s="29">
        <f>711330074/L2</f>
        <v>711.33007399999997</v>
      </c>
      <c r="R39" s="29"/>
      <c r="S39" s="101"/>
      <c r="T39" s="104">
        <v>1</v>
      </c>
      <c r="U39" s="104">
        <v>0</v>
      </c>
      <c r="V39" s="29">
        <f>711330074/L2</f>
        <v>711.33007399999997</v>
      </c>
      <c r="W39" s="107"/>
      <c r="X39" s="102"/>
      <c r="Y39" s="104">
        <v>1</v>
      </c>
      <c r="Z39" s="104">
        <v>0</v>
      </c>
      <c r="AA39" s="105">
        <f>1066995111/L2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3">K39+P39+U39+Z39+AE39</f>
        <v>1</v>
      </c>
      <c r="AK39" s="62">
        <f t="shared" ref="AK39:AK40" si="14">L39+Q39+V39+AA39+AF39</f>
        <v>2492.0052589999996</v>
      </c>
      <c r="AL39" s="62">
        <f t="shared" ref="AL39:AL40" si="15">M39+R39+W39+AB39+AG39</f>
        <v>1.1499999999999999</v>
      </c>
    </row>
    <row r="40" spans="1:39" ht="43.5" customHeight="1" x14ac:dyDescent="0.25">
      <c r="A40" s="209"/>
      <c r="B40" s="187"/>
      <c r="C40" s="187"/>
      <c r="D40" s="187"/>
      <c r="E40" s="212"/>
      <c r="F40" s="13" t="s">
        <v>121</v>
      </c>
      <c r="G40" s="13" t="s">
        <v>122</v>
      </c>
      <c r="H40" s="214"/>
      <c r="I40" s="14"/>
      <c r="J40" s="15">
        <v>1</v>
      </c>
      <c r="K40" s="15">
        <v>1</v>
      </c>
      <c r="L40" s="161">
        <v>2012</v>
      </c>
      <c r="M40" s="29">
        <v>1741</v>
      </c>
      <c r="N40" s="23"/>
      <c r="O40" s="15">
        <v>1</v>
      </c>
      <c r="P40" s="15">
        <v>0</v>
      </c>
      <c r="Q40" s="29">
        <f>834198124/L2</f>
        <v>834.19812400000001</v>
      </c>
      <c r="R40" s="29"/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3"/>
        <v>1</v>
      </c>
      <c r="AK40" s="62">
        <f t="shared" si="14"/>
        <v>2846.198124</v>
      </c>
      <c r="AL40" s="62">
        <f t="shared" si="15"/>
        <v>1741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4462.3500000000004</v>
      </c>
      <c r="M41" s="42">
        <f>SUM(M37:M40)</f>
        <v>3330.15</v>
      </c>
      <c r="N41" s="51"/>
      <c r="O41" s="41"/>
      <c r="P41" s="41"/>
      <c r="Q41" s="42">
        <f>SUM(Q37:Q40)</f>
        <v>5320.7859289999997</v>
      </c>
      <c r="R41" s="42">
        <f>SUM(R37:R40)</f>
        <v>0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20999.605440999996</v>
      </c>
      <c r="AL41" s="64">
        <f>SUM(AL37:AL40)</f>
        <v>3330.15</v>
      </c>
      <c r="AM41" s="99"/>
    </row>
    <row r="43" spans="1:39" s="5" customFormat="1" ht="15.75" customHeight="1" x14ac:dyDescent="0.2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16" t="s">
        <v>166</v>
      </c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</row>
    <row r="46" spans="1:39" x14ac:dyDescent="0.25">
      <c r="A46" s="142">
        <v>15</v>
      </c>
      <c r="B46" s="6" t="s">
        <v>160</v>
      </c>
      <c r="C46" s="216" t="s">
        <v>167</v>
      </c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</row>
    <row r="47" spans="1:39" x14ac:dyDescent="0.25">
      <c r="A47" s="142">
        <v>29</v>
      </c>
      <c r="B47" s="6" t="s">
        <v>95</v>
      </c>
      <c r="C47" s="216" t="s">
        <v>168</v>
      </c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</row>
    <row r="48" spans="1:39" ht="30" x14ac:dyDescent="0.25">
      <c r="A48" s="142">
        <v>3</v>
      </c>
      <c r="B48" s="124" t="s">
        <v>98</v>
      </c>
      <c r="C48" s="216" t="s">
        <v>114</v>
      </c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</row>
    <row r="50" spans="1:39" s="11" customFormat="1" ht="27" customHeight="1" x14ac:dyDescent="0.25">
      <c r="A50" s="202" t="s">
        <v>2</v>
      </c>
      <c r="B50" s="177" t="s">
        <v>3</v>
      </c>
      <c r="C50" s="218" t="s">
        <v>87</v>
      </c>
      <c r="D50" s="177" t="s">
        <v>67</v>
      </c>
      <c r="E50" s="218" t="s">
        <v>174</v>
      </c>
      <c r="F50" s="199" t="s">
        <v>101</v>
      </c>
      <c r="G50" s="220" t="s">
        <v>90</v>
      </c>
      <c r="H50" s="172" t="s">
        <v>175</v>
      </c>
      <c r="I50" s="10"/>
      <c r="J50" s="172">
        <v>2020</v>
      </c>
      <c r="K50" s="172"/>
      <c r="L50" s="172"/>
      <c r="M50" s="172"/>
      <c r="N50" s="10"/>
      <c r="O50" s="172">
        <v>2021</v>
      </c>
      <c r="P50" s="172"/>
      <c r="Q50" s="172"/>
      <c r="R50" s="172"/>
      <c r="T50" s="172">
        <v>2022</v>
      </c>
      <c r="U50" s="172"/>
      <c r="V50" s="172"/>
      <c r="W50" s="172"/>
      <c r="Y50" s="172">
        <v>2023</v>
      </c>
      <c r="Z50" s="172"/>
      <c r="AA50" s="172"/>
      <c r="AB50" s="172"/>
      <c r="AD50" s="173">
        <v>2024</v>
      </c>
      <c r="AE50" s="174"/>
      <c r="AF50" s="174"/>
      <c r="AG50" s="174"/>
      <c r="AI50" s="217" t="s">
        <v>102</v>
      </c>
      <c r="AJ50" s="217"/>
      <c r="AK50" s="217"/>
      <c r="AL50" s="217"/>
      <c r="AM50" s="99"/>
    </row>
    <row r="51" spans="1:39" s="11" customFormat="1" ht="16.5" customHeight="1" x14ac:dyDescent="0.25">
      <c r="A51" s="203"/>
      <c r="B51" s="178"/>
      <c r="C51" s="200"/>
      <c r="D51" s="178"/>
      <c r="E51" s="200"/>
      <c r="F51" s="200"/>
      <c r="G51" s="220"/>
      <c r="H51" s="172"/>
      <c r="I51" s="10"/>
      <c r="J51" s="171" t="s">
        <v>4</v>
      </c>
      <c r="K51" s="171"/>
      <c r="L51" s="171" t="s">
        <v>61</v>
      </c>
      <c r="M51" s="171"/>
      <c r="N51" s="10"/>
      <c r="O51" s="171" t="s">
        <v>6</v>
      </c>
      <c r="P51" s="171"/>
      <c r="Q51" s="171" t="s">
        <v>8</v>
      </c>
      <c r="R51" s="171"/>
      <c r="S51" s="10"/>
      <c r="T51" s="171" t="s">
        <v>7</v>
      </c>
      <c r="U51" s="171"/>
      <c r="V51" s="171" t="s">
        <v>8</v>
      </c>
      <c r="W51" s="171"/>
      <c r="Y51" s="171" t="s">
        <v>7</v>
      </c>
      <c r="Z51" s="171"/>
      <c r="AA51" s="171" t="s">
        <v>8</v>
      </c>
      <c r="AB51" s="171"/>
      <c r="AD51" s="171" t="s">
        <v>7</v>
      </c>
      <c r="AE51" s="171"/>
      <c r="AF51" s="171" t="s">
        <v>8</v>
      </c>
      <c r="AG51" s="171"/>
      <c r="AI51" s="175" t="s">
        <v>4</v>
      </c>
      <c r="AJ51" s="175" t="s">
        <v>66</v>
      </c>
      <c r="AK51" s="175" t="s">
        <v>8</v>
      </c>
      <c r="AL51" s="175" t="s">
        <v>5</v>
      </c>
      <c r="AM51" s="99"/>
    </row>
    <row r="52" spans="1:39" s="11" customFormat="1" ht="33" x14ac:dyDescent="0.25">
      <c r="A52" s="204"/>
      <c r="B52" s="179"/>
      <c r="C52" s="219"/>
      <c r="D52" s="179"/>
      <c r="E52" s="219"/>
      <c r="F52" s="201"/>
      <c r="G52" s="220"/>
      <c r="H52" s="172"/>
      <c r="I52" s="12"/>
      <c r="J52" s="155" t="s">
        <v>59</v>
      </c>
      <c r="K52" s="117" t="s">
        <v>60</v>
      </c>
      <c r="L52" s="159" t="s">
        <v>62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176"/>
      <c r="AJ52" s="176"/>
      <c r="AK52" s="176"/>
      <c r="AL52" s="176"/>
      <c r="AM52" s="99"/>
    </row>
    <row r="53" spans="1:39" ht="75.75" customHeight="1" x14ac:dyDescent="0.25">
      <c r="A53" s="208" t="s">
        <v>123</v>
      </c>
      <c r="B53" s="180" t="s">
        <v>125</v>
      </c>
      <c r="C53" s="180" t="s">
        <v>124</v>
      </c>
      <c r="D53" s="180" t="s">
        <v>156</v>
      </c>
      <c r="E53" s="211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13" t="str">
        <f>C48</f>
        <v>Sistema Distrital de cuidado</v>
      </c>
      <c r="I53" s="14"/>
      <c r="J53" s="128">
        <v>174</v>
      </c>
      <c r="K53" s="128">
        <v>385</v>
      </c>
      <c r="L53" s="160"/>
      <c r="M53" s="129"/>
      <c r="N53" s="130"/>
      <c r="O53" s="145">
        <v>431</v>
      </c>
      <c r="P53" s="145">
        <v>0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385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209"/>
      <c r="B54" s="187"/>
      <c r="C54" s="187"/>
      <c r="D54" s="187"/>
      <c r="E54" s="212"/>
      <c r="F54" s="13" t="s">
        <v>128</v>
      </c>
      <c r="G54" s="13" t="s">
        <v>129</v>
      </c>
      <c r="H54" s="214"/>
      <c r="I54" s="14"/>
      <c r="J54" s="15">
        <v>115</v>
      </c>
      <c r="K54" s="91">
        <v>26</v>
      </c>
      <c r="L54" s="161">
        <v>6129</v>
      </c>
      <c r="M54" s="29">
        <v>2046</v>
      </c>
      <c r="N54" s="23"/>
      <c r="O54" s="15">
        <v>546</v>
      </c>
      <c r="P54" s="15">
        <v>0</v>
      </c>
      <c r="Q54" s="29">
        <f>37971796433/L2</f>
        <v>37971.796433000003</v>
      </c>
      <c r="R54" s="29"/>
      <c r="S54" s="101"/>
      <c r="T54" s="104">
        <v>380</v>
      </c>
      <c r="U54" s="114">
        <v>0</v>
      </c>
      <c r="V54" s="105">
        <f>27751588009/L2</f>
        <v>27751.588008999999</v>
      </c>
      <c r="W54" s="106"/>
      <c r="X54" s="102"/>
      <c r="Y54" s="104">
        <v>121</v>
      </c>
      <c r="Z54" s="114">
        <v>0</v>
      </c>
      <c r="AA54" s="105">
        <f>9450198251/L2</f>
        <v>9450.1982509999998</v>
      </c>
      <c r="AB54" s="106"/>
      <c r="AC54" s="102"/>
      <c r="AD54" s="91">
        <v>61</v>
      </c>
      <c r="AE54" s="91">
        <v>0</v>
      </c>
      <c r="AF54" s="105">
        <f>4884785264/L2</f>
        <v>4884.7852640000001</v>
      </c>
      <c r="AG54" s="106"/>
      <c r="AH54" s="101"/>
      <c r="AI54" s="91">
        <f>J54+O54+T54+Y54+AD54</f>
        <v>1223</v>
      </c>
      <c r="AJ54" s="91">
        <f t="shared" ref="AJ54:AJ56" si="16">K54+P54+U54+Z54+AE54</f>
        <v>26</v>
      </c>
      <c r="AK54" s="62">
        <f t="shared" ref="AK54:AK56" si="17">L54+Q54+V54+AA54+AF54</f>
        <v>86187.367957000009</v>
      </c>
      <c r="AL54" s="62">
        <f t="shared" ref="AL54:AL56" si="18">M54+R54+W54+AB54+AG54</f>
        <v>2046</v>
      </c>
      <c r="AM54" s="100"/>
    </row>
    <row r="55" spans="1:39" ht="66.75" customHeight="1" x14ac:dyDescent="0.25">
      <c r="A55" s="209"/>
      <c r="B55" s="187"/>
      <c r="C55" s="187"/>
      <c r="D55" s="187"/>
      <c r="E55" s="212"/>
      <c r="F55" s="13" t="s">
        <v>130</v>
      </c>
      <c r="G55" s="13" t="s">
        <v>131</v>
      </c>
      <c r="H55" s="214"/>
      <c r="I55" s="14"/>
      <c r="J55" s="15">
        <v>13</v>
      </c>
      <c r="K55" s="15">
        <v>6</v>
      </c>
      <c r="L55" s="161">
        <v>2994</v>
      </c>
      <c r="M55" s="29">
        <v>1343</v>
      </c>
      <c r="N55" s="23"/>
      <c r="O55" s="15">
        <v>30</v>
      </c>
      <c r="P55" s="15">
        <v>0</v>
      </c>
      <c r="Q55" s="29">
        <f>2964295696/L2</f>
        <v>2964.2956960000001</v>
      </c>
      <c r="R55" s="29"/>
      <c r="S55" s="101"/>
      <c r="T55" s="104">
        <v>30</v>
      </c>
      <c r="U55" s="104">
        <v>0</v>
      </c>
      <c r="V55" s="105">
        <f>2860993107/L2</f>
        <v>2860.9931069999998</v>
      </c>
      <c r="W55" s="107"/>
      <c r="X55" s="102"/>
      <c r="Y55" s="104">
        <v>30</v>
      </c>
      <c r="Z55" s="104">
        <v>0</v>
      </c>
      <c r="AA55" s="105">
        <f>2052811543/L2</f>
        <v>2052.8115429999998</v>
      </c>
      <c r="AB55" s="107"/>
      <c r="AC55" s="102"/>
      <c r="AD55" s="91">
        <v>13</v>
      </c>
      <c r="AE55" s="91">
        <v>0</v>
      </c>
      <c r="AF55" s="105">
        <f>877832415/L2</f>
        <v>877.83241499999997</v>
      </c>
      <c r="AG55" s="107"/>
      <c r="AH55" s="101"/>
      <c r="AI55" s="91">
        <f>J55+O55+T55+Y55+AD55</f>
        <v>116</v>
      </c>
      <c r="AJ55" s="91">
        <f t="shared" si="16"/>
        <v>6</v>
      </c>
      <c r="AK55" s="62">
        <f t="shared" si="17"/>
        <v>11749.932761</v>
      </c>
      <c r="AL55" s="62">
        <f t="shared" si="18"/>
        <v>1343</v>
      </c>
    </row>
    <row r="56" spans="1:39" ht="43.5" customHeight="1" x14ac:dyDescent="0.25">
      <c r="A56" s="209"/>
      <c r="B56" s="187"/>
      <c r="C56" s="187"/>
      <c r="D56" s="187"/>
      <c r="E56" s="212"/>
      <c r="F56" s="13" t="s">
        <v>132</v>
      </c>
      <c r="G56" s="13" t="s">
        <v>133</v>
      </c>
      <c r="H56" s="214"/>
      <c r="I56" s="14"/>
      <c r="J56" s="15">
        <v>1552</v>
      </c>
      <c r="K56" s="15">
        <v>1479</v>
      </c>
      <c r="L56" s="161">
        <f>4199418674/L2</f>
        <v>4199.4186739999996</v>
      </c>
      <c r="M56" s="29">
        <v>3324</v>
      </c>
      <c r="N56" s="23"/>
      <c r="O56" s="15">
        <v>2043</v>
      </c>
      <c r="P56" s="15">
        <v>0</v>
      </c>
      <c r="Q56" s="29">
        <f>6703482643/L2</f>
        <v>6703.4826430000003</v>
      </c>
      <c r="R56" s="29"/>
      <c r="S56" s="101"/>
      <c r="T56" s="104">
        <v>2385</v>
      </c>
      <c r="U56" s="104">
        <v>0</v>
      </c>
      <c r="V56" s="105">
        <f>5305608511/L2</f>
        <v>5305.6085110000004</v>
      </c>
      <c r="W56" s="105"/>
      <c r="X56" s="102"/>
      <c r="Y56" s="104">
        <v>2495</v>
      </c>
      <c r="Z56" s="104">
        <v>0</v>
      </c>
      <c r="AA56" s="105">
        <f>2795701646/L2</f>
        <v>2795.701646</v>
      </c>
      <c r="AB56" s="105"/>
      <c r="AC56" s="102"/>
      <c r="AD56" s="91">
        <v>2550</v>
      </c>
      <c r="AE56" s="91">
        <v>0</v>
      </c>
      <c r="AF56" s="105">
        <f>943311875/L2</f>
        <v>943.31187499999999</v>
      </c>
      <c r="AG56" s="105"/>
      <c r="AH56" s="101"/>
      <c r="AI56" s="91">
        <f>AD56</f>
        <v>2550</v>
      </c>
      <c r="AJ56" s="91">
        <f t="shared" si="16"/>
        <v>1479</v>
      </c>
      <c r="AK56" s="62">
        <f t="shared" si="17"/>
        <v>19947.523348999999</v>
      </c>
      <c r="AL56" s="62">
        <f t="shared" si="18"/>
        <v>3324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13322.418674</v>
      </c>
      <c r="M57" s="42">
        <f>SUM(M53:M56)</f>
        <v>6713</v>
      </c>
      <c r="N57" s="51"/>
      <c r="O57" s="41"/>
      <c r="P57" s="41"/>
      <c r="Q57" s="42">
        <f>SUM(Q53:Q56)</f>
        <v>47639.574772000007</v>
      </c>
      <c r="R57" s="42">
        <f>SUM(R53:R56)</f>
        <v>0</v>
      </c>
      <c r="T57" s="41"/>
      <c r="U57" s="41"/>
      <c r="V57" s="42">
        <f>SUM(V53:V56)</f>
        <v>35918.189627</v>
      </c>
      <c r="W57" s="42">
        <f>SUM(W53:W56)</f>
        <v>0</v>
      </c>
      <c r="Y57" s="41"/>
      <c r="Z57" s="41"/>
      <c r="AA57" s="42">
        <f>SUM(AA53:AA56)</f>
        <v>14298.711439999999</v>
      </c>
      <c r="AB57" s="42">
        <f>SUM(AB53:AB56)</f>
        <v>0</v>
      </c>
      <c r="AC57" s="113"/>
      <c r="AD57" s="41"/>
      <c r="AE57" s="42"/>
      <c r="AF57" s="42">
        <f>SUM(AF53:AF56)</f>
        <v>6705.9295540000003</v>
      </c>
      <c r="AG57" s="42">
        <f>SUM(AG53:AG56)</f>
        <v>0</v>
      </c>
      <c r="AI57" s="97"/>
      <c r="AJ57" s="97"/>
      <c r="AK57" s="64">
        <f>SUM(AK53:AK56)</f>
        <v>117884.82406700001</v>
      </c>
      <c r="AL57" s="64">
        <f>SUM(AL53:AL56)</f>
        <v>6713</v>
      </c>
      <c r="AM57" s="99"/>
    </row>
    <row r="59" spans="1:39" s="5" customFormat="1" ht="15.75" customHeight="1" x14ac:dyDescent="0.2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16" t="s">
        <v>113</v>
      </c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</row>
    <row r="62" spans="1:39" x14ac:dyDescent="0.25">
      <c r="A62" s="142">
        <v>8</v>
      </c>
      <c r="B62" s="6" t="s">
        <v>160</v>
      </c>
      <c r="C62" s="216" t="s">
        <v>161</v>
      </c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</row>
    <row r="63" spans="1:39" x14ac:dyDescent="0.25">
      <c r="A63" s="142">
        <v>19</v>
      </c>
      <c r="B63" s="6" t="s">
        <v>95</v>
      </c>
      <c r="C63" s="216" t="s">
        <v>159</v>
      </c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216"/>
    </row>
    <row r="64" spans="1:39" ht="30" x14ac:dyDescent="0.25">
      <c r="A64" s="142">
        <v>3</v>
      </c>
      <c r="B64" s="124" t="s">
        <v>98</v>
      </c>
      <c r="C64" s="216" t="s">
        <v>114</v>
      </c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</row>
    <row r="66" spans="1:39" s="11" customFormat="1" ht="27" customHeight="1" x14ac:dyDescent="0.25">
      <c r="A66" s="202" t="s">
        <v>2</v>
      </c>
      <c r="B66" s="177" t="s">
        <v>3</v>
      </c>
      <c r="C66" s="218" t="s">
        <v>87</v>
      </c>
      <c r="D66" s="177" t="s">
        <v>67</v>
      </c>
      <c r="E66" s="218" t="s">
        <v>174</v>
      </c>
      <c r="F66" s="199" t="s">
        <v>101</v>
      </c>
      <c r="G66" s="220" t="s">
        <v>90</v>
      </c>
      <c r="H66" s="172" t="s">
        <v>175</v>
      </c>
      <c r="I66" s="10"/>
      <c r="J66" s="172">
        <v>2020</v>
      </c>
      <c r="K66" s="172"/>
      <c r="L66" s="172"/>
      <c r="M66" s="172"/>
      <c r="N66" s="10"/>
      <c r="O66" s="172">
        <v>2021</v>
      </c>
      <c r="P66" s="172"/>
      <c r="Q66" s="172"/>
      <c r="R66" s="172"/>
      <c r="T66" s="172">
        <v>2022</v>
      </c>
      <c r="U66" s="172"/>
      <c r="V66" s="172"/>
      <c r="W66" s="172"/>
      <c r="Y66" s="172">
        <v>2023</v>
      </c>
      <c r="Z66" s="172"/>
      <c r="AA66" s="172"/>
      <c r="AB66" s="172"/>
      <c r="AD66" s="173">
        <v>2024</v>
      </c>
      <c r="AE66" s="174"/>
      <c r="AF66" s="174"/>
      <c r="AG66" s="174"/>
      <c r="AI66" s="217" t="s">
        <v>102</v>
      </c>
      <c r="AJ66" s="217"/>
      <c r="AK66" s="217"/>
      <c r="AL66" s="217"/>
      <c r="AM66" s="99"/>
    </row>
    <row r="67" spans="1:39" s="11" customFormat="1" ht="16.5" customHeight="1" x14ac:dyDescent="0.25">
      <c r="A67" s="203"/>
      <c r="B67" s="178"/>
      <c r="C67" s="200"/>
      <c r="D67" s="178"/>
      <c r="E67" s="200"/>
      <c r="F67" s="200"/>
      <c r="G67" s="220"/>
      <c r="H67" s="172"/>
      <c r="I67" s="10"/>
      <c r="J67" s="171" t="s">
        <v>4</v>
      </c>
      <c r="K67" s="171"/>
      <c r="L67" s="171" t="s">
        <v>61</v>
      </c>
      <c r="M67" s="171"/>
      <c r="N67" s="10"/>
      <c r="O67" s="171" t="s">
        <v>6</v>
      </c>
      <c r="P67" s="171"/>
      <c r="Q67" s="171" t="s">
        <v>8</v>
      </c>
      <c r="R67" s="171"/>
      <c r="S67" s="10"/>
      <c r="T67" s="171" t="s">
        <v>7</v>
      </c>
      <c r="U67" s="171"/>
      <c r="V67" s="171" t="s">
        <v>8</v>
      </c>
      <c r="W67" s="171"/>
      <c r="Y67" s="171" t="s">
        <v>7</v>
      </c>
      <c r="Z67" s="171"/>
      <c r="AA67" s="171" t="s">
        <v>8</v>
      </c>
      <c r="AB67" s="171"/>
      <c r="AD67" s="171" t="s">
        <v>7</v>
      </c>
      <c r="AE67" s="171"/>
      <c r="AF67" s="171" t="s">
        <v>8</v>
      </c>
      <c r="AG67" s="171"/>
      <c r="AI67" s="175" t="s">
        <v>4</v>
      </c>
      <c r="AJ67" s="175" t="s">
        <v>66</v>
      </c>
      <c r="AK67" s="175" t="s">
        <v>8</v>
      </c>
      <c r="AL67" s="175" t="s">
        <v>5</v>
      </c>
      <c r="AM67" s="99"/>
    </row>
    <row r="68" spans="1:39" s="11" customFormat="1" ht="33" x14ac:dyDescent="0.25">
      <c r="A68" s="204"/>
      <c r="B68" s="179"/>
      <c r="C68" s="219"/>
      <c r="D68" s="179"/>
      <c r="E68" s="219"/>
      <c r="F68" s="201"/>
      <c r="G68" s="220"/>
      <c r="H68" s="172"/>
      <c r="I68" s="12"/>
      <c r="J68" s="155" t="s">
        <v>59</v>
      </c>
      <c r="K68" s="117" t="s">
        <v>60</v>
      </c>
      <c r="L68" s="159" t="s">
        <v>62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176"/>
      <c r="AJ68" s="176"/>
      <c r="AK68" s="176"/>
      <c r="AL68" s="176"/>
      <c r="AM68" s="99"/>
    </row>
    <row r="69" spans="1:39" ht="75.75" customHeight="1" x14ac:dyDescent="0.25">
      <c r="A69" s="208" t="s">
        <v>134</v>
      </c>
      <c r="B69" s="180" t="s">
        <v>135</v>
      </c>
      <c r="C69" s="180" t="s">
        <v>88</v>
      </c>
      <c r="D69" s="180" t="s">
        <v>157</v>
      </c>
      <c r="E69" s="211" t="str">
        <f>C62</f>
        <v xml:space="preserve">Aumentar el acceso a vivienda digna, espacio público y equipamientos de la población vulnerable en suelo urbano y rural </v>
      </c>
      <c r="F69" s="139" t="s">
        <v>171</v>
      </c>
      <c r="G69" s="139" t="s">
        <v>136</v>
      </c>
      <c r="H69" s="213" t="str">
        <f>C64</f>
        <v>Sistema Distrital de cuidado</v>
      </c>
      <c r="I69" s="14"/>
      <c r="J69" s="149">
        <v>305.60000000000002</v>
      </c>
      <c r="K69" s="128">
        <v>0</v>
      </c>
      <c r="L69" s="160"/>
      <c r="M69" s="129"/>
      <c r="N69" s="130"/>
      <c r="O69" s="145">
        <v>19694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89999.6</v>
      </c>
      <c r="AJ69" s="147">
        <f>K69+P69+U69+Z69+AE69</f>
        <v>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209"/>
      <c r="B70" s="187"/>
      <c r="C70" s="187"/>
      <c r="D70" s="187"/>
      <c r="E70" s="212"/>
      <c r="F70" s="13" t="s">
        <v>137</v>
      </c>
      <c r="G70" s="13" t="s">
        <v>138</v>
      </c>
      <c r="H70" s="214"/>
      <c r="I70" s="14"/>
      <c r="J70" s="148">
        <v>305.60000000000002</v>
      </c>
      <c r="K70" s="108">
        <v>0</v>
      </c>
      <c r="L70" s="163">
        <f>3602795429/L2</f>
        <v>3602.7954289999998</v>
      </c>
      <c r="M70" s="29">
        <v>2069</v>
      </c>
      <c r="N70" s="23"/>
      <c r="O70" s="170">
        <v>19694.400000000001</v>
      </c>
      <c r="P70" s="15">
        <v>0</v>
      </c>
      <c r="Q70" s="29">
        <f>61155919421/L2</f>
        <v>61155.919420999999</v>
      </c>
      <c r="R70" s="29"/>
      <c r="S70" s="101"/>
      <c r="T70" s="15">
        <v>22500</v>
      </c>
      <c r="U70" s="104">
        <v>0</v>
      </c>
      <c r="V70" s="105">
        <f>18764039550/L2</f>
        <v>18764.039550000001</v>
      </c>
      <c r="W70" s="106"/>
      <c r="X70" s="102"/>
      <c r="Y70" s="104">
        <v>23750</v>
      </c>
      <c r="Z70" s="104">
        <v>0</v>
      </c>
      <c r="AA70" s="105">
        <f>11175354970/L2</f>
        <v>11175.35497</v>
      </c>
      <c r="AB70" s="106"/>
      <c r="AC70" s="102"/>
      <c r="AD70" s="91">
        <v>23750</v>
      </c>
      <c r="AE70" s="91">
        <v>0</v>
      </c>
      <c r="AF70" s="105">
        <f>2304686059/L2</f>
        <v>2304.6860590000001</v>
      </c>
      <c r="AG70" s="106"/>
      <c r="AH70" s="101"/>
      <c r="AI70" s="91">
        <f>J70+O70+T70+Y70+AD70</f>
        <v>90000</v>
      </c>
      <c r="AJ70" s="91">
        <f>K70+P70+U70+Z70+AE70</f>
        <v>0</v>
      </c>
      <c r="AK70" s="62">
        <f t="shared" ref="AK70:AK71" si="19">L70+Q70+V70+AA70+AF70</f>
        <v>97002.795429000005</v>
      </c>
      <c r="AL70" s="62">
        <f t="shared" ref="AL70:AL71" si="20">M70+R70+W70+AB70+AG70</f>
        <v>2069</v>
      </c>
      <c r="AM70" s="100"/>
    </row>
    <row r="71" spans="1:39" ht="30" x14ac:dyDescent="0.25">
      <c r="A71" s="209"/>
      <c r="B71" s="187"/>
      <c r="C71" s="187"/>
      <c r="D71" s="187"/>
      <c r="E71" s="212"/>
      <c r="F71" s="13" t="s">
        <v>139</v>
      </c>
      <c r="G71" s="13" t="s">
        <v>138</v>
      </c>
      <c r="H71" s="214"/>
      <c r="I71" s="14"/>
      <c r="J71" s="26">
        <v>1</v>
      </c>
      <c r="K71" s="150">
        <v>0.69</v>
      </c>
      <c r="L71" s="161">
        <f>1600000000/L2</f>
        <v>1600</v>
      </c>
      <c r="M71" s="29">
        <v>1070</v>
      </c>
      <c r="N71" s="23"/>
      <c r="O71" s="26">
        <v>1</v>
      </c>
      <c r="P71" s="26">
        <v>0</v>
      </c>
      <c r="Q71" s="29">
        <f>4000000000/L2</f>
        <v>4000</v>
      </c>
      <c r="R71" s="29"/>
      <c r="S71" s="101"/>
      <c r="T71" s="140">
        <v>1</v>
      </c>
      <c r="U71" s="125">
        <v>0</v>
      </c>
      <c r="V71" s="105">
        <f>4000000000/L2</f>
        <v>4000</v>
      </c>
      <c r="W71" s="106"/>
      <c r="X71" s="102"/>
      <c r="Y71" s="140">
        <v>1</v>
      </c>
      <c r="Z71" s="125">
        <v>0</v>
      </c>
      <c r="AA71" s="105">
        <f>3000000000/L2</f>
        <v>3000</v>
      </c>
      <c r="AB71" s="106"/>
      <c r="AC71" s="102"/>
      <c r="AD71" s="112">
        <v>1</v>
      </c>
      <c r="AE71" s="112">
        <v>0</v>
      </c>
      <c r="AF71" s="105">
        <f>1500000000/L2</f>
        <v>1500</v>
      </c>
      <c r="AG71" s="106"/>
      <c r="AH71" s="101"/>
      <c r="AI71" s="112">
        <f>AD71</f>
        <v>1</v>
      </c>
      <c r="AJ71" s="150">
        <f t="shared" ref="AJ71" si="21">K71+P71+U71+Z71+AE71</f>
        <v>0.69</v>
      </c>
      <c r="AK71" s="62">
        <f t="shared" si="19"/>
        <v>14100</v>
      </c>
      <c r="AL71" s="62">
        <f t="shared" si="20"/>
        <v>1070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3139</v>
      </c>
      <c r="N72" s="51"/>
      <c r="O72" s="41"/>
      <c r="P72" s="41"/>
      <c r="Q72" s="42">
        <f>SUM(Q69:Q71)</f>
        <v>65155.919420999999</v>
      </c>
      <c r="R72" s="42">
        <f>SUM(R69:R71)</f>
        <v>0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111102.79542900001</v>
      </c>
      <c r="AL72" s="64">
        <f>SUM(AL69:AL71)</f>
        <v>3139</v>
      </c>
      <c r="AM72" s="99"/>
    </row>
    <row r="74" spans="1:39" s="5" customFormat="1" ht="15.75" customHeight="1" x14ac:dyDescent="0.2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16" t="s">
        <v>169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</row>
    <row r="77" spans="1:39" x14ac:dyDescent="0.25">
      <c r="A77" s="142">
        <v>30</v>
      </c>
      <c r="B77" s="6" t="s">
        <v>160</v>
      </c>
      <c r="C77" s="216" t="s">
        <v>170</v>
      </c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216"/>
      <c r="AI77" s="216"/>
      <c r="AJ77" s="216"/>
      <c r="AK77" s="216"/>
      <c r="AL77" s="216"/>
    </row>
    <row r="78" spans="1:39" x14ac:dyDescent="0.25">
      <c r="A78" s="142">
        <v>56</v>
      </c>
      <c r="B78" s="6" t="s">
        <v>95</v>
      </c>
      <c r="C78" s="216" t="s">
        <v>140</v>
      </c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</row>
    <row r="79" spans="1:39" ht="30" x14ac:dyDescent="0.25">
      <c r="A79" s="142"/>
      <c r="B79" s="124" t="s">
        <v>98</v>
      </c>
      <c r="C79" s="216" t="s">
        <v>141</v>
      </c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6"/>
      <c r="AK79" s="216"/>
      <c r="AL79" s="216"/>
    </row>
    <row r="81" spans="1:39" s="11" customFormat="1" ht="27" customHeight="1" x14ac:dyDescent="0.25">
      <c r="A81" s="202" t="s">
        <v>2</v>
      </c>
      <c r="B81" s="177" t="s">
        <v>3</v>
      </c>
      <c r="C81" s="218" t="s">
        <v>87</v>
      </c>
      <c r="D81" s="177" t="s">
        <v>67</v>
      </c>
      <c r="E81" s="218" t="s">
        <v>174</v>
      </c>
      <c r="F81" s="199" t="s">
        <v>101</v>
      </c>
      <c r="G81" s="220" t="s">
        <v>90</v>
      </c>
      <c r="H81" s="172" t="s">
        <v>175</v>
      </c>
      <c r="I81" s="10"/>
      <c r="J81" s="172">
        <v>2020</v>
      </c>
      <c r="K81" s="172"/>
      <c r="L81" s="172"/>
      <c r="M81" s="172"/>
      <c r="N81" s="10"/>
      <c r="O81" s="172">
        <v>2021</v>
      </c>
      <c r="P81" s="172"/>
      <c r="Q81" s="172"/>
      <c r="R81" s="172"/>
      <c r="T81" s="172">
        <v>2022</v>
      </c>
      <c r="U81" s="172"/>
      <c r="V81" s="172"/>
      <c r="W81" s="172"/>
      <c r="Y81" s="172">
        <v>2023</v>
      </c>
      <c r="Z81" s="172"/>
      <c r="AA81" s="172"/>
      <c r="AB81" s="172"/>
      <c r="AD81" s="173">
        <v>2024</v>
      </c>
      <c r="AE81" s="174"/>
      <c r="AF81" s="174"/>
      <c r="AG81" s="174"/>
      <c r="AI81" s="217" t="s">
        <v>102</v>
      </c>
      <c r="AJ81" s="217"/>
      <c r="AK81" s="217"/>
      <c r="AL81" s="217"/>
      <c r="AM81" s="99"/>
    </row>
    <row r="82" spans="1:39" s="11" customFormat="1" ht="16.5" customHeight="1" x14ac:dyDescent="0.25">
      <c r="A82" s="203"/>
      <c r="B82" s="178"/>
      <c r="C82" s="200"/>
      <c r="D82" s="178"/>
      <c r="E82" s="200"/>
      <c r="F82" s="200"/>
      <c r="G82" s="220"/>
      <c r="H82" s="172"/>
      <c r="I82" s="10"/>
      <c r="J82" s="171" t="s">
        <v>4</v>
      </c>
      <c r="K82" s="171"/>
      <c r="L82" s="171" t="s">
        <v>61</v>
      </c>
      <c r="M82" s="171"/>
      <c r="N82" s="10"/>
      <c r="O82" s="171" t="s">
        <v>6</v>
      </c>
      <c r="P82" s="171"/>
      <c r="Q82" s="171" t="s">
        <v>8</v>
      </c>
      <c r="R82" s="171"/>
      <c r="S82" s="10"/>
      <c r="T82" s="171" t="s">
        <v>7</v>
      </c>
      <c r="U82" s="171"/>
      <c r="V82" s="171" t="s">
        <v>8</v>
      </c>
      <c r="W82" s="171"/>
      <c r="Y82" s="171" t="s">
        <v>7</v>
      </c>
      <c r="Z82" s="171"/>
      <c r="AA82" s="171" t="s">
        <v>8</v>
      </c>
      <c r="AB82" s="171"/>
      <c r="AD82" s="171" t="s">
        <v>7</v>
      </c>
      <c r="AE82" s="171"/>
      <c r="AF82" s="171" t="s">
        <v>8</v>
      </c>
      <c r="AG82" s="171"/>
      <c r="AI82" s="175" t="s">
        <v>4</v>
      </c>
      <c r="AJ82" s="175" t="s">
        <v>66</v>
      </c>
      <c r="AK82" s="175" t="s">
        <v>8</v>
      </c>
      <c r="AL82" s="175" t="s">
        <v>5</v>
      </c>
      <c r="AM82" s="99"/>
    </row>
    <row r="83" spans="1:39" s="11" customFormat="1" ht="33" x14ac:dyDescent="0.25">
      <c r="A83" s="204"/>
      <c r="B83" s="179"/>
      <c r="C83" s="219"/>
      <c r="D83" s="179"/>
      <c r="E83" s="219"/>
      <c r="F83" s="201"/>
      <c r="G83" s="220"/>
      <c r="H83" s="172"/>
      <c r="I83" s="12"/>
      <c r="J83" s="155" t="s">
        <v>59</v>
      </c>
      <c r="K83" s="117" t="s">
        <v>60</v>
      </c>
      <c r="L83" s="159" t="s">
        <v>62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176"/>
      <c r="AJ83" s="176"/>
      <c r="AK83" s="176"/>
      <c r="AL83" s="176"/>
      <c r="AM83" s="99"/>
    </row>
    <row r="84" spans="1:39" ht="45" x14ac:dyDescent="0.25">
      <c r="A84" s="208" t="s">
        <v>142</v>
      </c>
      <c r="B84" s="180" t="s">
        <v>143</v>
      </c>
      <c r="C84" s="180" t="s">
        <v>144</v>
      </c>
      <c r="D84" s="180" t="s">
        <v>158</v>
      </c>
      <c r="E84" s="211" t="str">
        <f>C77</f>
        <v xml:space="preserve">Incrementar la efectividad de la gestión pública distrital y local. </v>
      </c>
      <c r="F84" s="139" t="s">
        <v>172</v>
      </c>
      <c r="G84" s="139" t="s">
        <v>145</v>
      </c>
      <c r="H84" s="213" t="str">
        <f>C79</f>
        <v>Gestión pública efectiva, abierta y transparente</v>
      </c>
      <c r="I84" s="14"/>
      <c r="J84" s="131">
        <v>0.1</v>
      </c>
      <c r="K84" s="151">
        <v>7.9500000000000001E-2</v>
      </c>
      <c r="L84" s="164"/>
      <c r="M84" s="129"/>
      <c r="N84" s="130"/>
      <c r="O84" s="131">
        <v>0.25</v>
      </c>
      <c r="P84" s="131">
        <v>0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2">K84+P84+U84+Z84+AE84</f>
        <v>7.9500000000000001E-2</v>
      </c>
      <c r="AK84" s="138">
        <f t="shared" ref="AK84:AK85" si="23">L84+Q84+V84+AA84+AF84</f>
        <v>0</v>
      </c>
      <c r="AL84" s="138">
        <f t="shared" ref="AL84:AL85" si="24">M84+R84+W84+AB84+AG84</f>
        <v>0</v>
      </c>
      <c r="AM84" s="100"/>
    </row>
    <row r="85" spans="1:39" ht="45" x14ac:dyDescent="0.25">
      <c r="A85" s="209"/>
      <c r="B85" s="187"/>
      <c r="C85" s="187"/>
      <c r="D85" s="187"/>
      <c r="E85" s="212"/>
      <c r="F85" s="152" t="s">
        <v>146</v>
      </c>
      <c r="G85" s="152" t="s">
        <v>147</v>
      </c>
      <c r="H85" s="214"/>
      <c r="I85" s="14"/>
      <c r="J85" s="26">
        <v>0.1</v>
      </c>
      <c r="K85" s="90">
        <v>8.1000000000000003E-2</v>
      </c>
      <c r="L85" s="161">
        <v>3034</v>
      </c>
      <c r="M85" s="29">
        <v>2207</v>
      </c>
      <c r="N85" s="23"/>
      <c r="O85" s="26">
        <v>0.25</v>
      </c>
      <c r="P85" s="26">
        <v>0</v>
      </c>
      <c r="Q85" s="29">
        <f>6830000000/L2</f>
        <v>6830</v>
      </c>
      <c r="R85" s="29"/>
      <c r="S85" s="101"/>
      <c r="T85" s="140">
        <v>0.3</v>
      </c>
      <c r="U85" s="125">
        <v>0</v>
      </c>
      <c r="V85" s="105">
        <f>6830000000/L2</f>
        <v>6830</v>
      </c>
      <c r="W85" s="106"/>
      <c r="X85" s="102"/>
      <c r="Y85" s="140">
        <v>0.25</v>
      </c>
      <c r="Z85" s="125">
        <v>0</v>
      </c>
      <c r="AA85" s="105">
        <f>6830000000/L2</f>
        <v>6830</v>
      </c>
      <c r="AB85" s="106"/>
      <c r="AC85" s="102"/>
      <c r="AD85" s="112">
        <v>0.1</v>
      </c>
      <c r="AE85" s="112">
        <v>0</v>
      </c>
      <c r="AF85" s="105">
        <f>3028098819/L2</f>
        <v>3028.0988189999998</v>
      </c>
      <c r="AG85" s="106"/>
      <c r="AH85" s="101"/>
      <c r="AI85" s="112">
        <f>J85+O85+T85+Y85+AD85</f>
        <v>0.99999999999999989</v>
      </c>
      <c r="AJ85" s="150">
        <f t="shared" si="22"/>
        <v>8.1000000000000003E-2</v>
      </c>
      <c r="AK85" s="62">
        <f t="shared" si="23"/>
        <v>26552.098818999999</v>
      </c>
      <c r="AL85" s="62">
        <f t="shared" si="24"/>
        <v>2207</v>
      </c>
      <c r="AM85" s="100"/>
    </row>
    <row r="86" spans="1:39" ht="45" x14ac:dyDescent="0.25">
      <c r="A86" s="209"/>
      <c r="B86" s="187"/>
      <c r="C86" s="187"/>
      <c r="D86" s="187"/>
      <c r="E86" s="212"/>
      <c r="F86" s="152" t="s">
        <v>148</v>
      </c>
      <c r="G86" s="152" t="s">
        <v>149</v>
      </c>
      <c r="H86" s="214"/>
      <c r="I86" s="14"/>
      <c r="J86" s="26">
        <v>0.1</v>
      </c>
      <c r="K86" s="90">
        <v>8.5999999999999993E-2</v>
      </c>
      <c r="L86" s="161">
        <v>1342</v>
      </c>
      <c r="M86" s="29">
        <v>857</v>
      </c>
      <c r="N86" s="23"/>
      <c r="O86" s="26">
        <v>0.25</v>
      </c>
      <c r="P86" s="26">
        <v>0</v>
      </c>
      <c r="Q86" s="29">
        <f>2955000000/L2</f>
        <v>2955</v>
      </c>
      <c r="R86" s="29"/>
      <c r="S86" s="101"/>
      <c r="T86" s="140">
        <v>0.3</v>
      </c>
      <c r="U86" s="125">
        <v>0</v>
      </c>
      <c r="V86" s="105">
        <f>2955000000/L2</f>
        <v>2955</v>
      </c>
      <c r="W86" s="106"/>
      <c r="X86" s="102"/>
      <c r="Y86" s="140">
        <v>0.25</v>
      </c>
      <c r="Z86" s="125">
        <v>0</v>
      </c>
      <c r="AA86" s="105">
        <f>2955000000/L2</f>
        <v>2955</v>
      </c>
      <c r="AB86" s="106"/>
      <c r="AC86" s="102"/>
      <c r="AD86" s="112">
        <v>0.1</v>
      </c>
      <c r="AE86" s="112">
        <v>0</v>
      </c>
      <c r="AF86" s="105">
        <f>1477500000/L2</f>
        <v>1477.5</v>
      </c>
      <c r="AG86" s="106"/>
      <c r="AH86" s="101"/>
      <c r="AI86" s="112">
        <f t="shared" ref="AI86:AI88" si="25">J86+O86+T86+Y86+AD86</f>
        <v>0.99999999999999989</v>
      </c>
      <c r="AJ86" s="150">
        <f t="shared" ref="AJ86:AJ88" si="26">K86+P86+U86+Z86+AE86</f>
        <v>8.5999999999999993E-2</v>
      </c>
      <c r="AK86" s="62">
        <f t="shared" ref="AK86:AK88" si="27">L86+Q86+V86+AA86+AF86</f>
        <v>11684.5</v>
      </c>
      <c r="AL86" s="62">
        <f t="shared" ref="AL86:AL88" si="28">M86+R86+W86+AB86+AG86</f>
        <v>857</v>
      </c>
      <c r="AM86" s="100"/>
    </row>
    <row r="87" spans="1:39" ht="75" x14ac:dyDescent="0.25">
      <c r="A87" s="209"/>
      <c r="B87" s="187"/>
      <c r="C87" s="187"/>
      <c r="D87" s="187"/>
      <c r="E87" s="212"/>
      <c r="F87" s="152" t="s">
        <v>150</v>
      </c>
      <c r="G87" s="152" t="s">
        <v>151</v>
      </c>
      <c r="H87" s="214"/>
      <c r="I87" s="14"/>
      <c r="J87" s="168">
        <v>1.5</v>
      </c>
      <c r="K87" s="169">
        <v>1.33</v>
      </c>
      <c r="L87" s="161">
        <v>148</v>
      </c>
      <c r="M87" s="29">
        <v>148</v>
      </c>
      <c r="N87" s="23"/>
      <c r="O87" s="26">
        <v>0.25</v>
      </c>
      <c r="P87" s="26">
        <v>0</v>
      </c>
      <c r="Q87" s="29">
        <f>300000000/L2</f>
        <v>300</v>
      </c>
      <c r="R87" s="29"/>
      <c r="S87" s="101"/>
      <c r="T87" s="140">
        <v>0.3</v>
      </c>
      <c r="U87" s="125">
        <v>0</v>
      </c>
      <c r="V87" s="105">
        <f>300000000/L2</f>
        <v>300</v>
      </c>
      <c r="W87" s="106"/>
      <c r="X87" s="102"/>
      <c r="Y87" s="140">
        <v>0.25</v>
      </c>
      <c r="Z87" s="125">
        <v>0</v>
      </c>
      <c r="AA87" s="105">
        <f>300000000/L2</f>
        <v>300</v>
      </c>
      <c r="AB87" s="106"/>
      <c r="AC87" s="102"/>
      <c r="AD87" s="112">
        <v>0.1</v>
      </c>
      <c r="AE87" s="112">
        <v>0</v>
      </c>
      <c r="AF87" s="105">
        <f>150000000/L2</f>
        <v>150</v>
      </c>
      <c r="AG87" s="106"/>
      <c r="AH87" s="101"/>
      <c r="AI87" s="112">
        <f t="shared" si="25"/>
        <v>2.4</v>
      </c>
      <c r="AJ87" s="150">
        <f t="shared" si="26"/>
        <v>1.33</v>
      </c>
      <c r="AK87" s="62">
        <f t="shared" si="27"/>
        <v>1198</v>
      </c>
      <c r="AL87" s="62">
        <f t="shared" si="28"/>
        <v>148</v>
      </c>
      <c r="AM87" s="100"/>
    </row>
    <row r="88" spans="1:39" ht="60" x14ac:dyDescent="0.25">
      <c r="A88" s="209"/>
      <c r="B88" s="187"/>
      <c r="C88" s="187"/>
      <c r="D88" s="187"/>
      <c r="E88" s="212"/>
      <c r="F88" s="152" t="s">
        <v>173</v>
      </c>
      <c r="G88" s="152" t="s">
        <v>153</v>
      </c>
      <c r="H88" s="214"/>
      <c r="I88" s="14"/>
      <c r="J88" s="26">
        <v>0</v>
      </c>
      <c r="K88" s="90">
        <v>0</v>
      </c>
      <c r="L88" s="161"/>
      <c r="M88" s="29"/>
      <c r="N88" s="23"/>
      <c r="O88" s="26">
        <v>0.25</v>
      </c>
      <c r="P88" s="26">
        <v>0</v>
      </c>
      <c r="Q88" s="29">
        <f>1010000000/L2</f>
        <v>1010</v>
      </c>
      <c r="R88" s="29"/>
      <c r="S88" s="101"/>
      <c r="T88" s="140">
        <v>0.3</v>
      </c>
      <c r="U88" s="125">
        <v>0</v>
      </c>
      <c r="V88" s="105">
        <f>880000000/L2</f>
        <v>880</v>
      </c>
      <c r="W88" s="106"/>
      <c r="X88" s="102"/>
      <c r="Y88" s="140">
        <v>0.25</v>
      </c>
      <c r="Z88" s="125">
        <v>0</v>
      </c>
      <c r="AA88" s="105">
        <f>880000000/L2</f>
        <v>880</v>
      </c>
      <c r="AB88" s="106"/>
      <c r="AC88" s="102"/>
      <c r="AD88" s="112">
        <v>0.1</v>
      </c>
      <c r="AE88" s="112">
        <v>0</v>
      </c>
      <c r="AF88" s="105">
        <f>240000000/L2</f>
        <v>240</v>
      </c>
      <c r="AG88" s="106"/>
      <c r="AH88" s="101"/>
      <c r="AI88" s="112">
        <f t="shared" si="25"/>
        <v>0.9</v>
      </c>
      <c r="AJ88" s="150">
        <f t="shared" si="26"/>
        <v>0</v>
      </c>
      <c r="AK88" s="62">
        <f t="shared" si="27"/>
        <v>3010</v>
      </c>
      <c r="AL88" s="62">
        <f t="shared" si="28"/>
        <v>0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152</v>
      </c>
      <c r="G89" s="152" t="s">
        <v>153</v>
      </c>
      <c r="H89" s="121"/>
      <c r="I89" s="14"/>
      <c r="J89" s="26">
        <v>0.05</v>
      </c>
      <c r="K89" s="90">
        <v>3.1E-2</v>
      </c>
      <c r="L89" s="161">
        <f>2203916075/L2</f>
        <v>2203.9160750000001</v>
      </c>
      <c r="M89" s="29">
        <v>1511</v>
      </c>
      <c r="N89" s="23"/>
      <c r="O89" s="26">
        <v>0.25</v>
      </c>
      <c r="P89" s="26">
        <v>0</v>
      </c>
      <c r="Q89" s="29">
        <f>3176773384/L2</f>
        <v>3176.7733840000001</v>
      </c>
      <c r="R89" s="29"/>
      <c r="S89" s="101"/>
      <c r="T89" s="140">
        <v>0.3</v>
      </c>
      <c r="U89" s="125">
        <v>0</v>
      </c>
      <c r="V89" s="105">
        <f>3035000000/L2</f>
        <v>3035</v>
      </c>
      <c r="W89" s="106"/>
      <c r="X89" s="102"/>
      <c r="Y89" s="140">
        <v>0.25</v>
      </c>
      <c r="Z89" s="125">
        <v>0</v>
      </c>
      <c r="AA89" s="105">
        <f>3035000000/L2</f>
        <v>3035</v>
      </c>
      <c r="AB89" s="106"/>
      <c r="AC89" s="102"/>
      <c r="AD89" s="112">
        <v>0.1</v>
      </c>
      <c r="AE89" s="112">
        <v>0</v>
      </c>
      <c r="AF89" s="105">
        <f>1104401181/L2</f>
        <v>1104.401181</v>
      </c>
      <c r="AG89" s="106"/>
      <c r="AH89" s="101"/>
      <c r="AI89" s="112">
        <f t="shared" ref="AI89" si="29">J89+O89+T89+Y89+AD89</f>
        <v>0.95</v>
      </c>
      <c r="AJ89" s="150">
        <f t="shared" ref="AJ89" si="30">K89+P89+U89+Z89+AE89</f>
        <v>3.1E-2</v>
      </c>
      <c r="AK89" s="62">
        <f t="shared" ref="AK89" si="31">L89+Q89+V89+AA89+AF89</f>
        <v>12555.09064</v>
      </c>
      <c r="AL89" s="62">
        <f t="shared" ref="AL89" si="32">M89+R89+W89+AB89+AG89</f>
        <v>1511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6727.9160750000001</v>
      </c>
      <c r="M90" s="153">
        <f>SUM(M84:M89)</f>
        <v>4723</v>
      </c>
      <c r="N90" s="51"/>
      <c r="O90" s="41"/>
      <c r="P90" s="41"/>
      <c r="Q90" s="153">
        <f>SUM(Q84:Q89)</f>
        <v>14271.773384</v>
      </c>
      <c r="R90" s="153">
        <f>SUM(R84:R89)</f>
        <v>0</v>
      </c>
      <c r="T90" s="41"/>
      <c r="U90" s="41"/>
      <c r="V90" s="153">
        <f>SUM(V84:V89)</f>
        <v>14000</v>
      </c>
      <c r="W90" s="153">
        <f>SUM(W84:W89)</f>
        <v>0</v>
      </c>
      <c r="Y90" s="41"/>
      <c r="Z90" s="41"/>
      <c r="AA90" s="153">
        <f>SUM(AA84:AA89)</f>
        <v>14000</v>
      </c>
      <c r="AB90" s="153">
        <f>SUM(AB84:AB89)</f>
        <v>0</v>
      </c>
      <c r="AC90" s="113"/>
      <c r="AD90" s="41"/>
      <c r="AE90" s="42"/>
      <c r="AF90" s="153">
        <f>SUM(AF84:AF89)</f>
        <v>6000</v>
      </c>
      <c r="AG90" s="153">
        <f>SUM(AG84:AG89)</f>
        <v>0</v>
      </c>
      <c r="AI90" s="97"/>
      <c r="AJ90" s="97"/>
      <c r="AK90" s="153">
        <f>SUM(AK84:AK89)</f>
        <v>54999.689459000001</v>
      </c>
      <c r="AL90" s="153">
        <f>SUM(AL84:AL89)</f>
        <v>4723</v>
      </c>
      <c r="AM90" s="99"/>
    </row>
  </sheetData>
  <mergeCells count="201">
    <mergeCell ref="A1:AL1"/>
    <mergeCell ref="A3:AL3"/>
    <mergeCell ref="A4:AL4"/>
    <mergeCell ref="A5:AL5"/>
    <mergeCell ref="A6:AL6"/>
    <mergeCell ref="A7:AL7"/>
    <mergeCell ref="AI16:AI17"/>
    <mergeCell ref="AJ16:AJ17"/>
    <mergeCell ref="AK16:AK17"/>
    <mergeCell ref="J16:K16"/>
    <mergeCell ref="L16:M16"/>
    <mergeCell ref="O16:P16"/>
    <mergeCell ref="B15:B17"/>
    <mergeCell ref="C15:C17"/>
    <mergeCell ref="D15:D17"/>
    <mergeCell ref="E15:E17"/>
    <mergeCell ref="F15:F17"/>
    <mergeCell ref="C10:AL10"/>
    <mergeCell ref="C12:AL12"/>
    <mergeCell ref="C13:AL13"/>
    <mergeCell ref="C11:AL11"/>
    <mergeCell ref="C30:AL30"/>
    <mergeCell ref="B18:B24"/>
    <mergeCell ref="C18:C24"/>
    <mergeCell ref="D18:D24"/>
    <mergeCell ref="E18:E24"/>
    <mergeCell ref="H18:H24"/>
    <mergeCell ref="A18:A24"/>
    <mergeCell ref="G15:G17"/>
    <mergeCell ref="A15:A17"/>
    <mergeCell ref="AI15:AL15"/>
    <mergeCell ref="H15:H17"/>
    <mergeCell ref="J15:M15"/>
    <mergeCell ref="O15:R15"/>
    <mergeCell ref="T15:W15"/>
    <mergeCell ref="Y15:AB15"/>
    <mergeCell ref="AD15:AG15"/>
    <mergeCell ref="Q16:R16"/>
    <mergeCell ref="T16:U16"/>
    <mergeCell ref="V16:W16"/>
    <mergeCell ref="Y16:Z16"/>
    <mergeCell ref="AL16:AL17"/>
    <mergeCell ref="AA16:AB16"/>
    <mergeCell ref="AD16:AE16"/>
    <mergeCell ref="AF16:AG16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81:A83"/>
    <mergeCell ref="B81:B83"/>
    <mergeCell ref="AJ82:AJ83"/>
    <mergeCell ref="AK82:AK83"/>
    <mergeCell ref="AL82:AL83"/>
    <mergeCell ref="A8:AL8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</mergeCells>
  <pageMargins left="0.70866141732283472" right="0.70866141732283472" top="0.74803149606299213" bottom="0.74803149606299213" header="0.31496062992125984" footer="0.31496062992125984"/>
  <pageSetup paperSize="5" scale="2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Noviembre 2020</vt:lpstr>
      <vt:lpstr>'Noviembre 2020'!Área_de_impresión</vt:lpstr>
    </vt:vector>
  </TitlesOfParts>
  <Company>IPES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CRISTHIAN CAMILO RODRIGUEZ MELO</cp:lastModifiedBy>
  <cp:lastPrinted>2020-12-30T17:08:18Z</cp:lastPrinted>
  <dcterms:created xsi:type="dcterms:W3CDTF">2009-07-24T20:19:08Z</dcterms:created>
  <dcterms:modified xsi:type="dcterms:W3CDTF">2020-12-30T17:08:33Z</dcterms:modified>
</cp:coreProperties>
</file>