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a\Documents\CAJA DE VIVIENDA\PLAN PLURIANUAL\"/>
    </mc:Choice>
  </mc:AlternateContent>
  <bookViews>
    <workbookView xWindow="0" yWindow="0" windowWidth="28800" windowHeight="13725" tabRatio="553" firstSheet="2" activeTab="2"/>
  </bookViews>
  <sheets>
    <sheet name="DIFERENCIAS" sheetId="52" state="hidden" r:id="rId1"/>
    <sheet name="SOPORTE REPROGRAMACIÓN $ 2017" sheetId="53" state="hidden" r:id="rId2"/>
    <sheet name="Septiembre 2020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'Septiembre 2020'!$A:$AL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M89" i="93" l="1"/>
  <c r="M86" i="93"/>
  <c r="M85" i="93"/>
  <c r="M71" i="93"/>
  <c r="M56" i="93"/>
  <c r="M55" i="93"/>
  <c r="M54" i="93"/>
  <c r="M40" i="93"/>
  <c r="M39" i="93"/>
  <c r="M38" i="93"/>
  <c r="L40" i="93"/>
  <c r="L38" i="93"/>
  <c r="L22" i="93"/>
  <c r="M24" i="93"/>
  <c r="M22" i="93"/>
  <c r="M19" i="93"/>
  <c r="L70" i="93" l="1"/>
  <c r="M87" i="93" l="1"/>
  <c r="M70" i="93"/>
  <c r="AI19" i="93" l="1"/>
  <c r="AJ19" i="93"/>
  <c r="AF89" i="93" l="1"/>
  <c r="AF88" i="93"/>
  <c r="AF87" i="93"/>
  <c r="AF86" i="93"/>
  <c r="AF85" i="93"/>
  <c r="AA89" i="93"/>
  <c r="AA88" i="93"/>
  <c r="AA87" i="93"/>
  <c r="AA86" i="93"/>
  <c r="AA85" i="93"/>
  <c r="V89" i="93"/>
  <c r="V88" i="93"/>
  <c r="V87" i="93"/>
  <c r="V86" i="93"/>
  <c r="V85" i="93"/>
  <c r="Q89" i="93"/>
  <c r="Q88" i="93"/>
  <c r="Q87" i="93"/>
  <c r="Q86" i="93"/>
  <c r="Q85" i="93"/>
  <c r="L89" i="93"/>
  <c r="L87" i="93"/>
  <c r="L86" i="93"/>
  <c r="L85" i="93"/>
  <c r="AF71" i="93"/>
  <c r="AF70" i="93"/>
  <c r="AA71" i="93"/>
  <c r="AA70" i="93"/>
  <c r="V71" i="93"/>
  <c r="V70" i="93"/>
  <c r="Q71" i="93"/>
  <c r="Q70" i="93"/>
  <c r="L71" i="93"/>
  <c r="AF56" i="93"/>
  <c r="AF55" i="93"/>
  <c r="AF54" i="93"/>
  <c r="AA56" i="93"/>
  <c r="AA55" i="93"/>
  <c r="AA54" i="93"/>
  <c r="V56" i="93"/>
  <c r="V55" i="93"/>
  <c r="V54" i="93"/>
  <c r="Q56" i="93"/>
  <c r="Q55" i="93"/>
  <c r="Q54" i="93"/>
  <c r="L56" i="93"/>
  <c r="L55" i="93"/>
  <c r="L54" i="93"/>
  <c r="AF38" i="93"/>
  <c r="AA39" i="93"/>
  <c r="AA38" i="93"/>
  <c r="V39" i="93"/>
  <c r="V38" i="93"/>
  <c r="Q40" i="93"/>
  <c r="Q39" i="93"/>
  <c r="Q38" i="93"/>
  <c r="L39" i="93"/>
  <c r="AF24" i="93"/>
  <c r="AF22" i="93"/>
  <c r="AF20" i="93"/>
  <c r="AF19" i="93"/>
  <c r="AA24" i="93"/>
  <c r="AA22" i="93"/>
  <c r="AA20" i="93"/>
  <c r="AA19" i="93"/>
  <c r="V24" i="93"/>
  <c r="V22" i="93"/>
  <c r="V20" i="93"/>
  <c r="V19" i="93"/>
  <c r="Q24" i="93"/>
  <c r="Q22" i="93"/>
  <c r="Q20" i="93"/>
  <c r="Q19" i="93"/>
  <c r="L24" i="93"/>
  <c r="L19" i="93"/>
  <c r="H84" i="93"/>
  <c r="E84" i="93"/>
  <c r="H69" i="93"/>
  <c r="E69" i="93"/>
  <c r="H53" i="93"/>
  <c r="E53" i="93"/>
  <c r="H37" i="93"/>
  <c r="E37" i="93"/>
  <c r="H18" i="93"/>
  <c r="E18" i="93"/>
  <c r="AG90" i="93" l="1"/>
  <c r="AF90" i="93"/>
  <c r="AB90" i="93"/>
  <c r="AA90" i="93"/>
  <c r="W90" i="93"/>
  <c r="V90" i="93"/>
  <c r="R90" i="93"/>
  <c r="Q90" i="93"/>
  <c r="M90" i="93"/>
  <c r="L90" i="93"/>
  <c r="AL89" i="93"/>
  <c r="AK89" i="93"/>
  <c r="AJ89" i="93"/>
  <c r="AI89" i="93"/>
  <c r="AL88" i="93" l="1"/>
  <c r="AK88" i="93"/>
  <c r="AJ88" i="93"/>
  <c r="AI88" i="93"/>
  <c r="AL87" i="93"/>
  <c r="AK87" i="93"/>
  <c r="AJ87" i="93"/>
  <c r="AI87" i="93"/>
  <c r="AL86" i="93"/>
  <c r="AK86" i="93"/>
  <c r="AJ86" i="93"/>
  <c r="AI86" i="93"/>
  <c r="AI85" i="93"/>
  <c r="AL85" i="93"/>
  <c r="AK85" i="93"/>
  <c r="AJ85" i="93"/>
  <c r="AI84" i="93"/>
  <c r="AL84" i="93"/>
  <c r="AK84" i="93"/>
  <c r="AJ84" i="93"/>
  <c r="AL71" i="93"/>
  <c r="AK71" i="93"/>
  <c r="AJ71" i="93"/>
  <c r="AI71" i="93"/>
  <c r="AJ70" i="93"/>
  <c r="AI70" i="93"/>
  <c r="AI69" i="93"/>
  <c r="AI56" i="93"/>
  <c r="AJ56" i="93"/>
  <c r="AK56" i="93"/>
  <c r="AL56" i="93"/>
  <c r="AI55" i="93"/>
  <c r="AI54" i="93"/>
  <c r="AI53" i="93"/>
  <c r="AI40" i="93"/>
  <c r="AI39" i="93"/>
  <c r="AL38" i="93"/>
  <c r="AK38" i="93"/>
  <c r="AJ38" i="93"/>
  <c r="AI38" i="93"/>
  <c r="AI37" i="93"/>
  <c r="AL24" i="93"/>
  <c r="AK24" i="93"/>
  <c r="AJ24" i="93"/>
  <c r="AI24" i="93"/>
  <c r="AL23" i="93"/>
  <c r="AK23" i="93"/>
  <c r="AJ23" i="93"/>
  <c r="AI23" i="93"/>
  <c r="AL22" i="93"/>
  <c r="AK22" i="93"/>
  <c r="AJ22" i="93"/>
  <c r="AI22" i="93"/>
  <c r="AL21" i="93"/>
  <c r="AK21" i="93"/>
  <c r="AJ21" i="93"/>
  <c r="AI21" i="93"/>
  <c r="AI20" i="93"/>
  <c r="AI18" i="93"/>
  <c r="AG72" i="93"/>
  <c r="AF72" i="93"/>
  <c r="AB72" i="93"/>
  <c r="AA72" i="93"/>
  <c r="W72" i="93"/>
  <c r="V72" i="93"/>
  <c r="R72" i="93"/>
  <c r="Q72" i="93"/>
  <c r="M72" i="93"/>
  <c r="L72" i="93"/>
  <c r="AL70" i="93"/>
  <c r="AK70" i="93"/>
  <c r="AL69" i="93"/>
  <c r="AK69" i="93"/>
  <c r="AJ69" i="93"/>
  <c r="AG57" i="93"/>
  <c r="AF57" i="93"/>
  <c r="AB57" i="93"/>
  <c r="AA57" i="93"/>
  <c r="W57" i="93"/>
  <c r="V57" i="93"/>
  <c r="R57" i="93"/>
  <c r="Q57" i="93"/>
  <c r="M57" i="93"/>
  <c r="L57" i="93"/>
  <c r="AL55" i="93"/>
  <c r="AK55" i="93"/>
  <c r="AJ55" i="93"/>
  <c r="AL54" i="93"/>
  <c r="AK54" i="93"/>
  <c r="AJ54" i="93"/>
  <c r="AL53" i="93"/>
  <c r="AK53" i="93"/>
  <c r="AJ53" i="93"/>
  <c r="AG41" i="93"/>
  <c r="AF41" i="93"/>
  <c r="AB41" i="93"/>
  <c r="AA41" i="93"/>
  <c r="W41" i="93"/>
  <c r="V41" i="93"/>
  <c r="R41" i="93"/>
  <c r="Q41" i="93"/>
  <c r="M41" i="93"/>
  <c r="L41" i="93"/>
  <c r="AL40" i="93"/>
  <c r="AK40" i="93"/>
  <c r="AJ40" i="93"/>
  <c r="AL39" i="93"/>
  <c r="AK39" i="93"/>
  <c r="AJ39" i="93"/>
  <c r="AL37" i="93"/>
  <c r="AK37" i="93"/>
  <c r="AJ37" i="93"/>
  <c r="M25" i="93"/>
  <c r="L25" i="93"/>
  <c r="R25" i="93"/>
  <c r="Q25" i="93"/>
  <c r="W25" i="93"/>
  <c r="V25" i="93"/>
  <c r="AB25" i="93"/>
  <c r="AA25" i="93"/>
  <c r="AF25" i="93"/>
  <c r="AL90" i="93" l="1"/>
  <c r="AK90" i="93"/>
  <c r="AL57" i="93"/>
  <c r="AK72" i="93"/>
  <c r="AK57" i="93"/>
  <c r="AL72" i="93"/>
  <c r="AK41" i="93"/>
  <c r="AL41" i="93"/>
  <c r="AG25" i="93" l="1"/>
  <c r="AL20" i="93"/>
  <c r="AK20" i="93"/>
  <c r="AJ20" i="93"/>
  <c r="AL18" i="93" l="1"/>
  <c r="AL19" i="93"/>
  <c r="AJ18" i="93"/>
  <c r="AK19" i="93"/>
  <c r="AK18" i="93"/>
  <c r="F72" i="53"/>
  <c r="O67" i="53"/>
  <c r="M67" i="53"/>
  <c r="K67" i="53"/>
  <c r="I67" i="53"/>
  <c r="J66" i="53"/>
  <c r="N66" i="53"/>
  <c r="N67" i="53"/>
  <c r="O59" i="53"/>
  <c r="M59" i="53"/>
  <c r="K59" i="53"/>
  <c r="I59" i="53"/>
  <c r="J57" i="53"/>
  <c r="L57" i="53"/>
  <c r="J58" i="53"/>
  <c r="N58" i="53"/>
  <c r="J49" i="53"/>
  <c r="P49" i="53"/>
  <c r="N49" i="53"/>
  <c r="J48" i="53"/>
  <c r="I50" i="53"/>
  <c r="I40" i="53"/>
  <c r="J38" i="53"/>
  <c r="L38" i="53"/>
  <c r="P38" i="53"/>
  <c r="J39" i="53"/>
  <c r="J40" i="53"/>
  <c r="J37" i="53"/>
  <c r="O36" i="53"/>
  <c r="J34" i="53"/>
  <c r="J35" i="53"/>
  <c r="L35" i="53"/>
  <c r="J33" i="53"/>
  <c r="P33" i="53"/>
  <c r="I36" i="53"/>
  <c r="J31" i="53"/>
  <c r="J30" i="53"/>
  <c r="P30" i="53"/>
  <c r="I32" i="53"/>
  <c r="J17" i="53"/>
  <c r="J18" i="53"/>
  <c r="L18" i="53"/>
  <c r="J19" i="53"/>
  <c r="P19" i="53"/>
  <c r="J20" i="53"/>
  <c r="N20" i="53"/>
  <c r="J16" i="53"/>
  <c r="L16" i="53"/>
  <c r="I21" i="53"/>
  <c r="Q16" i="53"/>
  <c r="Q17" i="53"/>
  <c r="Q18" i="53"/>
  <c r="Q19" i="53"/>
  <c r="Q20" i="53"/>
  <c r="Q30" i="53"/>
  <c r="Q32" i="53"/>
  <c r="Q31" i="53"/>
  <c r="Q33" i="53"/>
  <c r="Q34" i="53"/>
  <c r="Q35" i="53"/>
  <c r="Q37" i="53"/>
  <c r="Q38" i="53"/>
  <c r="Q39" i="53"/>
  <c r="Q48" i="53"/>
  <c r="Q49" i="53"/>
  <c r="Q57" i="53"/>
  <c r="Q58" i="53"/>
  <c r="Q66" i="53"/>
  <c r="Q67" i="53"/>
  <c r="F21" i="53"/>
  <c r="F32" i="53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/>
  <c r="C4" i="52"/>
  <c r="C5" i="52"/>
  <c r="C2" i="52"/>
  <c r="C8" i="52"/>
  <c r="C7" i="52"/>
  <c r="C6" i="52"/>
  <c r="C3" i="52"/>
  <c r="N57" i="53"/>
  <c r="L49" i="53"/>
  <c r="P57" i="53"/>
  <c r="P20" i="53"/>
  <c r="L33" i="53"/>
  <c r="N33" i="53"/>
  <c r="N38" i="53"/>
  <c r="R38" i="53"/>
  <c r="R49" i="53"/>
  <c r="P37" i="53"/>
  <c r="N37" i="53"/>
  <c r="L37" i="53"/>
  <c r="L30" i="53"/>
  <c r="N30" i="53"/>
  <c r="J36" i="53"/>
  <c r="L34" i="53"/>
  <c r="L36" i="53"/>
  <c r="P34" i="53"/>
  <c r="P17" i="53"/>
  <c r="L17" i="53"/>
  <c r="L21" i="53"/>
  <c r="P31" i="53"/>
  <c r="P32" i="53"/>
  <c r="J32" i="53"/>
  <c r="L31" i="53"/>
  <c r="L39" i="53"/>
  <c r="N39" i="53"/>
  <c r="N40" i="53"/>
  <c r="N31" i="53"/>
  <c r="N32" i="53"/>
  <c r="N34" i="53"/>
  <c r="N17" i="53"/>
  <c r="R57" i="53"/>
  <c r="N59" i="53"/>
  <c r="F69" i="53"/>
  <c r="Q36" i="53"/>
  <c r="N19" i="53"/>
  <c r="L19" i="53"/>
  <c r="R19" i="53"/>
  <c r="R30" i="53"/>
  <c r="P39" i="53"/>
  <c r="P40" i="53"/>
  <c r="Q59" i="53"/>
  <c r="Q40" i="53"/>
  <c r="Q50" i="53"/>
  <c r="Q21" i="53"/>
  <c r="N48" i="53"/>
  <c r="N50" i="53"/>
  <c r="L48" i="53"/>
  <c r="P48" i="53"/>
  <c r="P50" i="53"/>
  <c r="R33" i="53"/>
  <c r="P58" i="53"/>
  <c r="P59" i="53"/>
  <c r="P18" i="53"/>
  <c r="J50" i="53"/>
  <c r="L20" i="53"/>
  <c r="R20" i="53"/>
  <c r="R37" i="53"/>
  <c r="J59" i="53"/>
  <c r="N18" i="53"/>
  <c r="L66" i="53"/>
  <c r="N35" i="53"/>
  <c r="P35" i="53"/>
  <c r="P36" i="53"/>
  <c r="J67" i="53"/>
  <c r="J21" i="53"/>
  <c r="P16" i="53"/>
  <c r="L40" i="53"/>
  <c r="L58" i="53"/>
  <c r="P66" i="53"/>
  <c r="P67" i="53"/>
  <c r="N16" i="53"/>
  <c r="R35" i="53"/>
  <c r="R34" i="53"/>
  <c r="R18" i="53"/>
  <c r="N21" i="53"/>
  <c r="R39" i="53"/>
  <c r="R40" i="53"/>
  <c r="T40" i="53"/>
  <c r="R17" i="53"/>
  <c r="P21" i="53"/>
  <c r="Q69" i="53"/>
  <c r="L32" i="53"/>
  <c r="R31" i="53"/>
  <c r="R32" i="53"/>
  <c r="T32" i="53"/>
  <c r="R36" i="53"/>
  <c r="T36" i="53"/>
  <c r="L67" i="53"/>
  <c r="R66" i="53"/>
  <c r="R67" i="53"/>
  <c r="T67" i="53"/>
  <c r="L50" i="53"/>
  <c r="R48" i="53"/>
  <c r="R50" i="53"/>
  <c r="T50" i="53"/>
  <c r="N36" i="53"/>
  <c r="R58" i="53"/>
  <c r="R59" i="53"/>
  <c r="T59" i="53"/>
  <c r="L59" i="53"/>
  <c r="R16" i="53"/>
  <c r="R21" i="53"/>
  <c r="T21" i="53"/>
  <c r="R69" i="53"/>
  <c r="S69" i="53"/>
  <c r="AK25" i="93" l="1"/>
  <c r="AL25" i="93"/>
</calcChain>
</file>

<file path=xl/sharedStrings.xml><?xml version="1.0" encoding="utf-8"?>
<sst xmlns="http://schemas.openxmlformats.org/spreadsheetml/2006/main" count="491" uniqueCount="177">
  <si>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</si>
  <si>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</si>
  <si>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</si>
  <si>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</si>
  <si>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</si>
  <si>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</si>
  <si>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</si>
  <si>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</si>
  <si>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</si>
  <si>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</si>
  <si>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</si>
  <si>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</si>
  <si>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</si>
  <si>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</si>
  <si>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</si>
  <si>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</si>
  <si>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</si>
  <si>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</si>
  <si>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</si>
  <si>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</si>
  <si>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</si>
  <si>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</si>
  <si>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</si>
  <si>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</si>
  <si>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</si>
  <si>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</si>
  <si>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</si>
  <si>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</si>
  <si>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</si>
  <si>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</si>
  <si>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</si>
  <si>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</si>
  <si>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</si>
  <si>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</si>
  <si>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</si>
  <si>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</si>
  <si>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</si>
  <si>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</si>
  <si>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</si>
  <si>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</si>
  <si>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</si>
  <si>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</si>
  <si>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</si>
  <si>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</si>
  <si>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</si>
  <si>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</si>
  <si>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</si>
  <si>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</si>
  <si>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</si>
  <si>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</si>
  <si>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</si>
  <si>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</si>
  <si>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</si>
  <si>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</si>
  <si>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</si>
  <si>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</si>
  <si>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</si>
  <si>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</si>
  <si>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</si>
  <si>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</si>
  <si>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</si>
  <si>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</si>
  <si>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</si>
  <si>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</si>
  <si>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</si>
  <si>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</si>
  <si>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</si>
  <si>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</si>
  <si>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</si>
  <si>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</si>
  <si>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</si>
  <si>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</si>
  <si>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</si>
  <si>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</si>
  <si>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</si>
  <si>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</si>
  <si>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</si>
  <si>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</si>
  <si>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</si>
  <si>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</si>
  <si>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</si>
  <si>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</si>
  <si>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</si>
  <si>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</si>
  <si>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</si>
  <si>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</si>
  <si>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</si>
  <si>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</si>
  <si>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</si>
  <si>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</si>
  <si>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</si>
  <si>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</si>
  <si>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</si>
  <si>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</si>
  <si>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</si>
  <si>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</si>
  <si>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</si>
  <si>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</si>
  <si>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</si>
  <si>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</si>
  <si>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</si>
  <si>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</si>
  <si>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</si>
  <si>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</si>
  <si>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</si>
  <si>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</si>
  <si>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</si>
  <si>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</si>
  <si>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</si>
  <si>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</si>
  <si>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</si>
  <si>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</si>
  <si>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</si>
  <si>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</si>
  <si>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</si>
  <si>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</si>
  <si>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</si>
  <si>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</si>
  <si>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</si>
  <si>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</si>
  <si>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</si>
  <si>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</si>
  <si>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</si>
  <si>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</si>
  <si>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</si>
  <si>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</si>
  <si>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</si>
  <si>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</si>
  <si>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</si>
  <si>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</si>
  <si>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</si>
  <si>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</si>
  <si>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</si>
  <si>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</si>
  <si>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</si>
  <si>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</si>
  <si>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90.000 m2 de en espacio público en los territorios priorizados para realizar el mejoramiento de barrios en las Upz tipo1.</t>
  </si>
  <si>
    <t>Construir 90.000 m2 de en espacio público en los territorios priorizados para realizar el mejoramiento de barrios en las Upz tipo1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</si>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</sst>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%"/>
    <numFmt numFmtId="171" formatCode="_(&quot;$&quot;\ * #,##0_);_(&quot;$&quot;\ * \(#,##0\);_(&quot;$&quot;\ * &quot;-&quot;??_);_(@_)"/>
    <numFmt numFmtId="172" formatCode="_ [$€-2]\ * #,##0.00_ ;_ [$€-2]\ * \-#,##0.00_ ;_ [$€-2]\ * &quot;-&quot;??_ "/>
    <numFmt numFmtId="173" formatCode="_(* #,##0_);_(* \(#,##0\);_(* &quot;-&quot;??_);_(@_)"/>
    <numFmt numFmtId="174" formatCode="&quot;$&quot;\ #,##0"/>
    <numFmt numFmtId="175" formatCode="_(* #,##0.0_);_(* \(#,##0.0\);_(* &quot;-&quot;??_);_(@_)"/>
    <numFmt numFmtId="176" formatCode="[$€-2]\ #,##0.00_);[Red]\([$€-2]\ #,##0.00\)"/>
    <numFmt numFmtId="177" formatCode="&quot;$&quot;\ #,##0.00;&quot;$&quot;\ \-#,##0.00"/>
    <numFmt numFmtId="178" formatCode="&quot;$&quot;\ #,##0.00;[Red]&quot;$&quot;\ \-#,##0.00"/>
    <numFmt numFmtId="179" formatCode="_ &quot;$&quot;\ * #,##0.00_ ;_ &quot;$&quot;\ * \-#,##0.00_ ;_ &quot;$&quot;\ * &quot;-&quot;??_ ;_ @_ "/>
    <numFmt numFmtId="180" formatCode="_ * #,##0.00_ ;_ * \-#,##0.00_ ;_ * &quot;-&quot;??_ ;_ @_ "/>
    <numFmt numFmtId="181" formatCode="_(&quot;$&quot;* #,##0.00_);_(&quot;$&quot;* \(#,##0.00\);_(&quot;$&quot;* &quot;-&quot;??_);_(@_)"/>
    <numFmt numFmtId="182" formatCode="_-* #,##0.00\ _P_t_a_-;\-* #,##0.00\ _P_t_a_-;_-* &quot;-&quot;??\ _P_t_a_-;_-@_-"/>
    <numFmt numFmtId="183" formatCode="[$$-80A]#,##0.00"/>
    <numFmt numFmtId="184" formatCode="_-* #,##0.00\ _p_t_a_-;\-* #,##0.00\ _p_t_a_-;_-* &quot;-&quot;??\ _p_t_a_-;_-@_-"/>
    <numFmt numFmtId="185" formatCode="_-* #,##0\ _P_t_a_-;\-* #,##0\ _P_t_a_-;_-* &quot;-&quot;\ _P_t_a_-;_-@_-"/>
    <numFmt numFmtId="186" formatCode="_ [$€]\ * #,##0.00_ ;_ [$€]\ * \-#,##0.00_ ;_ [$€]\ * &quot;-&quot;??_ ;_ @_ "/>
    <numFmt numFmtId="187" formatCode="#,##0.0"/>
    <numFmt numFmtId="188" formatCode="_-[$$-240A]* #,##0_-;\-[$$-240A]* #,##0_-;_-[$$-240A]* &quot;-&quot;??_-;_-@_-"/>
    <numFmt numFmtId="189" formatCode="_-&quot;$&quot;* #,##0_-;\-&quot;$&quot;* #,##0_-;_-&quot;$&quot;* &quot;-&quot;??_-;_-@_-"/>
    <numFmt numFmtId="190" formatCode="_(&quot;$&quot;\ * #,##0.000_);_(&quot;$&quot;\ * \(#,##0.000\);_(&quot;$&quot;\ * &quot;-&quot;??_);_(@_)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6">
    <xf numFmtId="0" fontId="0" fillId="0" borderId="0"/>
    <xf numFmtId="0" fontId="11" fillId="2" borderId="0" applyNumberFormat="0" applyBorder="0" applyAlignment="0" applyProtection="0"/>
    <xf numFmtId="164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2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164" fontId="1" fillId="0" borderId="0" applyFont="0" applyFill="0" applyBorder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165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8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6" fillId="0" borderId="0"/>
    <xf numFmtId="165" fontId="46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46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25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1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1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1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vertical="center"/>
    </xf>
    <xf numFmtId="171" fontId="27" fillId="0" borderId="3" xfId="88" applyNumberFormat="1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horizontal="center" vertical="center"/>
    </xf>
    <xf numFmtId="171" fontId="27" fillId="5" borderId="3" xfId="88" applyNumberFormat="1" applyFont="1" applyFill="1" applyBorder="1" applyAlignment="1">
      <alignment horizontal="center" vertical="center"/>
    </xf>
    <xf numFmtId="171" fontId="27" fillId="5" borderId="3" xfId="80" applyNumberFormat="1" applyFont="1" applyFill="1" applyBorder="1" applyAlignment="1">
      <alignment horizontal="center" vertical="center"/>
    </xf>
    <xf numFmtId="171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1" fontId="27" fillId="0" borderId="3" xfId="88" applyNumberFormat="1" applyFont="1" applyFill="1" applyBorder="1" applyAlignment="1">
      <alignment vertical="center"/>
    </xf>
    <xf numFmtId="171" fontId="27" fillId="5" borderId="3" xfId="88" applyNumberFormat="1" applyFont="1" applyFill="1" applyBorder="1" applyAlignment="1">
      <alignment vertical="center"/>
    </xf>
    <xf numFmtId="171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1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1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1" fontId="31" fillId="0" borderId="3" xfId="88" applyNumberFormat="1" applyFont="1" applyFill="1" applyBorder="1" applyAlignment="1">
      <alignment horizontal="center" vertical="center"/>
    </xf>
    <xf numFmtId="171" fontId="31" fillId="5" borderId="0" xfId="81" applyNumberFormat="1" applyFont="1" applyFill="1" applyBorder="1"/>
    <xf numFmtId="171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1" fontId="31" fillId="0" borderId="0" xfId="80" applyNumberFormat="1" applyFont="1" applyFill="1" applyBorder="1" applyAlignment="1">
      <alignment horizontal="center" vertical="center"/>
    </xf>
    <xf numFmtId="171" fontId="31" fillId="0" borderId="0" xfId="80" applyNumberFormat="1" applyFont="1" applyFill="1" applyBorder="1" applyAlignment="1">
      <alignment vertical="center"/>
    </xf>
    <xf numFmtId="171" fontId="33" fillId="0" borderId="0" xfId="80" applyNumberFormat="1" applyFont="1" applyFill="1" applyBorder="1" applyAlignment="1">
      <alignment horizontal="center" vertical="center"/>
    </xf>
    <xf numFmtId="171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1" fontId="35" fillId="0" borderId="3" xfId="80" applyNumberFormat="1" applyFont="1" applyFill="1" applyBorder="1" applyAlignment="1">
      <alignment vertical="center"/>
    </xf>
    <xf numFmtId="171" fontId="35" fillId="0" borderId="3" xfId="80" applyNumberFormat="1" applyFont="1" applyFill="1" applyBorder="1" applyAlignment="1">
      <alignment horizontal="center" vertical="center"/>
    </xf>
    <xf numFmtId="171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3" fontId="18" fillId="0" borderId="0" xfId="24" applyNumberFormat="1" applyBorder="1"/>
    <xf numFmtId="171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1" fontId="0" fillId="0" borderId="3" xfId="0" applyNumberFormat="1" applyBorder="1"/>
    <xf numFmtId="171" fontId="24" fillId="0" borderId="3" xfId="0" applyNumberFormat="1" applyFont="1" applyBorder="1"/>
    <xf numFmtId="171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1" fontId="31" fillId="0" borderId="3" xfId="80" applyNumberFormat="1" applyFont="1" applyFill="1" applyBorder="1" applyAlignment="1">
      <alignment vertical="center"/>
    </xf>
    <xf numFmtId="171" fontId="18" fillId="11" borderId="0" xfId="128" applyNumberFormat="1" applyFill="1"/>
    <xf numFmtId="171" fontId="24" fillId="11" borderId="0" xfId="128" applyNumberFormat="1" applyFont="1" applyFill="1"/>
    <xf numFmtId="171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3" fontId="23" fillId="0" borderId="0" xfId="24" applyNumberFormat="1" applyFont="1" applyBorder="1"/>
    <xf numFmtId="0" fontId="40" fillId="0" borderId="0" xfId="128" applyFont="1"/>
    <xf numFmtId="173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6" fontId="3" fillId="0" borderId="3" xfId="0" applyNumberFormat="1" applyFont="1" applyFill="1" applyBorder="1" applyAlignment="1">
      <alignment horizontal="right" vertical="center"/>
    </xf>
    <xf numFmtId="174" fontId="3" fillId="0" borderId="3" xfId="0" applyNumberFormat="1" applyFont="1" applyFill="1" applyBorder="1" applyAlignment="1">
      <alignment horizontal="right" vertical="center"/>
    </xf>
    <xf numFmtId="174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3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1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6" fontId="3" fillId="16" borderId="3" xfId="0" applyNumberFormat="1" applyFont="1" applyFill="1" applyBorder="1" applyAlignment="1">
      <alignment horizontal="right" vertical="center"/>
    </xf>
    <xf numFmtId="174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1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7" fontId="27" fillId="0" borderId="4" xfId="81" applyNumberFormat="1" applyFont="1" applyFill="1" applyBorder="1" applyAlignment="1">
      <alignment horizontal="center" vertical="center"/>
    </xf>
    <xf numFmtId="187" fontId="27" fillId="16" borderId="4" xfId="81" applyNumberFormat="1" applyFont="1" applyFill="1" applyBorder="1" applyAlignment="1">
      <alignment horizontal="center" vertical="center"/>
    </xf>
    <xf numFmtId="170" fontId="35" fillId="0" borderId="3" xfId="149" applyNumberFormat="1" applyFont="1" applyFill="1" applyBorder="1" applyAlignment="1">
      <alignment horizontal="center" vertical="center"/>
    </xf>
    <xf numFmtId="170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8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89" fontId="18" fillId="0" borderId="0" xfId="3515" applyNumberFormat="1"/>
    <xf numFmtId="189" fontId="4" fillId="0" borderId="0" xfId="3515" applyNumberFormat="1" applyFont="1" applyBorder="1" applyAlignment="1"/>
    <xf numFmtId="189" fontId="18" fillId="0" borderId="0" xfId="3515" applyNumberFormat="1" applyBorder="1"/>
    <xf numFmtId="189" fontId="34" fillId="8" borderId="3" xfId="3515" applyNumberFormat="1" applyFont="1" applyFill="1" applyBorder="1" applyAlignment="1">
      <alignment vertical="center" wrapText="1"/>
    </xf>
    <xf numFmtId="189" fontId="27" fillId="16" borderId="4" xfId="3515" applyNumberFormat="1" applyFont="1" applyFill="1" applyBorder="1" applyAlignment="1">
      <alignment horizontal="center" vertical="center"/>
    </xf>
    <xf numFmtId="189" fontId="27" fillId="0" borderId="3" xfId="3515" applyNumberFormat="1" applyFont="1" applyFill="1" applyBorder="1" applyAlignment="1">
      <alignment horizontal="center" vertical="center"/>
    </xf>
    <xf numFmtId="189" fontId="31" fillId="0" borderId="3" xfId="3515" applyNumberFormat="1" applyFont="1" applyFill="1" applyBorder="1" applyAlignment="1">
      <alignment horizontal="center" vertical="center"/>
    </xf>
    <xf numFmtId="189" fontId="27" fillId="0" borderId="4" xfId="3515" applyNumberFormat="1" applyFont="1" applyFill="1" applyBorder="1" applyAlignment="1">
      <alignment horizontal="center" vertical="center"/>
    </xf>
    <xf numFmtId="189" fontId="27" fillId="16" borderId="3" xfId="3515" applyNumberFormat="1" applyFont="1" applyFill="1" applyBorder="1" applyAlignment="1">
      <alignment horizontal="center" vertical="center"/>
    </xf>
    <xf numFmtId="189" fontId="19" fillId="0" borderId="0" xfId="3515" applyNumberFormat="1" applyFont="1"/>
    <xf numFmtId="0" fontId="18" fillId="0" borderId="0" xfId="128" applyBorder="1" applyAlignment="1">
      <alignment horizontal="center"/>
    </xf>
    <xf numFmtId="190" fontId="27" fillId="0" borderId="3" xfId="80" applyNumberFormat="1" applyFont="1" applyFill="1" applyBorder="1" applyAlignment="1">
      <alignment horizontal="center" vertical="center"/>
    </xf>
    <xf numFmtId="169" fontId="27" fillId="0" borderId="3" xfId="24" applyFont="1" applyFill="1" applyBorder="1" applyAlignment="1">
      <alignment horizontal="center" vertical="center"/>
    </xf>
    <xf numFmtId="169" fontId="35" fillId="0" borderId="3" xfId="24" applyFont="1" applyFill="1" applyBorder="1" applyAlignment="1">
      <alignment horizontal="center" vertical="center"/>
    </xf>
    <xf numFmtId="187" fontId="27" fillId="0" borderId="3" xfId="81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  <xf numFmtId="0" fontId="0" fillId="0" borderId="0" xfId="128" applyFont="1" applyAlignment="1">
      <alignment horizontal="left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4" fillId="0" borderId="11" xfId="128" applyFont="1" applyBorder="1" applyAlignment="1">
      <alignment horizontal="center"/>
    </xf>
    <xf numFmtId="0" fontId="24" fillId="0" borderId="12" xfId="128" applyFont="1" applyBorder="1" applyAlignment="1">
      <alignment horizontal="center"/>
    </xf>
    <xf numFmtId="0" fontId="24" fillId="0" borderId="13" xfId="128" applyFont="1" applyBorder="1" applyAlignment="1">
      <alignment horizontal="center"/>
    </xf>
  </cellXfs>
  <cellStyles count="3516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196" t="s">
        <v>0</v>
      </c>
      <c r="B3" s="197"/>
      <c r="C3" s="197"/>
      <c r="D3" s="198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196" t="s">
        <v>14</v>
      </c>
      <c r="B4" s="197"/>
      <c r="C4" s="197"/>
      <c r="D4" s="198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196" t="s">
        <v>0</v>
      </c>
      <c r="B5" s="197"/>
      <c r="C5" s="197"/>
      <c r="D5" s="198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196" t="s">
        <v>15</v>
      </c>
      <c r="B6" s="197"/>
      <c r="C6" s="197"/>
      <c r="D6" s="198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205" t="s">
        <v>85</v>
      </c>
      <c r="B8" s="206"/>
      <c r="C8" s="206"/>
      <c r="D8" s="206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207" t="s">
        <v>16</v>
      </c>
      <c r="C10" s="207"/>
      <c r="D10" s="207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202" t="s">
        <v>2</v>
      </c>
      <c r="B13" s="177" t="s">
        <v>3</v>
      </c>
      <c r="C13" s="177" t="s">
        <v>67</v>
      </c>
      <c r="D13" s="199" t="s">
        <v>19</v>
      </c>
      <c r="E13" s="10"/>
      <c r="F13" s="67">
        <v>2016</v>
      </c>
      <c r="G13" s="10"/>
      <c r="H13" s="173">
        <v>2017</v>
      </c>
      <c r="I13" s="174"/>
      <c r="J13" s="210"/>
      <c r="K13" s="173">
        <v>2018</v>
      </c>
      <c r="L13" s="210"/>
      <c r="M13" s="173">
        <v>2019</v>
      </c>
      <c r="N13" s="210"/>
      <c r="O13" s="173">
        <v>2020</v>
      </c>
      <c r="P13" s="174"/>
      <c r="Q13" s="174" t="s">
        <v>78</v>
      </c>
      <c r="R13" s="174"/>
    </row>
    <row r="14" spans="1:18" s="11" customFormat="1" ht="15" customHeight="1" x14ac:dyDescent="0.25">
      <c r="A14" s="203"/>
      <c r="B14" s="178"/>
      <c r="C14" s="178"/>
      <c r="D14" s="200"/>
      <c r="E14" s="10"/>
      <c r="F14" s="171" t="s">
        <v>8</v>
      </c>
      <c r="G14" s="10"/>
      <c r="H14" s="171" t="s">
        <v>8</v>
      </c>
      <c r="I14" s="171" t="s">
        <v>84</v>
      </c>
      <c r="J14" s="171" t="s">
        <v>80</v>
      </c>
      <c r="K14" s="171" t="s">
        <v>8</v>
      </c>
      <c r="L14" s="171" t="s">
        <v>79</v>
      </c>
      <c r="M14" s="171" t="s">
        <v>8</v>
      </c>
      <c r="N14" s="171" t="s">
        <v>79</v>
      </c>
      <c r="O14" s="175" t="s">
        <v>8</v>
      </c>
      <c r="P14" s="171" t="s">
        <v>79</v>
      </c>
      <c r="Q14" s="175" t="s">
        <v>8</v>
      </c>
      <c r="R14" s="171" t="s">
        <v>79</v>
      </c>
    </row>
    <row r="15" spans="1:18" s="11" customFormat="1" ht="47.25" customHeight="1" x14ac:dyDescent="0.25">
      <c r="A15" s="204"/>
      <c r="B15" s="179"/>
      <c r="C15" s="179"/>
      <c r="D15" s="201"/>
      <c r="E15" s="12"/>
      <c r="F15" s="171"/>
      <c r="G15" s="12"/>
      <c r="H15" s="171"/>
      <c r="I15" s="171"/>
      <c r="J15" s="171"/>
      <c r="K15" s="171"/>
      <c r="L15" s="171"/>
      <c r="M15" s="171"/>
      <c r="N15" s="171"/>
      <c r="O15" s="176"/>
      <c r="P15" s="171"/>
      <c r="Q15" s="176"/>
      <c r="R15" s="171"/>
    </row>
    <row r="16" spans="1:18" ht="60" customHeight="1" x14ac:dyDescent="0.25">
      <c r="A16" s="208" t="s">
        <v>11</v>
      </c>
      <c r="B16" s="180" t="s">
        <v>12</v>
      </c>
      <c r="C16" s="180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209"/>
      <c r="B17" s="187"/>
      <c r="C17" s="187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209"/>
      <c r="B18" s="187"/>
      <c r="C18" s="187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209"/>
      <c r="B19" s="187"/>
      <c r="C19" s="187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209"/>
      <c r="B20" s="181"/>
      <c r="C20" s="181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72" t="s">
        <v>2</v>
      </c>
      <c r="B26" s="172" t="s">
        <v>3</v>
      </c>
      <c r="C26" s="177" t="s">
        <v>67</v>
      </c>
      <c r="D26" s="172" t="s">
        <v>19</v>
      </c>
      <c r="E26" s="10"/>
      <c r="F26" s="71">
        <v>2016</v>
      </c>
      <c r="G26" s="79"/>
      <c r="H26" s="172">
        <v>2017</v>
      </c>
      <c r="I26" s="172"/>
      <c r="J26" s="172"/>
      <c r="K26" s="172">
        <v>2018</v>
      </c>
      <c r="L26" s="172"/>
      <c r="M26" s="172">
        <v>2019</v>
      </c>
      <c r="N26" s="172"/>
      <c r="O26" s="172">
        <v>2020</v>
      </c>
      <c r="P26" s="172"/>
      <c r="Q26" s="172" t="s">
        <v>78</v>
      </c>
      <c r="R26" s="172"/>
    </row>
    <row r="27" spans="1:20" s="11" customFormat="1" ht="15" customHeight="1" x14ac:dyDescent="0.25">
      <c r="A27" s="172"/>
      <c r="B27" s="172"/>
      <c r="C27" s="178"/>
      <c r="D27" s="172"/>
      <c r="E27" s="10"/>
      <c r="F27" s="171" t="s">
        <v>8</v>
      </c>
      <c r="G27" s="79"/>
      <c r="H27" s="171" t="s">
        <v>8</v>
      </c>
      <c r="I27" s="171" t="s">
        <v>84</v>
      </c>
      <c r="J27" s="171" t="s">
        <v>80</v>
      </c>
      <c r="K27" s="171" t="s">
        <v>8</v>
      </c>
      <c r="L27" s="171" t="s">
        <v>79</v>
      </c>
      <c r="M27" s="171" t="s">
        <v>8</v>
      </c>
      <c r="N27" s="171" t="s">
        <v>79</v>
      </c>
      <c r="O27" s="171" t="s">
        <v>8</v>
      </c>
      <c r="P27" s="171" t="s">
        <v>79</v>
      </c>
      <c r="Q27" s="171" t="s">
        <v>8</v>
      </c>
      <c r="R27" s="171" t="s">
        <v>79</v>
      </c>
    </row>
    <row r="28" spans="1:20" s="11" customFormat="1" ht="47.25" customHeight="1" x14ac:dyDescent="0.25">
      <c r="A28" s="172"/>
      <c r="B28" s="172"/>
      <c r="C28" s="179"/>
      <c r="D28" s="172"/>
      <c r="E28" s="12"/>
      <c r="F28" s="171"/>
      <c r="G28" s="80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</row>
    <row r="29" spans="1:20" ht="51" hidden="1" customHeight="1" x14ac:dyDescent="0.25">
      <c r="A29" s="194" t="s">
        <v>24</v>
      </c>
      <c r="B29" s="195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194"/>
      <c r="B30" s="195"/>
      <c r="C30" s="195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194"/>
      <c r="B31" s="195"/>
      <c r="C31" s="195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188" t="s">
        <v>10</v>
      </c>
      <c r="B33" s="191" t="s">
        <v>26</v>
      </c>
      <c r="C33" s="191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189"/>
      <c r="B34" s="192"/>
      <c r="C34" s="192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190"/>
      <c r="B35" s="193"/>
      <c r="C35" s="193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184" t="s">
        <v>27</v>
      </c>
      <c r="B37" s="180" t="s">
        <v>28</v>
      </c>
      <c r="C37" s="180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185"/>
      <c r="B38" s="187"/>
      <c r="C38" s="187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186"/>
      <c r="B39" s="181"/>
      <c r="C39" s="181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72" t="s">
        <v>2</v>
      </c>
      <c r="B45" s="172" t="s">
        <v>3</v>
      </c>
      <c r="C45" s="177" t="s">
        <v>67</v>
      </c>
      <c r="D45" s="172" t="s">
        <v>19</v>
      </c>
      <c r="E45" s="10"/>
      <c r="F45" s="71">
        <v>2016</v>
      </c>
      <c r="G45" s="79"/>
      <c r="H45" s="172">
        <v>2017</v>
      </c>
      <c r="I45" s="172"/>
      <c r="J45" s="172"/>
      <c r="K45" s="172">
        <v>2018</v>
      </c>
      <c r="L45" s="172"/>
      <c r="M45" s="172">
        <v>2019</v>
      </c>
      <c r="N45" s="172"/>
      <c r="O45" s="172">
        <v>2020</v>
      </c>
      <c r="P45" s="172"/>
      <c r="Q45" s="172" t="s">
        <v>78</v>
      </c>
      <c r="R45" s="172"/>
    </row>
    <row r="46" spans="1:20" s="11" customFormat="1" ht="15" customHeight="1" x14ac:dyDescent="0.25">
      <c r="A46" s="172"/>
      <c r="B46" s="172"/>
      <c r="C46" s="178"/>
      <c r="D46" s="172"/>
      <c r="E46" s="10"/>
      <c r="F46" s="175" t="s">
        <v>8</v>
      </c>
      <c r="G46" s="79"/>
      <c r="H46" s="175" t="s">
        <v>8</v>
      </c>
      <c r="I46" s="171" t="s">
        <v>84</v>
      </c>
      <c r="J46" s="171" t="s">
        <v>80</v>
      </c>
      <c r="K46" s="175" t="s">
        <v>8</v>
      </c>
      <c r="L46" s="171" t="s">
        <v>79</v>
      </c>
      <c r="M46" s="175" t="s">
        <v>8</v>
      </c>
      <c r="N46" s="171" t="s">
        <v>79</v>
      </c>
      <c r="O46" s="171" t="s">
        <v>8</v>
      </c>
      <c r="P46" s="171" t="s">
        <v>79</v>
      </c>
      <c r="Q46" s="175" t="s">
        <v>8</v>
      </c>
      <c r="R46" s="171" t="s">
        <v>79</v>
      </c>
    </row>
    <row r="47" spans="1:20" s="11" customFormat="1" ht="47.25" customHeight="1" x14ac:dyDescent="0.25">
      <c r="A47" s="172"/>
      <c r="B47" s="172"/>
      <c r="C47" s="179"/>
      <c r="D47" s="172"/>
      <c r="E47" s="12"/>
      <c r="F47" s="176"/>
      <c r="G47" s="80"/>
      <c r="H47" s="176"/>
      <c r="I47" s="171"/>
      <c r="J47" s="171"/>
      <c r="K47" s="176"/>
      <c r="L47" s="171"/>
      <c r="M47" s="176"/>
      <c r="N47" s="171"/>
      <c r="O47" s="171"/>
      <c r="P47" s="171"/>
      <c r="Q47" s="176"/>
      <c r="R47" s="171"/>
    </row>
    <row r="48" spans="1:20" ht="60" customHeight="1" x14ac:dyDescent="0.25">
      <c r="A48" s="182" t="s">
        <v>35</v>
      </c>
      <c r="B48" s="180" t="s">
        <v>36</v>
      </c>
      <c r="C48" s="180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183"/>
      <c r="B49" s="181"/>
      <c r="C49" s="181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72" t="s">
        <v>2</v>
      </c>
      <c r="B54" s="172" t="s">
        <v>3</v>
      </c>
      <c r="C54" s="177" t="s">
        <v>67</v>
      </c>
      <c r="D54" s="172" t="s">
        <v>19</v>
      </c>
      <c r="E54" s="10"/>
      <c r="F54" s="71">
        <v>2016</v>
      </c>
      <c r="G54" s="79"/>
      <c r="H54" s="172">
        <v>2017</v>
      </c>
      <c r="I54" s="172"/>
      <c r="J54" s="172"/>
      <c r="K54" s="172">
        <v>2018</v>
      </c>
      <c r="L54" s="172"/>
      <c r="M54" s="172">
        <v>2019</v>
      </c>
      <c r="N54" s="172"/>
      <c r="O54" s="172">
        <v>2020</v>
      </c>
      <c r="P54" s="172"/>
      <c r="Q54" s="172" t="s">
        <v>78</v>
      </c>
      <c r="R54" s="172"/>
    </row>
    <row r="55" spans="1:20" s="11" customFormat="1" ht="15" customHeight="1" x14ac:dyDescent="0.25">
      <c r="A55" s="172"/>
      <c r="B55" s="172"/>
      <c r="C55" s="178"/>
      <c r="D55" s="172"/>
      <c r="E55" s="10"/>
      <c r="F55" s="171" t="s">
        <v>8</v>
      </c>
      <c r="G55" s="79"/>
      <c r="H55" s="171" t="s">
        <v>8</v>
      </c>
      <c r="I55" s="171" t="s">
        <v>84</v>
      </c>
      <c r="J55" s="171" t="s">
        <v>80</v>
      </c>
      <c r="K55" s="171" t="s">
        <v>8</v>
      </c>
      <c r="L55" s="171" t="s">
        <v>79</v>
      </c>
      <c r="M55" s="171" t="s">
        <v>8</v>
      </c>
      <c r="N55" s="171" t="s">
        <v>79</v>
      </c>
      <c r="O55" s="171" t="s">
        <v>8</v>
      </c>
      <c r="P55" s="171" t="s">
        <v>79</v>
      </c>
      <c r="Q55" s="171" t="s">
        <v>8</v>
      </c>
      <c r="R55" s="171" t="s">
        <v>79</v>
      </c>
    </row>
    <row r="56" spans="1:20" s="11" customFormat="1" ht="47.25" customHeight="1" x14ac:dyDescent="0.25">
      <c r="A56" s="172"/>
      <c r="B56" s="172"/>
      <c r="C56" s="179"/>
      <c r="D56" s="172"/>
      <c r="E56" s="12"/>
      <c r="F56" s="171"/>
      <c r="G56" s="80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</row>
    <row r="57" spans="1:20" ht="88.5" customHeight="1" x14ac:dyDescent="0.25">
      <c r="A57" s="182" t="s">
        <v>39</v>
      </c>
      <c r="B57" s="180" t="s">
        <v>13</v>
      </c>
      <c r="C57" s="180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183"/>
      <c r="B58" s="181"/>
      <c r="C58" s="181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72" t="s">
        <v>2</v>
      </c>
      <c r="B63" s="172" t="s">
        <v>3</v>
      </c>
      <c r="C63" s="177" t="s">
        <v>67</v>
      </c>
      <c r="D63" s="172" t="s">
        <v>19</v>
      </c>
      <c r="E63" s="10"/>
      <c r="F63" s="71">
        <v>2016</v>
      </c>
      <c r="G63" s="79"/>
      <c r="H63" s="172">
        <v>2017</v>
      </c>
      <c r="I63" s="172"/>
      <c r="J63" s="172"/>
      <c r="K63" s="172">
        <v>2018</v>
      </c>
      <c r="L63" s="172"/>
      <c r="M63" s="172">
        <v>2019</v>
      </c>
      <c r="N63" s="172"/>
      <c r="O63" s="172">
        <v>2020</v>
      </c>
      <c r="P63" s="172"/>
      <c r="Q63" s="172" t="s">
        <v>78</v>
      </c>
      <c r="R63" s="172"/>
    </row>
    <row r="64" spans="1:20" s="11" customFormat="1" ht="15" customHeight="1" x14ac:dyDescent="0.25">
      <c r="A64" s="172"/>
      <c r="B64" s="172"/>
      <c r="C64" s="178"/>
      <c r="D64" s="172"/>
      <c r="E64" s="10"/>
      <c r="F64" s="171" t="s">
        <v>8</v>
      </c>
      <c r="G64" s="79"/>
      <c r="H64" s="171" t="s">
        <v>8</v>
      </c>
      <c r="I64" s="171" t="s">
        <v>84</v>
      </c>
      <c r="J64" s="171" t="s">
        <v>80</v>
      </c>
      <c r="K64" s="171" t="s">
        <v>8</v>
      </c>
      <c r="L64" s="171" t="s">
        <v>79</v>
      </c>
      <c r="M64" s="171" t="s">
        <v>8</v>
      </c>
      <c r="N64" s="171" t="s">
        <v>79</v>
      </c>
      <c r="O64" s="171" t="s">
        <v>8</v>
      </c>
      <c r="P64" s="171" t="s">
        <v>79</v>
      </c>
      <c r="Q64" s="171" t="s">
        <v>8</v>
      </c>
      <c r="R64" s="171" t="s">
        <v>79</v>
      </c>
    </row>
    <row r="65" spans="1:20" s="11" customFormat="1" ht="47.25" customHeight="1" x14ac:dyDescent="0.25">
      <c r="A65" s="172"/>
      <c r="B65" s="172"/>
      <c r="C65" s="179"/>
      <c r="D65" s="172"/>
      <c r="E65" s="12"/>
      <c r="F65" s="171"/>
      <c r="G65" s="80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topLeftCell="F1" zoomScale="70" zoomScaleNormal="70" workbookViewId="0">
      <selection activeCell="K19" sqref="K19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bestFit="1" customWidth="1"/>
    <col min="13" max="13" width="18.7109375" style="8" bestFit="1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x14ac:dyDescent="0.25">
      <c r="A1" s="222" t="s">
        <v>65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4"/>
    </row>
    <row r="2" spans="1:39" x14ac:dyDescent="0.25">
      <c r="A2" s="8"/>
      <c r="L2" s="165">
        <v>1000000</v>
      </c>
    </row>
    <row r="3" spans="1:39" s="3" customFormat="1" x14ac:dyDescent="0.25">
      <c r="A3" s="222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4"/>
      <c r="AM3" s="94"/>
    </row>
    <row r="4" spans="1:39" s="3" customFormat="1" x14ac:dyDescent="0.25">
      <c r="A4" s="222" t="s">
        <v>92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4"/>
      <c r="AM4" s="94"/>
    </row>
    <row r="5" spans="1:39" s="3" customFormat="1" x14ac:dyDescent="0.25">
      <c r="A5" s="222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4"/>
      <c r="AM5" s="94"/>
    </row>
    <row r="6" spans="1:39" s="3" customFormat="1" x14ac:dyDescent="0.25">
      <c r="A6" s="222" t="s">
        <v>93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4"/>
      <c r="AM6" s="94"/>
    </row>
    <row r="7" spans="1:39" s="3" customFormat="1" x14ac:dyDescent="0.25">
      <c r="A7" s="222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4"/>
      <c r="AM7" s="94"/>
    </row>
    <row r="8" spans="1:39" s="5" customFormat="1" ht="15.75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95"/>
    </row>
    <row r="9" spans="1:39" s="3" customFormat="1" ht="12.75" x14ac:dyDescent="0.2">
      <c r="A9" s="141"/>
      <c r="B9" s="4"/>
      <c r="C9" s="4"/>
      <c r="D9" s="4"/>
      <c r="E9" s="4"/>
      <c r="F9" s="4"/>
      <c r="G9" s="4"/>
      <c r="H9" s="4"/>
      <c r="I9" s="2"/>
      <c r="J9" s="141"/>
      <c r="K9" s="2"/>
      <c r="L9" s="157"/>
      <c r="M9" s="2"/>
      <c r="N9" s="2"/>
      <c r="O9" s="2"/>
      <c r="P9" s="2"/>
      <c r="Q9" s="2"/>
      <c r="R9" s="2"/>
      <c r="T9" s="103"/>
      <c r="U9" s="103"/>
      <c r="V9" s="103"/>
      <c r="W9" s="103"/>
      <c r="Y9" s="103"/>
      <c r="Z9" s="103"/>
      <c r="AA9" s="103"/>
      <c r="AB9" s="103"/>
      <c r="AD9" s="2"/>
      <c r="AE9" s="2"/>
      <c r="AF9" s="103"/>
      <c r="AG9" s="103"/>
      <c r="AI9" s="110"/>
      <c r="AJ9" s="110"/>
      <c r="AK9" s="110"/>
      <c r="AL9" s="111"/>
      <c r="AM9" s="94"/>
    </row>
    <row r="10" spans="1:39" x14ac:dyDescent="0.25">
      <c r="A10" s="143">
        <v>1</v>
      </c>
      <c r="B10" s="123" t="s">
        <v>94</v>
      </c>
      <c r="C10" s="216" t="s">
        <v>97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</row>
    <row r="11" spans="1:39" x14ac:dyDescent="0.25">
      <c r="A11" s="142">
        <v>8</v>
      </c>
      <c r="B11" s="6" t="s">
        <v>160</v>
      </c>
      <c r="C11" s="216" t="s">
        <v>161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</row>
    <row r="12" spans="1:39" x14ac:dyDescent="0.25">
      <c r="A12" s="142">
        <v>19</v>
      </c>
      <c r="B12" s="6" t="s">
        <v>95</v>
      </c>
      <c r="C12" s="216" t="s">
        <v>159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</row>
    <row r="13" spans="1:39" ht="30" x14ac:dyDescent="0.25">
      <c r="A13" s="142">
        <v>3</v>
      </c>
      <c r="B13" s="124" t="s">
        <v>98</v>
      </c>
      <c r="C13" s="216" t="s">
        <v>96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</row>
    <row r="14" spans="1:39" ht="14.25" customHeight="1" x14ac:dyDescent="0.25">
      <c r="F14" s="7"/>
      <c r="G14" s="7"/>
      <c r="H14" s="7"/>
      <c r="I14" s="8"/>
      <c r="J14" s="166"/>
      <c r="K14" s="7"/>
      <c r="L14" s="158"/>
      <c r="M14" s="7"/>
      <c r="N14" s="8"/>
      <c r="O14" s="7"/>
      <c r="P14" s="7"/>
      <c r="Q14" s="7"/>
      <c r="R14" s="92">
        <v>1000000</v>
      </c>
      <c r="T14" s="92"/>
      <c r="U14" s="92"/>
      <c r="V14" s="92">
        <v>1000000</v>
      </c>
      <c r="W14" s="92">
        <v>1000000</v>
      </c>
      <c r="Y14" s="92"/>
      <c r="Z14" s="92"/>
      <c r="AA14" s="92"/>
      <c r="AB14" s="92">
        <v>1000000</v>
      </c>
      <c r="AD14" s="7"/>
      <c r="AE14" s="7"/>
      <c r="AF14" s="92"/>
      <c r="AG14" s="92">
        <v>1000000</v>
      </c>
      <c r="AI14" s="96"/>
      <c r="AJ14" s="96"/>
      <c r="AK14" s="96"/>
    </row>
    <row r="15" spans="1:39" s="11" customFormat="1" ht="27" customHeight="1" x14ac:dyDescent="0.25">
      <c r="A15" s="202" t="s">
        <v>2</v>
      </c>
      <c r="B15" s="177" t="s">
        <v>3</v>
      </c>
      <c r="C15" s="218" t="s">
        <v>87</v>
      </c>
      <c r="D15" s="177" t="s">
        <v>67</v>
      </c>
      <c r="E15" s="218" t="s">
        <v>174</v>
      </c>
      <c r="F15" s="199" t="s">
        <v>101</v>
      </c>
      <c r="G15" s="220" t="s">
        <v>90</v>
      </c>
      <c r="H15" s="172" t="s">
        <v>175</v>
      </c>
      <c r="I15" s="10"/>
      <c r="J15" s="172">
        <v>2020</v>
      </c>
      <c r="K15" s="172"/>
      <c r="L15" s="172"/>
      <c r="M15" s="172"/>
      <c r="N15" s="10"/>
      <c r="O15" s="172">
        <v>2021</v>
      </c>
      <c r="P15" s="172"/>
      <c r="Q15" s="172"/>
      <c r="R15" s="172"/>
      <c r="T15" s="172">
        <v>2022</v>
      </c>
      <c r="U15" s="172"/>
      <c r="V15" s="172"/>
      <c r="W15" s="172"/>
      <c r="Y15" s="172">
        <v>2023</v>
      </c>
      <c r="Z15" s="172"/>
      <c r="AA15" s="172"/>
      <c r="AB15" s="172"/>
      <c r="AD15" s="173">
        <v>2024</v>
      </c>
      <c r="AE15" s="174"/>
      <c r="AF15" s="174"/>
      <c r="AG15" s="174"/>
      <c r="AI15" s="217" t="s">
        <v>102</v>
      </c>
      <c r="AJ15" s="217"/>
      <c r="AK15" s="217"/>
      <c r="AL15" s="217"/>
      <c r="AM15" s="99"/>
    </row>
    <row r="16" spans="1:39" s="11" customFormat="1" ht="16.5" customHeight="1" x14ac:dyDescent="0.25">
      <c r="A16" s="203"/>
      <c r="B16" s="178"/>
      <c r="C16" s="200"/>
      <c r="D16" s="178"/>
      <c r="E16" s="200"/>
      <c r="F16" s="200"/>
      <c r="G16" s="220"/>
      <c r="H16" s="172"/>
      <c r="I16" s="10"/>
      <c r="J16" s="171" t="s">
        <v>4</v>
      </c>
      <c r="K16" s="171"/>
      <c r="L16" s="171" t="s">
        <v>61</v>
      </c>
      <c r="M16" s="171"/>
      <c r="N16" s="10"/>
      <c r="O16" s="171" t="s">
        <v>6</v>
      </c>
      <c r="P16" s="171"/>
      <c r="Q16" s="171" t="s">
        <v>8</v>
      </c>
      <c r="R16" s="171"/>
      <c r="S16" s="10"/>
      <c r="T16" s="171" t="s">
        <v>7</v>
      </c>
      <c r="U16" s="171"/>
      <c r="V16" s="171" t="s">
        <v>8</v>
      </c>
      <c r="W16" s="171"/>
      <c r="Y16" s="171" t="s">
        <v>7</v>
      </c>
      <c r="Z16" s="171"/>
      <c r="AA16" s="171" t="s">
        <v>8</v>
      </c>
      <c r="AB16" s="171"/>
      <c r="AD16" s="171" t="s">
        <v>7</v>
      </c>
      <c r="AE16" s="171"/>
      <c r="AF16" s="171" t="s">
        <v>8</v>
      </c>
      <c r="AG16" s="171"/>
      <c r="AI16" s="175" t="s">
        <v>4</v>
      </c>
      <c r="AJ16" s="175" t="s">
        <v>66</v>
      </c>
      <c r="AK16" s="175" t="s">
        <v>8</v>
      </c>
      <c r="AL16" s="175" t="s">
        <v>5</v>
      </c>
      <c r="AM16" s="99"/>
    </row>
    <row r="17" spans="1:39" s="11" customFormat="1" ht="33" x14ac:dyDescent="0.25">
      <c r="A17" s="204"/>
      <c r="B17" s="179"/>
      <c r="C17" s="219"/>
      <c r="D17" s="179"/>
      <c r="E17" s="219"/>
      <c r="F17" s="201"/>
      <c r="G17" s="220"/>
      <c r="H17" s="172"/>
      <c r="I17" s="12"/>
      <c r="J17" s="155" t="s">
        <v>59</v>
      </c>
      <c r="K17" s="115" t="s">
        <v>60</v>
      </c>
      <c r="L17" s="159" t="s">
        <v>64</v>
      </c>
      <c r="M17" s="115" t="s">
        <v>63</v>
      </c>
      <c r="N17" s="12"/>
      <c r="O17" s="61" t="s">
        <v>59</v>
      </c>
      <c r="P17" s="115" t="s">
        <v>60</v>
      </c>
      <c r="Q17" s="159" t="s">
        <v>64</v>
      </c>
      <c r="R17" s="115" t="s">
        <v>63</v>
      </c>
      <c r="S17" s="10"/>
      <c r="T17" s="61" t="s">
        <v>59</v>
      </c>
      <c r="U17" s="115" t="s">
        <v>60</v>
      </c>
      <c r="V17" s="159" t="s">
        <v>64</v>
      </c>
      <c r="W17" s="115" t="s">
        <v>63</v>
      </c>
      <c r="Y17" s="115" t="s">
        <v>59</v>
      </c>
      <c r="Z17" s="115" t="s">
        <v>60</v>
      </c>
      <c r="AA17" s="115" t="s">
        <v>64</v>
      </c>
      <c r="AB17" s="115" t="s">
        <v>63</v>
      </c>
      <c r="AD17" s="115" t="s">
        <v>59</v>
      </c>
      <c r="AE17" s="115" t="s">
        <v>60</v>
      </c>
      <c r="AF17" s="115" t="s">
        <v>64</v>
      </c>
      <c r="AG17" s="115" t="s">
        <v>63</v>
      </c>
      <c r="AI17" s="176"/>
      <c r="AJ17" s="176"/>
      <c r="AK17" s="176"/>
      <c r="AL17" s="176"/>
      <c r="AM17" s="99"/>
    </row>
    <row r="18" spans="1:39" s="101" customFormat="1" ht="75.75" customHeight="1" x14ac:dyDescent="0.25">
      <c r="A18" s="208" t="s">
        <v>99</v>
      </c>
      <c r="B18" s="180" t="s">
        <v>100</v>
      </c>
      <c r="C18" s="180" t="s">
        <v>89</v>
      </c>
      <c r="D18" s="180" t="s">
        <v>154</v>
      </c>
      <c r="E18" s="211" t="str">
        <f>C11</f>
        <v xml:space="preserve">Aumentar el acceso a vivienda digna, espacio público y equipamientos de la población vulnerable en suelo urbano y rural </v>
      </c>
      <c r="F18" s="139" t="s">
        <v>163</v>
      </c>
      <c r="G18" s="139" t="s">
        <v>104</v>
      </c>
      <c r="H18" s="213" t="str">
        <f>C13</f>
        <v>Sistema Distrital de Cuidado</v>
      </c>
      <c r="I18" s="14"/>
      <c r="J18" s="127">
        <v>0</v>
      </c>
      <c r="K18" s="127">
        <v>0</v>
      </c>
      <c r="L18" s="160"/>
      <c r="M18" s="129"/>
      <c r="N18" s="130"/>
      <c r="O18" s="131">
        <v>0.3</v>
      </c>
      <c r="P18" s="131">
        <v>0</v>
      </c>
      <c r="Q18" s="129"/>
      <c r="R18" s="129"/>
      <c r="S18" s="132"/>
      <c r="T18" s="133">
        <v>0.65</v>
      </c>
      <c r="U18" s="133">
        <v>0</v>
      </c>
      <c r="V18" s="134"/>
      <c r="W18" s="135"/>
      <c r="X18" s="136"/>
      <c r="Y18" s="133">
        <v>0.95</v>
      </c>
      <c r="Z18" s="133">
        <v>0</v>
      </c>
      <c r="AA18" s="134"/>
      <c r="AB18" s="135"/>
      <c r="AC18" s="136"/>
      <c r="AD18" s="137">
        <v>1</v>
      </c>
      <c r="AE18" s="137">
        <v>0</v>
      </c>
      <c r="AF18" s="134"/>
      <c r="AG18" s="135"/>
      <c r="AH18" s="132"/>
      <c r="AI18" s="137">
        <f>AD18</f>
        <v>1</v>
      </c>
      <c r="AJ18" s="137">
        <f>K18+P18+U18+Z18+AE18</f>
        <v>0</v>
      </c>
      <c r="AK18" s="138">
        <f>L18+Q18+V18+AA18+AF18</f>
        <v>0</v>
      </c>
      <c r="AL18" s="138">
        <f>M18+R18+W18+AB18+AG18</f>
        <v>0</v>
      </c>
      <c r="AM18" s="126"/>
    </row>
    <row r="19" spans="1:39" ht="90" x14ac:dyDescent="0.25">
      <c r="A19" s="209"/>
      <c r="B19" s="187"/>
      <c r="C19" s="187"/>
      <c r="D19" s="187"/>
      <c r="E19" s="212"/>
      <c r="F19" s="13" t="s">
        <v>105</v>
      </c>
      <c r="G19" s="13" t="s">
        <v>176</v>
      </c>
      <c r="H19" s="214"/>
      <c r="I19" s="14"/>
      <c r="J19" s="15">
        <v>20</v>
      </c>
      <c r="K19" s="15">
        <v>0</v>
      </c>
      <c r="L19" s="161">
        <f>215000000/L2</f>
        <v>215</v>
      </c>
      <c r="M19" s="29">
        <f>177214388/L2</f>
        <v>177.21438800000001</v>
      </c>
      <c r="N19" s="23"/>
      <c r="O19" s="15">
        <v>418</v>
      </c>
      <c r="P19" s="15">
        <v>0</v>
      </c>
      <c r="Q19" s="29">
        <f>4208000000/L2</f>
        <v>4208</v>
      </c>
      <c r="R19" s="29"/>
      <c r="S19" s="101"/>
      <c r="T19" s="104">
        <v>813</v>
      </c>
      <c r="U19" s="104">
        <v>0</v>
      </c>
      <c r="V19" s="105">
        <f>4316000000/L2</f>
        <v>4316</v>
      </c>
      <c r="W19" s="106"/>
      <c r="X19" s="102"/>
      <c r="Y19" s="104">
        <v>1187</v>
      </c>
      <c r="Z19" s="104">
        <v>0</v>
      </c>
      <c r="AA19" s="105">
        <f>3937000000/L2</f>
        <v>3937</v>
      </c>
      <c r="AB19" s="106"/>
      <c r="AC19" s="102"/>
      <c r="AD19" s="91">
        <v>1250</v>
      </c>
      <c r="AE19" s="91">
        <v>0</v>
      </c>
      <c r="AF19" s="105">
        <f>324000000/L2</f>
        <v>324</v>
      </c>
      <c r="AG19" s="106"/>
      <c r="AH19" s="101"/>
      <c r="AI19" s="91">
        <f>AD19</f>
        <v>1250</v>
      </c>
      <c r="AJ19" s="91">
        <f t="shared" ref="AJ19" si="0">K19+P19+U19+Z19+AE19</f>
        <v>0</v>
      </c>
      <c r="AK19" s="62">
        <f t="shared" ref="AK19" si="1">L19+Q19+V19+AA19+AF19</f>
        <v>13000</v>
      </c>
      <c r="AL19" s="62">
        <f t="shared" ref="AL19" si="2">M19+R19+W19+AB19+AG19</f>
        <v>177.21438800000001</v>
      </c>
      <c r="AM19" s="100"/>
    </row>
    <row r="20" spans="1:39" ht="75" x14ac:dyDescent="0.25">
      <c r="A20" s="209"/>
      <c r="B20" s="187"/>
      <c r="C20" s="187"/>
      <c r="D20" s="187"/>
      <c r="E20" s="212"/>
      <c r="F20" s="13" t="s">
        <v>106</v>
      </c>
      <c r="G20" s="13" t="s">
        <v>107</v>
      </c>
      <c r="H20" s="214"/>
      <c r="I20" s="14"/>
      <c r="J20" s="15">
        <v>0</v>
      </c>
      <c r="K20" s="15">
        <v>0</v>
      </c>
      <c r="L20" s="161">
        <v>0</v>
      </c>
      <c r="M20" s="29"/>
      <c r="N20" s="23"/>
      <c r="O20" s="15">
        <v>400</v>
      </c>
      <c r="P20" s="15">
        <v>0</v>
      </c>
      <c r="Q20" s="29">
        <f>1500000000/L2</f>
        <v>1500</v>
      </c>
      <c r="R20" s="29"/>
      <c r="S20" s="101"/>
      <c r="T20" s="104">
        <v>400</v>
      </c>
      <c r="U20" s="104">
        <v>0</v>
      </c>
      <c r="V20" s="105">
        <f>1550000000/L2</f>
        <v>1550</v>
      </c>
      <c r="W20" s="107"/>
      <c r="X20" s="102"/>
      <c r="Y20" s="104">
        <v>400</v>
      </c>
      <c r="Z20" s="104">
        <v>0</v>
      </c>
      <c r="AA20" s="105">
        <f>1550000000/L2</f>
        <v>1550</v>
      </c>
      <c r="AB20" s="107"/>
      <c r="AC20" s="102"/>
      <c r="AD20" s="91">
        <v>50</v>
      </c>
      <c r="AE20" s="91">
        <v>0</v>
      </c>
      <c r="AF20" s="105">
        <f>400000000/L2</f>
        <v>400</v>
      </c>
      <c r="AG20" s="107"/>
      <c r="AH20" s="101"/>
      <c r="AI20" s="91">
        <f>J20+O20+T20+Y20+AD20</f>
        <v>1250</v>
      </c>
      <c r="AJ20" s="91">
        <f t="shared" ref="AJ20" si="3">K20+P20+U20+Z20+AE20</f>
        <v>0</v>
      </c>
      <c r="AK20" s="62">
        <f t="shared" ref="AK20" si="4">L20+Q20+V20+AA20+AF20</f>
        <v>5000</v>
      </c>
      <c r="AL20" s="62">
        <f t="shared" ref="AL20" si="5">M20+R20+W20+AB20+AG20</f>
        <v>0</v>
      </c>
    </row>
    <row r="21" spans="1:39" s="101" customFormat="1" ht="75.75" customHeight="1" x14ac:dyDescent="0.25">
      <c r="A21" s="209"/>
      <c r="B21" s="187"/>
      <c r="C21" s="187"/>
      <c r="D21" s="187"/>
      <c r="E21" s="212"/>
      <c r="F21" s="139" t="s">
        <v>162</v>
      </c>
      <c r="G21" s="139" t="s">
        <v>108</v>
      </c>
      <c r="H21" s="214"/>
      <c r="I21" s="14"/>
      <c r="J21" s="127">
        <v>0.3</v>
      </c>
      <c r="K21" s="127">
        <v>0</v>
      </c>
      <c r="L21" s="160"/>
      <c r="M21" s="129"/>
      <c r="N21" s="130"/>
      <c r="O21" s="131">
        <v>0.7</v>
      </c>
      <c r="P21" s="131">
        <v>0</v>
      </c>
      <c r="Q21" s="129"/>
      <c r="R21" s="129"/>
      <c r="S21" s="132"/>
      <c r="T21" s="133">
        <v>0.9</v>
      </c>
      <c r="U21" s="133">
        <v>0</v>
      </c>
      <c r="V21" s="134"/>
      <c r="W21" s="135"/>
      <c r="X21" s="136"/>
      <c r="Y21" s="133">
        <v>1</v>
      </c>
      <c r="Z21" s="133">
        <v>0</v>
      </c>
      <c r="AA21" s="134"/>
      <c r="AB21" s="135"/>
      <c r="AC21" s="136"/>
      <c r="AD21" s="137">
        <v>1</v>
      </c>
      <c r="AE21" s="137">
        <v>0</v>
      </c>
      <c r="AF21" s="134"/>
      <c r="AG21" s="135"/>
      <c r="AH21" s="132"/>
      <c r="AI21" s="137">
        <f>AD21</f>
        <v>1</v>
      </c>
      <c r="AJ21" s="137">
        <f>K21+P21+U21+Z21+AE21</f>
        <v>0</v>
      </c>
      <c r="AK21" s="138">
        <f>L21+Q21+V21+AA21+AF21</f>
        <v>0</v>
      </c>
      <c r="AL21" s="138">
        <f>M21+R21+W21+AB21+AG21</f>
        <v>0</v>
      </c>
      <c r="AM21" s="126"/>
    </row>
    <row r="22" spans="1:39" ht="60" x14ac:dyDescent="0.25">
      <c r="A22" s="209"/>
      <c r="B22" s="187"/>
      <c r="C22" s="187"/>
      <c r="D22" s="187"/>
      <c r="E22" s="212"/>
      <c r="F22" s="13" t="s">
        <v>109</v>
      </c>
      <c r="G22" s="13" t="s">
        <v>110</v>
      </c>
      <c r="H22" s="214"/>
      <c r="I22" s="14"/>
      <c r="J22" s="15">
        <v>50</v>
      </c>
      <c r="K22" s="15">
        <v>0</v>
      </c>
      <c r="L22" s="161">
        <f>3162421974/L2</f>
        <v>3162.4219739999999</v>
      </c>
      <c r="M22" s="29">
        <f>1020559489/L2</f>
        <v>1020.559489</v>
      </c>
      <c r="N22" s="23"/>
      <c r="O22" s="15">
        <v>500</v>
      </c>
      <c r="P22" s="15">
        <v>0</v>
      </c>
      <c r="Q22" s="29">
        <f>5500000000/L2</f>
        <v>5500</v>
      </c>
      <c r="R22" s="29"/>
      <c r="S22" s="101"/>
      <c r="T22" s="104">
        <v>500</v>
      </c>
      <c r="U22" s="104">
        <v>0</v>
      </c>
      <c r="V22" s="105">
        <f>5500000000/L2</f>
        <v>5500</v>
      </c>
      <c r="W22" s="107"/>
      <c r="X22" s="102"/>
      <c r="Y22" s="104">
        <v>400</v>
      </c>
      <c r="Z22" s="104">
        <v>0</v>
      </c>
      <c r="AA22" s="105">
        <f>4000000000/L2</f>
        <v>4000</v>
      </c>
      <c r="AB22" s="107"/>
      <c r="AC22" s="102"/>
      <c r="AD22" s="91">
        <v>50</v>
      </c>
      <c r="AE22" s="91">
        <v>0</v>
      </c>
      <c r="AF22" s="105">
        <f>500000000/L2</f>
        <v>500</v>
      </c>
      <c r="AG22" s="107"/>
      <c r="AH22" s="101"/>
      <c r="AI22" s="91">
        <f>J22+O22+T22+Y22+AD22</f>
        <v>1500</v>
      </c>
      <c r="AJ22" s="91">
        <f t="shared" ref="AJ22" si="6">K22+P22+U22+Z22+AE22</f>
        <v>0</v>
      </c>
      <c r="AK22" s="62">
        <f t="shared" ref="AK22" si="7">L22+Q22+V22+AA22+AF22</f>
        <v>18662.421974000001</v>
      </c>
      <c r="AL22" s="62">
        <f t="shared" ref="AL22" si="8">M22+R22+W22+AB22+AG22</f>
        <v>1020.559489</v>
      </c>
    </row>
    <row r="23" spans="1:39" s="101" customFormat="1" ht="75.75" customHeight="1" x14ac:dyDescent="0.25">
      <c r="A23" s="209"/>
      <c r="B23" s="187"/>
      <c r="C23" s="187"/>
      <c r="D23" s="187"/>
      <c r="E23" s="212"/>
      <c r="F23" s="139" t="s">
        <v>164</v>
      </c>
      <c r="G23" s="139" t="s">
        <v>111</v>
      </c>
      <c r="H23" s="214"/>
      <c r="I23" s="14"/>
      <c r="J23" s="127">
        <v>0.2</v>
      </c>
      <c r="K23" s="127">
        <v>0.05</v>
      </c>
      <c r="L23" s="160"/>
      <c r="M23" s="129"/>
      <c r="N23" s="130"/>
      <c r="O23" s="131">
        <v>0.6</v>
      </c>
      <c r="P23" s="131">
        <v>0</v>
      </c>
      <c r="Q23" s="129"/>
      <c r="R23" s="129"/>
      <c r="S23" s="132"/>
      <c r="T23" s="133">
        <v>0.8</v>
      </c>
      <c r="U23" s="133">
        <v>0</v>
      </c>
      <c r="V23" s="134"/>
      <c r="W23" s="135"/>
      <c r="X23" s="136"/>
      <c r="Y23" s="133">
        <v>1</v>
      </c>
      <c r="Z23" s="133">
        <v>0</v>
      </c>
      <c r="AA23" s="134"/>
      <c r="AB23" s="135"/>
      <c r="AC23" s="136"/>
      <c r="AD23" s="137">
        <v>1</v>
      </c>
      <c r="AE23" s="137">
        <v>0</v>
      </c>
      <c r="AF23" s="134"/>
      <c r="AG23" s="135"/>
      <c r="AH23" s="132"/>
      <c r="AI23" s="137">
        <f>AD23</f>
        <v>1</v>
      </c>
      <c r="AJ23" s="137">
        <f>K23+P23+U23+Z23+AE23</f>
        <v>0.05</v>
      </c>
      <c r="AK23" s="138">
        <f>L23+Q23+V23+AA23+AF23</f>
        <v>0</v>
      </c>
      <c r="AL23" s="138">
        <f>M23+R23+W23+AB23+AG23</f>
        <v>0</v>
      </c>
      <c r="AM23" s="126"/>
    </row>
    <row r="24" spans="1:39" ht="75" x14ac:dyDescent="0.25">
      <c r="A24" s="209"/>
      <c r="B24" s="181"/>
      <c r="C24" s="181"/>
      <c r="D24" s="181"/>
      <c r="E24" s="221"/>
      <c r="F24" s="13" t="s">
        <v>112</v>
      </c>
      <c r="G24" s="13" t="s">
        <v>111</v>
      </c>
      <c r="H24" s="214"/>
      <c r="I24" s="14"/>
      <c r="J24" s="26">
        <v>0.2</v>
      </c>
      <c r="K24" s="112">
        <v>0.05</v>
      </c>
      <c r="L24" s="161">
        <f>80000000/L2</f>
        <v>80</v>
      </c>
      <c r="M24" s="29">
        <f>27000000/L2</f>
        <v>27</v>
      </c>
      <c r="N24" s="23"/>
      <c r="O24" s="26">
        <v>0.6</v>
      </c>
      <c r="P24" s="26">
        <v>0</v>
      </c>
      <c r="Q24" s="29">
        <f>4650000000/L2</f>
        <v>4650</v>
      </c>
      <c r="R24" s="29"/>
      <c r="S24" s="101"/>
      <c r="T24" s="140">
        <v>0.8</v>
      </c>
      <c r="U24" s="125">
        <v>0</v>
      </c>
      <c r="V24" s="105">
        <f>4650000000/L2</f>
        <v>4650</v>
      </c>
      <c r="W24" s="106"/>
      <c r="X24" s="102"/>
      <c r="Y24" s="140">
        <v>1</v>
      </c>
      <c r="Z24" s="125">
        <v>0</v>
      </c>
      <c r="AA24" s="105">
        <f>5550000000/L2</f>
        <v>5550</v>
      </c>
      <c r="AB24" s="106"/>
      <c r="AC24" s="102"/>
      <c r="AD24" s="112">
        <v>1</v>
      </c>
      <c r="AE24" s="112">
        <v>0</v>
      </c>
      <c r="AF24" s="105">
        <f>70000000/L2</f>
        <v>70</v>
      </c>
      <c r="AG24" s="106"/>
      <c r="AH24" s="101"/>
      <c r="AI24" s="112">
        <f>AD24</f>
        <v>1</v>
      </c>
      <c r="AJ24" s="112">
        <f t="shared" ref="AJ24" si="9">K24+P24+U24+Z24+AE24</f>
        <v>0.05</v>
      </c>
      <c r="AK24" s="62">
        <f t="shared" ref="AK24" si="10">L24+Q24+V24+AA24+AF24</f>
        <v>15000</v>
      </c>
      <c r="AL24" s="62">
        <f t="shared" ref="AL24" si="11">M24+R24+W24+AB24+AG24</f>
        <v>27</v>
      </c>
      <c r="AM24" s="100"/>
    </row>
    <row r="25" spans="1:39" s="6" customFormat="1" ht="15.75" x14ac:dyDescent="0.25">
      <c r="A25" s="17"/>
      <c r="B25" s="116" t="s">
        <v>103</v>
      </c>
      <c r="C25" s="116"/>
      <c r="D25" s="116"/>
      <c r="E25" s="116"/>
      <c r="F25" s="39"/>
      <c r="G25" s="39"/>
      <c r="H25" s="39"/>
      <c r="I25" s="40"/>
      <c r="J25" s="41"/>
      <c r="K25" s="41"/>
      <c r="L25" s="162">
        <f>SUM(L18:L24)</f>
        <v>3457.4219739999999</v>
      </c>
      <c r="M25" s="42">
        <f>SUM(M18:M24)</f>
        <v>1224.7738770000001</v>
      </c>
      <c r="N25" s="51"/>
      <c r="O25" s="41"/>
      <c r="P25" s="41"/>
      <c r="Q25" s="42">
        <f>SUM(Q18:Q24)</f>
        <v>15858</v>
      </c>
      <c r="R25" s="42">
        <f>SUM(R18:R24)</f>
        <v>0</v>
      </c>
      <c r="T25" s="41"/>
      <c r="U25" s="41"/>
      <c r="V25" s="42">
        <f>SUM(V18:V24)</f>
        <v>16016</v>
      </c>
      <c r="W25" s="42">
        <f>SUM(W18:W24)</f>
        <v>0</v>
      </c>
      <c r="Y25" s="41"/>
      <c r="Z25" s="41"/>
      <c r="AA25" s="42">
        <f>SUM(AA18:AA24)</f>
        <v>15037</v>
      </c>
      <c r="AB25" s="42">
        <f>SUM(AB18:AB24)</f>
        <v>0</v>
      </c>
      <c r="AC25" s="113"/>
      <c r="AD25" s="41"/>
      <c r="AE25" s="42"/>
      <c r="AF25" s="42">
        <f>SUM(AF18:AF24)</f>
        <v>1294</v>
      </c>
      <c r="AG25" s="42">
        <f>SUM(AG18:AG24)</f>
        <v>0</v>
      </c>
      <c r="AI25" s="97"/>
      <c r="AJ25" s="97"/>
      <c r="AK25" s="64">
        <f>SUM(AK18:AK24)</f>
        <v>51662.421973999997</v>
      </c>
      <c r="AL25" s="64">
        <f>SUM(AL18:AL24)</f>
        <v>1224.7738770000001</v>
      </c>
      <c r="AM25" s="99"/>
    </row>
    <row r="26" spans="1:39" s="3" customFormat="1" ht="12.75" x14ac:dyDescent="0.2">
      <c r="A26" s="141"/>
      <c r="B26" s="4"/>
      <c r="C26" s="4"/>
      <c r="D26" s="4"/>
      <c r="E26" s="4"/>
      <c r="F26" s="4"/>
      <c r="G26" s="4"/>
      <c r="H26" s="4"/>
      <c r="I26" s="2"/>
      <c r="J26" s="141"/>
      <c r="K26" s="2"/>
      <c r="L26" s="157"/>
      <c r="M26" s="2"/>
      <c r="N26" s="2"/>
      <c r="O26" s="2"/>
      <c r="P26" s="2"/>
      <c r="Q26" s="2"/>
      <c r="R26" s="2"/>
      <c r="T26" s="103"/>
      <c r="U26" s="103"/>
      <c r="V26" s="103"/>
      <c r="W26" s="103"/>
      <c r="Y26" s="103"/>
      <c r="Z26" s="103"/>
      <c r="AA26" s="103"/>
      <c r="AB26" s="103"/>
      <c r="AD26" s="2"/>
      <c r="AE26" s="2"/>
      <c r="AF26" s="103"/>
      <c r="AG26" s="103"/>
      <c r="AI26" s="110"/>
      <c r="AJ26" s="110"/>
      <c r="AK26" s="110"/>
      <c r="AL26" s="111"/>
      <c r="AM26" s="94"/>
    </row>
    <row r="27" spans="1:39" s="5" customFormat="1" ht="15.75" customHeight="1" x14ac:dyDescent="0.2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95"/>
    </row>
    <row r="28" spans="1:39" s="3" customFormat="1" ht="12.75" x14ac:dyDescent="0.2">
      <c r="A28" s="141"/>
      <c r="B28" s="4"/>
      <c r="C28" s="4"/>
      <c r="D28" s="4"/>
      <c r="E28" s="4"/>
      <c r="F28" s="4"/>
      <c r="G28" s="4"/>
      <c r="H28" s="4"/>
      <c r="I28" s="2"/>
      <c r="J28" s="141"/>
      <c r="K28" s="2"/>
      <c r="L28" s="157"/>
      <c r="M28" s="2"/>
      <c r="N28" s="2"/>
      <c r="O28" s="2"/>
      <c r="P28" s="2"/>
      <c r="Q28" s="2"/>
      <c r="R28" s="2"/>
      <c r="T28" s="103"/>
      <c r="U28" s="103"/>
      <c r="V28" s="103"/>
      <c r="W28" s="103"/>
      <c r="Y28" s="103"/>
      <c r="Z28" s="103"/>
      <c r="AA28" s="103"/>
      <c r="AB28" s="103"/>
      <c r="AD28" s="2"/>
      <c r="AE28" s="2"/>
      <c r="AF28" s="103"/>
      <c r="AG28" s="103"/>
      <c r="AI28" s="110"/>
      <c r="AJ28" s="110"/>
      <c r="AK28" s="110"/>
      <c r="AL28" s="111"/>
      <c r="AM28" s="94"/>
    </row>
    <row r="29" spans="1:39" x14ac:dyDescent="0.25">
      <c r="A29" s="143">
        <v>1</v>
      </c>
      <c r="B29" s="123" t="s">
        <v>94</v>
      </c>
      <c r="C29" s="216" t="s">
        <v>113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</row>
    <row r="30" spans="1:39" x14ac:dyDescent="0.25">
      <c r="A30" s="142">
        <v>8</v>
      </c>
      <c r="B30" s="6" t="s">
        <v>160</v>
      </c>
      <c r="C30" s="216" t="s">
        <v>161</v>
      </c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</row>
    <row r="31" spans="1:39" x14ac:dyDescent="0.25">
      <c r="A31" s="142">
        <v>19</v>
      </c>
      <c r="B31" s="6" t="s">
        <v>95</v>
      </c>
      <c r="C31" s="216" t="s">
        <v>159</v>
      </c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</row>
    <row r="32" spans="1:39" ht="30" x14ac:dyDescent="0.25">
      <c r="A32" s="142">
        <v>3</v>
      </c>
      <c r="B32" s="124" t="s">
        <v>98</v>
      </c>
      <c r="C32" s="216" t="s">
        <v>114</v>
      </c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</row>
    <row r="33" spans="1:39" x14ac:dyDescent="0.25">
      <c r="A33" s="144"/>
      <c r="F33" s="7"/>
      <c r="G33" s="7"/>
      <c r="H33" s="7"/>
      <c r="I33" s="8"/>
      <c r="J33" s="166"/>
      <c r="K33" s="7"/>
      <c r="L33" s="158"/>
      <c r="M33" s="7"/>
      <c r="N33" s="8"/>
      <c r="O33" s="7"/>
      <c r="P33" s="7"/>
      <c r="Q33" s="7"/>
      <c r="R33" s="7"/>
      <c r="T33" s="7"/>
      <c r="U33" s="7"/>
      <c r="V33" s="72"/>
      <c r="W33" s="72"/>
      <c r="Y33" s="7"/>
      <c r="Z33" s="7"/>
      <c r="AA33" s="72"/>
      <c r="AB33" s="72"/>
      <c r="AC33" s="101"/>
      <c r="AD33" s="109"/>
      <c r="AE33" s="109"/>
      <c r="AF33" s="72"/>
      <c r="AG33" s="72"/>
      <c r="AI33" s="96"/>
      <c r="AJ33" s="96"/>
      <c r="AK33" s="98"/>
    </row>
    <row r="34" spans="1:39" s="11" customFormat="1" ht="27" customHeight="1" x14ac:dyDescent="0.25">
      <c r="A34" s="202" t="s">
        <v>2</v>
      </c>
      <c r="B34" s="177" t="s">
        <v>3</v>
      </c>
      <c r="C34" s="218" t="s">
        <v>87</v>
      </c>
      <c r="D34" s="177" t="s">
        <v>67</v>
      </c>
      <c r="E34" s="218" t="s">
        <v>174</v>
      </c>
      <c r="F34" s="199" t="s">
        <v>101</v>
      </c>
      <c r="G34" s="220" t="s">
        <v>90</v>
      </c>
      <c r="H34" s="172" t="s">
        <v>175</v>
      </c>
      <c r="I34" s="10"/>
      <c r="J34" s="172">
        <v>2020</v>
      </c>
      <c r="K34" s="172"/>
      <c r="L34" s="172"/>
      <c r="M34" s="172"/>
      <c r="N34" s="10"/>
      <c r="O34" s="172">
        <v>2021</v>
      </c>
      <c r="P34" s="172"/>
      <c r="Q34" s="172"/>
      <c r="R34" s="172"/>
      <c r="T34" s="172">
        <v>2022</v>
      </c>
      <c r="U34" s="172"/>
      <c r="V34" s="172"/>
      <c r="W34" s="172"/>
      <c r="Y34" s="172">
        <v>2023</v>
      </c>
      <c r="Z34" s="172"/>
      <c r="AA34" s="172"/>
      <c r="AB34" s="172"/>
      <c r="AD34" s="173">
        <v>2024</v>
      </c>
      <c r="AE34" s="174"/>
      <c r="AF34" s="174"/>
      <c r="AG34" s="174"/>
      <c r="AI34" s="217" t="s">
        <v>102</v>
      </c>
      <c r="AJ34" s="217"/>
      <c r="AK34" s="217"/>
      <c r="AL34" s="217"/>
      <c r="AM34" s="99"/>
    </row>
    <row r="35" spans="1:39" s="11" customFormat="1" ht="16.5" customHeight="1" x14ac:dyDescent="0.25">
      <c r="A35" s="203"/>
      <c r="B35" s="178"/>
      <c r="C35" s="200"/>
      <c r="D35" s="178"/>
      <c r="E35" s="200"/>
      <c r="F35" s="200"/>
      <c r="G35" s="220"/>
      <c r="H35" s="172"/>
      <c r="I35" s="10"/>
      <c r="J35" s="171" t="s">
        <v>4</v>
      </c>
      <c r="K35" s="171"/>
      <c r="L35" s="171" t="s">
        <v>61</v>
      </c>
      <c r="M35" s="171"/>
      <c r="N35" s="10"/>
      <c r="O35" s="171" t="s">
        <v>6</v>
      </c>
      <c r="P35" s="171"/>
      <c r="Q35" s="171" t="s">
        <v>8</v>
      </c>
      <c r="R35" s="171"/>
      <c r="S35" s="10"/>
      <c r="T35" s="171" t="s">
        <v>7</v>
      </c>
      <c r="U35" s="171"/>
      <c r="V35" s="171" t="s">
        <v>8</v>
      </c>
      <c r="W35" s="171"/>
      <c r="Y35" s="171" t="s">
        <v>7</v>
      </c>
      <c r="Z35" s="171"/>
      <c r="AA35" s="171" t="s">
        <v>8</v>
      </c>
      <c r="AB35" s="171"/>
      <c r="AD35" s="171" t="s">
        <v>7</v>
      </c>
      <c r="AE35" s="171"/>
      <c r="AF35" s="171" t="s">
        <v>8</v>
      </c>
      <c r="AG35" s="171"/>
      <c r="AI35" s="175" t="s">
        <v>4</v>
      </c>
      <c r="AJ35" s="175" t="s">
        <v>66</v>
      </c>
      <c r="AK35" s="175" t="s">
        <v>8</v>
      </c>
      <c r="AL35" s="175" t="s">
        <v>5</v>
      </c>
      <c r="AM35" s="99"/>
    </row>
    <row r="36" spans="1:39" s="11" customFormat="1" ht="33" x14ac:dyDescent="0.25">
      <c r="A36" s="204"/>
      <c r="B36" s="179"/>
      <c r="C36" s="219"/>
      <c r="D36" s="179"/>
      <c r="E36" s="219"/>
      <c r="F36" s="201"/>
      <c r="G36" s="220"/>
      <c r="H36" s="172"/>
      <c r="I36" s="12"/>
      <c r="J36" s="155" t="s">
        <v>59</v>
      </c>
      <c r="K36" s="117" t="s">
        <v>60</v>
      </c>
      <c r="L36" s="159" t="s">
        <v>62</v>
      </c>
      <c r="M36" s="117" t="s">
        <v>63</v>
      </c>
      <c r="N36" s="12"/>
      <c r="O36" s="61" t="s">
        <v>59</v>
      </c>
      <c r="P36" s="117" t="s">
        <v>60</v>
      </c>
      <c r="Q36" s="61" t="s">
        <v>62</v>
      </c>
      <c r="R36" s="117" t="s">
        <v>63</v>
      </c>
      <c r="S36" s="10"/>
      <c r="T36" s="61" t="s">
        <v>59</v>
      </c>
      <c r="U36" s="117" t="s">
        <v>60</v>
      </c>
      <c r="V36" s="117" t="s">
        <v>62</v>
      </c>
      <c r="W36" s="117" t="s">
        <v>63</v>
      </c>
      <c r="Y36" s="117" t="s">
        <v>59</v>
      </c>
      <c r="Z36" s="117" t="s">
        <v>60</v>
      </c>
      <c r="AA36" s="117" t="s">
        <v>64</v>
      </c>
      <c r="AB36" s="117" t="s">
        <v>63</v>
      </c>
      <c r="AD36" s="117" t="s">
        <v>59</v>
      </c>
      <c r="AE36" s="117" t="s">
        <v>60</v>
      </c>
      <c r="AF36" s="117" t="s">
        <v>64</v>
      </c>
      <c r="AG36" s="117" t="s">
        <v>63</v>
      </c>
      <c r="AI36" s="176"/>
      <c r="AJ36" s="176"/>
      <c r="AK36" s="176"/>
      <c r="AL36" s="176"/>
      <c r="AM36" s="99"/>
    </row>
    <row r="37" spans="1:39" ht="75.75" customHeight="1" x14ac:dyDescent="0.25">
      <c r="A37" s="208" t="s">
        <v>115</v>
      </c>
      <c r="B37" s="180" t="s">
        <v>116</v>
      </c>
      <c r="C37" s="180" t="s">
        <v>117</v>
      </c>
      <c r="D37" s="180" t="s">
        <v>155</v>
      </c>
      <c r="E37" s="211" t="str">
        <f>C30</f>
        <v xml:space="preserve">Aumentar el acceso a vivienda digna, espacio público y equipamientos de la población vulnerable en suelo urbano y rural </v>
      </c>
      <c r="F37" s="139" t="s">
        <v>165</v>
      </c>
      <c r="G37" s="139" t="s">
        <v>91</v>
      </c>
      <c r="H37" s="213" t="str">
        <f>C32</f>
        <v>Sistema Distrital de cuidado</v>
      </c>
      <c r="I37" s="14"/>
      <c r="J37" s="128">
        <v>300</v>
      </c>
      <c r="K37" s="128">
        <v>161</v>
      </c>
      <c r="L37" s="160"/>
      <c r="M37" s="129"/>
      <c r="N37" s="130"/>
      <c r="O37" s="145">
        <v>600</v>
      </c>
      <c r="P37" s="145">
        <v>0</v>
      </c>
      <c r="Q37" s="129"/>
      <c r="R37" s="129"/>
      <c r="S37" s="132"/>
      <c r="T37" s="146">
        <v>600</v>
      </c>
      <c r="U37" s="146">
        <v>0</v>
      </c>
      <c r="V37" s="134"/>
      <c r="W37" s="135"/>
      <c r="X37" s="136"/>
      <c r="Y37" s="146">
        <v>600</v>
      </c>
      <c r="Z37" s="146">
        <v>0</v>
      </c>
      <c r="AA37" s="134"/>
      <c r="AB37" s="135"/>
      <c r="AC37" s="136"/>
      <c r="AD37" s="147">
        <v>300</v>
      </c>
      <c r="AE37" s="147">
        <v>0</v>
      </c>
      <c r="AF37" s="134"/>
      <c r="AG37" s="135"/>
      <c r="AH37" s="132"/>
      <c r="AI37" s="147">
        <f t="shared" ref="AI37:AL38" si="12">J37+O37+T37+Y37+AD37</f>
        <v>2400</v>
      </c>
      <c r="AJ37" s="147">
        <f t="shared" si="12"/>
        <v>161</v>
      </c>
      <c r="AK37" s="138">
        <f t="shared" si="12"/>
        <v>0</v>
      </c>
      <c r="AL37" s="138">
        <f t="shared" si="12"/>
        <v>0</v>
      </c>
      <c r="AM37" s="100"/>
    </row>
    <row r="38" spans="1:39" ht="75.75" customHeight="1" x14ac:dyDescent="0.25">
      <c r="A38" s="209"/>
      <c r="B38" s="187"/>
      <c r="C38" s="187"/>
      <c r="D38" s="187"/>
      <c r="E38" s="212"/>
      <c r="F38" s="13" t="s">
        <v>118</v>
      </c>
      <c r="G38" s="13" t="s">
        <v>91</v>
      </c>
      <c r="H38" s="214"/>
      <c r="I38" s="14"/>
      <c r="J38" s="108">
        <v>300</v>
      </c>
      <c r="K38" s="108">
        <v>161</v>
      </c>
      <c r="L38" s="163">
        <f>3717873327/L2</f>
        <v>3717.8733269999998</v>
      </c>
      <c r="M38" s="29">
        <f>1344460096/L2</f>
        <v>1344.460096</v>
      </c>
      <c r="N38" s="23"/>
      <c r="O38" s="15">
        <v>600</v>
      </c>
      <c r="P38" s="15">
        <v>0</v>
      </c>
      <c r="Q38" s="29">
        <f>3775257731/L2</f>
        <v>3775.2577310000001</v>
      </c>
      <c r="R38" s="29"/>
      <c r="S38" s="101"/>
      <c r="T38" s="104">
        <v>600</v>
      </c>
      <c r="U38" s="104">
        <v>0</v>
      </c>
      <c r="V38" s="29">
        <f>3775257731/L2</f>
        <v>3775.2577310000001</v>
      </c>
      <c r="W38" s="106"/>
      <c r="X38" s="102"/>
      <c r="Y38" s="104">
        <v>600</v>
      </c>
      <c r="Z38" s="104">
        <v>0</v>
      </c>
      <c r="AA38" s="29">
        <f>3775257731/L2</f>
        <v>3775.2577310000001</v>
      </c>
      <c r="AB38" s="106"/>
      <c r="AC38" s="102"/>
      <c r="AD38" s="91">
        <v>300</v>
      </c>
      <c r="AE38" s="91">
        <v>0</v>
      </c>
      <c r="AF38" s="105">
        <f>1887628865/L2</f>
        <v>1887.6288649999999</v>
      </c>
      <c r="AG38" s="106"/>
      <c r="AH38" s="101"/>
      <c r="AI38" s="91">
        <f t="shared" si="12"/>
        <v>2400</v>
      </c>
      <c r="AJ38" s="91">
        <f t="shared" si="12"/>
        <v>161</v>
      </c>
      <c r="AK38" s="62">
        <f t="shared" si="12"/>
        <v>16931.275385000001</v>
      </c>
      <c r="AL38" s="62">
        <f t="shared" si="12"/>
        <v>1344.460096</v>
      </c>
      <c r="AM38" s="100"/>
    </row>
    <row r="39" spans="1:39" ht="39.75" customHeight="1" x14ac:dyDescent="0.25">
      <c r="A39" s="209"/>
      <c r="B39" s="187"/>
      <c r="C39" s="187"/>
      <c r="D39" s="187"/>
      <c r="E39" s="212"/>
      <c r="F39" s="13" t="s">
        <v>119</v>
      </c>
      <c r="G39" s="13" t="s">
        <v>120</v>
      </c>
      <c r="H39" s="214"/>
      <c r="I39" s="14"/>
      <c r="J39" s="15">
        <v>1</v>
      </c>
      <c r="K39" s="15">
        <v>0</v>
      </c>
      <c r="L39" s="161">
        <f>20694600/L2</f>
        <v>20.694600000000001</v>
      </c>
      <c r="M39" s="167">
        <f>348195/L2</f>
        <v>0.34819499999999998</v>
      </c>
      <c r="N39" s="23"/>
      <c r="O39" s="15">
        <v>1</v>
      </c>
      <c r="P39" s="15">
        <v>0</v>
      </c>
      <c r="Q39" s="29">
        <f>711330074/L2</f>
        <v>711.33007399999997</v>
      </c>
      <c r="R39" s="29"/>
      <c r="S39" s="101"/>
      <c r="T39" s="104">
        <v>1</v>
      </c>
      <c r="U39" s="104">
        <v>0</v>
      </c>
      <c r="V39" s="29">
        <f>711330074/L2</f>
        <v>711.33007399999997</v>
      </c>
      <c r="W39" s="107"/>
      <c r="X39" s="102"/>
      <c r="Y39" s="104">
        <v>1</v>
      </c>
      <c r="Z39" s="104">
        <v>0</v>
      </c>
      <c r="AA39" s="105">
        <f>1066995111/L2</f>
        <v>1066.995111</v>
      </c>
      <c r="AB39" s="107"/>
      <c r="AC39" s="102"/>
      <c r="AD39" s="91">
        <v>0</v>
      </c>
      <c r="AE39" s="91">
        <v>0</v>
      </c>
      <c r="AF39" s="105">
        <v>0</v>
      </c>
      <c r="AG39" s="107"/>
      <c r="AH39" s="101"/>
      <c r="AI39" s="91">
        <f>J39+O39+T39+Y39+AD39</f>
        <v>4</v>
      </c>
      <c r="AJ39" s="91">
        <f t="shared" ref="AJ39:AJ40" si="13">K39+P39+U39+Z39+AE39</f>
        <v>0</v>
      </c>
      <c r="AK39" s="62">
        <f t="shared" ref="AK39:AK40" si="14">L39+Q39+V39+AA39+AF39</f>
        <v>2510.3498589999999</v>
      </c>
      <c r="AL39" s="62">
        <f t="shared" ref="AL39:AL40" si="15">M39+R39+W39+AB39+AG39</f>
        <v>0.34819499999999998</v>
      </c>
    </row>
    <row r="40" spans="1:39" ht="43.5" customHeight="1" x14ac:dyDescent="0.25">
      <c r="A40" s="209"/>
      <c r="B40" s="187"/>
      <c r="C40" s="187"/>
      <c r="D40" s="187"/>
      <c r="E40" s="212"/>
      <c r="F40" s="13" t="s">
        <v>121</v>
      </c>
      <c r="G40" s="13" t="s">
        <v>122</v>
      </c>
      <c r="H40" s="214"/>
      <c r="I40" s="14"/>
      <c r="J40" s="15">
        <v>1</v>
      </c>
      <c r="K40" s="15">
        <v>0</v>
      </c>
      <c r="L40" s="161">
        <f>724176632/L2</f>
        <v>724.17663200000004</v>
      </c>
      <c r="M40" s="29">
        <f>596819455/L2</f>
        <v>596.81945499999995</v>
      </c>
      <c r="N40" s="23"/>
      <c r="O40" s="15">
        <v>1</v>
      </c>
      <c r="P40" s="15">
        <v>0</v>
      </c>
      <c r="Q40" s="29">
        <f>834198124/L2</f>
        <v>834.19812400000001</v>
      </c>
      <c r="R40" s="29"/>
      <c r="S40" s="101"/>
      <c r="T40" s="104">
        <v>0</v>
      </c>
      <c r="U40" s="104">
        <v>0</v>
      </c>
      <c r="V40" s="105">
        <v>0</v>
      </c>
      <c r="W40" s="105"/>
      <c r="X40" s="102"/>
      <c r="Y40" s="104">
        <v>0</v>
      </c>
      <c r="Z40" s="104">
        <v>0</v>
      </c>
      <c r="AA40" s="105">
        <v>0</v>
      </c>
      <c r="AB40" s="105"/>
      <c r="AC40" s="102"/>
      <c r="AD40" s="91">
        <v>0</v>
      </c>
      <c r="AE40" s="91">
        <v>0</v>
      </c>
      <c r="AF40" s="105">
        <v>0</v>
      </c>
      <c r="AG40" s="105"/>
      <c r="AH40" s="101"/>
      <c r="AI40" s="91">
        <f>J40+O40+T40+Y40+AD40</f>
        <v>2</v>
      </c>
      <c r="AJ40" s="91">
        <f t="shared" si="13"/>
        <v>0</v>
      </c>
      <c r="AK40" s="62">
        <f t="shared" si="14"/>
        <v>1558.3747560000002</v>
      </c>
      <c r="AL40" s="62">
        <f t="shared" si="15"/>
        <v>596.81945499999995</v>
      </c>
      <c r="AM40" s="100"/>
    </row>
    <row r="41" spans="1:39" s="6" customFormat="1" ht="15.75" x14ac:dyDescent="0.25">
      <c r="A41" s="17"/>
      <c r="B41" s="119" t="s">
        <v>103</v>
      </c>
      <c r="C41" s="119"/>
      <c r="D41" s="119"/>
      <c r="E41" s="119"/>
      <c r="F41" s="39"/>
      <c r="G41" s="39"/>
      <c r="H41" s="39"/>
      <c r="I41" s="40"/>
      <c r="J41" s="41"/>
      <c r="K41" s="41"/>
      <c r="L41" s="162">
        <f>SUM(L37:L40)</f>
        <v>4462.7445589999998</v>
      </c>
      <c r="M41" s="42">
        <f>SUM(M37:M40)</f>
        <v>1941.6277460000001</v>
      </c>
      <c r="N41" s="51"/>
      <c r="O41" s="41"/>
      <c r="P41" s="41"/>
      <c r="Q41" s="42">
        <f>SUM(Q37:Q40)</f>
        <v>5320.7859289999997</v>
      </c>
      <c r="R41" s="42">
        <f>SUM(R37:R40)</f>
        <v>0</v>
      </c>
      <c r="T41" s="41"/>
      <c r="U41" s="41"/>
      <c r="V41" s="42">
        <f>SUM(V37:V40)</f>
        <v>4486.5878050000001</v>
      </c>
      <c r="W41" s="42">
        <f>SUM(W37:W40)</f>
        <v>0</v>
      </c>
      <c r="Y41" s="41"/>
      <c r="Z41" s="41"/>
      <c r="AA41" s="42">
        <f>SUM(AA37:AA40)</f>
        <v>4842.2528419999999</v>
      </c>
      <c r="AB41" s="42">
        <f>SUM(AB37:AB40)</f>
        <v>0</v>
      </c>
      <c r="AC41" s="113"/>
      <c r="AD41" s="41"/>
      <c r="AE41" s="42"/>
      <c r="AF41" s="42">
        <f>SUM(AF37:AF40)</f>
        <v>1887.6288649999999</v>
      </c>
      <c r="AG41" s="42">
        <f>SUM(AG37:AG40)</f>
        <v>0</v>
      </c>
      <c r="AI41" s="97"/>
      <c r="AJ41" s="97"/>
      <c r="AK41" s="64">
        <f>SUM(AK37:AK40)</f>
        <v>21000.000000000004</v>
      </c>
      <c r="AL41" s="64">
        <f>SUM(AL37:AL40)</f>
        <v>1941.6277460000001</v>
      </c>
      <c r="AM41" s="99"/>
    </row>
    <row r="43" spans="1:39" s="5" customFormat="1" ht="15.75" customHeight="1" x14ac:dyDescent="0.2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95"/>
    </row>
    <row r="44" spans="1:39" s="3" customFormat="1" ht="12.75" x14ac:dyDescent="0.2">
      <c r="A44" s="141"/>
      <c r="B44" s="4"/>
      <c r="C44" s="4"/>
      <c r="D44" s="4"/>
      <c r="E44" s="4"/>
      <c r="F44" s="4"/>
      <c r="G44" s="4"/>
      <c r="H44" s="4"/>
      <c r="I44" s="2"/>
      <c r="J44" s="141"/>
      <c r="K44" s="2"/>
      <c r="L44" s="157"/>
      <c r="M44" s="2"/>
      <c r="N44" s="2"/>
      <c r="O44" s="2"/>
      <c r="P44" s="2"/>
      <c r="Q44" s="2"/>
      <c r="R44" s="2"/>
      <c r="T44" s="103"/>
      <c r="U44" s="103"/>
      <c r="V44" s="103"/>
      <c r="W44" s="103"/>
      <c r="Y44" s="103"/>
      <c r="Z44" s="103"/>
      <c r="AA44" s="103"/>
      <c r="AB44" s="103"/>
      <c r="AD44" s="2"/>
      <c r="AE44" s="2"/>
      <c r="AF44" s="103"/>
      <c r="AG44" s="103"/>
      <c r="AI44" s="110"/>
      <c r="AJ44" s="110"/>
      <c r="AK44" s="110"/>
      <c r="AL44" s="111"/>
      <c r="AM44" s="94"/>
    </row>
    <row r="45" spans="1:39" x14ac:dyDescent="0.25">
      <c r="A45" s="143">
        <v>2</v>
      </c>
      <c r="B45" s="123" t="s">
        <v>94</v>
      </c>
      <c r="C45" s="216" t="s">
        <v>166</v>
      </c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</row>
    <row r="46" spans="1:39" x14ac:dyDescent="0.25">
      <c r="A46" s="142">
        <v>15</v>
      </c>
      <c r="B46" s="6" t="s">
        <v>160</v>
      </c>
      <c r="C46" s="216" t="s">
        <v>167</v>
      </c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</row>
    <row r="47" spans="1:39" x14ac:dyDescent="0.25">
      <c r="A47" s="142">
        <v>29</v>
      </c>
      <c r="B47" s="6" t="s">
        <v>95</v>
      </c>
      <c r="C47" s="216" t="s">
        <v>168</v>
      </c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</row>
    <row r="48" spans="1:39" ht="30" x14ac:dyDescent="0.25">
      <c r="A48" s="142">
        <v>3</v>
      </c>
      <c r="B48" s="124" t="s">
        <v>98</v>
      </c>
      <c r="C48" s="216" t="s">
        <v>114</v>
      </c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</row>
    <row r="50" spans="1:39" s="11" customFormat="1" ht="27" customHeight="1" x14ac:dyDescent="0.25">
      <c r="A50" s="202" t="s">
        <v>2</v>
      </c>
      <c r="B50" s="177" t="s">
        <v>3</v>
      </c>
      <c r="C50" s="218" t="s">
        <v>87</v>
      </c>
      <c r="D50" s="177" t="s">
        <v>67</v>
      </c>
      <c r="E50" s="218" t="s">
        <v>174</v>
      </c>
      <c r="F50" s="199" t="s">
        <v>101</v>
      </c>
      <c r="G50" s="220" t="s">
        <v>90</v>
      </c>
      <c r="H50" s="172" t="s">
        <v>175</v>
      </c>
      <c r="I50" s="10"/>
      <c r="J50" s="172">
        <v>2020</v>
      </c>
      <c r="K50" s="172"/>
      <c r="L50" s="172"/>
      <c r="M50" s="172"/>
      <c r="N50" s="10"/>
      <c r="O50" s="172">
        <v>2021</v>
      </c>
      <c r="P50" s="172"/>
      <c r="Q50" s="172"/>
      <c r="R50" s="172"/>
      <c r="T50" s="172">
        <v>2022</v>
      </c>
      <c r="U50" s="172"/>
      <c r="V50" s="172"/>
      <c r="W50" s="172"/>
      <c r="Y50" s="172">
        <v>2023</v>
      </c>
      <c r="Z50" s="172"/>
      <c r="AA50" s="172"/>
      <c r="AB50" s="172"/>
      <c r="AD50" s="173">
        <v>2024</v>
      </c>
      <c r="AE50" s="174"/>
      <c r="AF50" s="174"/>
      <c r="AG50" s="174"/>
      <c r="AI50" s="217" t="s">
        <v>102</v>
      </c>
      <c r="AJ50" s="217"/>
      <c r="AK50" s="217"/>
      <c r="AL50" s="217"/>
      <c r="AM50" s="99"/>
    </row>
    <row r="51" spans="1:39" s="11" customFormat="1" ht="16.5" customHeight="1" x14ac:dyDescent="0.25">
      <c r="A51" s="203"/>
      <c r="B51" s="178"/>
      <c r="C51" s="200"/>
      <c r="D51" s="178"/>
      <c r="E51" s="200"/>
      <c r="F51" s="200"/>
      <c r="G51" s="220"/>
      <c r="H51" s="172"/>
      <c r="I51" s="10"/>
      <c r="J51" s="171" t="s">
        <v>4</v>
      </c>
      <c r="K51" s="171"/>
      <c r="L51" s="171" t="s">
        <v>61</v>
      </c>
      <c r="M51" s="171"/>
      <c r="N51" s="10"/>
      <c r="O51" s="171" t="s">
        <v>6</v>
      </c>
      <c r="P51" s="171"/>
      <c r="Q51" s="171" t="s">
        <v>8</v>
      </c>
      <c r="R51" s="171"/>
      <c r="S51" s="10"/>
      <c r="T51" s="171" t="s">
        <v>7</v>
      </c>
      <c r="U51" s="171"/>
      <c r="V51" s="171" t="s">
        <v>8</v>
      </c>
      <c r="W51" s="171"/>
      <c r="Y51" s="171" t="s">
        <v>7</v>
      </c>
      <c r="Z51" s="171"/>
      <c r="AA51" s="171" t="s">
        <v>8</v>
      </c>
      <c r="AB51" s="171"/>
      <c r="AD51" s="171" t="s">
        <v>7</v>
      </c>
      <c r="AE51" s="171"/>
      <c r="AF51" s="171" t="s">
        <v>8</v>
      </c>
      <c r="AG51" s="171"/>
      <c r="AI51" s="175" t="s">
        <v>4</v>
      </c>
      <c r="AJ51" s="175" t="s">
        <v>66</v>
      </c>
      <c r="AK51" s="175" t="s">
        <v>8</v>
      </c>
      <c r="AL51" s="175" t="s">
        <v>5</v>
      </c>
      <c r="AM51" s="99"/>
    </row>
    <row r="52" spans="1:39" s="11" customFormat="1" ht="33" x14ac:dyDescent="0.25">
      <c r="A52" s="204"/>
      <c r="B52" s="179"/>
      <c r="C52" s="219"/>
      <c r="D52" s="179"/>
      <c r="E52" s="219"/>
      <c r="F52" s="201"/>
      <c r="G52" s="220"/>
      <c r="H52" s="172"/>
      <c r="I52" s="12"/>
      <c r="J52" s="155" t="s">
        <v>59</v>
      </c>
      <c r="K52" s="117" t="s">
        <v>60</v>
      </c>
      <c r="L52" s="159" t="s">
        <v>62</v>
      </c>
      <c r="M52" s="117" t="s">
        <v>63</v>
      </c>
      <c r="N52" s="12"/>
      <c r="O52" s="61" t="s">
        <v>59</v>
      </c>
      <c r="P52" s="117" t="s">
        <v>60</v>
      </c>
      <c r="Q52" s="61" t="s">
        <v>62</v>
      </c>
      <c r="R52" s="117" t="s">
        <v>63</v>
      </c>
      <c r="S52" s="10"/>
      <c r="T52" s="61" t="s">
        <v>59</v>
      </c>
      <c r="U52" s="117" t="s">
        <v>60</v>
      </c>
      <c r="V52" s="117" t="s">
        <v>62</v>
      </c>
      <c r="W52" s="117" t="s">
        <v>63</v>
      </c>
      <c r="Y52" s="117" t="s">
        <v>59</v>
      </c>
      <c r="Z52" s="117" t="s">
        <v>60</v>
      </c>
      <c r="AA52" s="117" t="s">
        <v>64</v>
      </c>
      <c r="AB52" s="117" t="s">
        <v>63</v>
      </c>
      <c r="AD52" s="117" t="s">
        <v>59</v>
      </c>
      <c r="AE52" s="117" t="s">
        <v>60</v>
      </c>
      <c r="AF52" s="117" t="s">
        <v>64</v>
      </c>
      <c r="AG52" s="117" t="s">
        <v>63</v>
      </c>
      <c r="AI52" s="176"/>
      <c r="AJ52" s="176"/>
      <c r="AK52" s="176"/>
      <c r="AL52" s="176"/>
      <c r="AM52" s="99"/>
    </row>
    <row r="53" spans="1:39" ht="75.75" customHeight="1" x14ac:dyDescent="0.25">
      <c r="A53" s="208" t="s">
        <v>123</v>
      </c>
      <c r="B53" s="180" t="s">
        <v>125</v>
      </c>
      <c r="C53" s="180" t="s">
        <v>124</v>
      </c>
      <c r="D53" s="180" t="s">
        <v>156</v>
      </c>
      <c r="E53" s="211" t="str">
        <f>C46</f>
        <v xml:space="preserve">Intervenir integralmente áreas estratégicas de Bogotá teniendo en cuenta las dinámicas patrimoniales, ambientales, sociales y culturales  
</v>
      </c>
      <c r="F53" s="139" t="s">
        <v>126</v>
      </c>
      <c r="G53" s="139" t="s">
        <v>127</v>
      </c>
      <c r="H53" s="213" t="str">
        <f>C48</f>
        <v>Sistema Distrital de cuidado</v>
      </c>
      <c r="I53" s="14"/>
      <c r="J53" s="128">
        <v>174</v>
      </c>
      <c r="K53" s="128">
        <v>262</v>
      </c>
      <c r="L53" s="160"/>
      <c r="M53" s="129"/>
      <c r="N53" s="130"/>
      <c r="O53" s="145">
        <v>431</v>
      </c>
      <c r="P53" s="145">
        <v>0</v>
      </c>
      <c r="Q53" s="129"/>
      <c r="R53" s="129"/>
      <c r="S53" s="132"/>
      <c r="T53" s="146">
        <v>764</v>
      </c>
      <c r="U53" s="146">
        <v>0</v>
      </c>
      <c r="V53" s="134"/>
      <c r="W53" s="135"/>
      <c r="X53" s="136"/>
      <c r="Y53" s="146">
        <v>446</v>
      </c>
      <c r="Z53" s="146">
        <v>0</v>
      </c>
      <c r="AA53" s="134"/>
      <c r="AB53" s="135"/>
      <c r="AC53" s="136"/>
      <c r="AD53" s="147">
        <v>335</v>
      </c>
      <c r="AE53" s="147">
        <v>0</v>
      </c>
      <c r="AF53" s="134"/>
      <c r="AG53" s="135"/>
      <c r="AH53" s="132"/>
      <c r="AI53" s="147">
        <f>J53+O53+T53+Y53+AD53</f>
        <v>2150</v>
      </c>
      <c r="AJ53" s="147">
        <f>K53+P53+U53+Z53+AE53</f>
        <v>262</v>
      </c>
      <c r="AK53" s="138">
        <f>L53+Q53+V53+AA53+AF53</f>
        <v>0</v>
      </c>
      <c r="AL53" s="138">
        <f>M53+R53+W53+AB53+AG53</f>
        <v>0</v>
      </c>
      <c r="AM53" s="100"/>
    </row>
    <row r="54" spans="1:39" ht="71.25" customHeight="1" x14ac:dyDescent="0.25">
      <c r="A54" s="209"/>
      <c r="B54" s="187"/>
      <c r="C54" s="187"/>
      <c r="D54" s="187"/>
      <c r="E54" s="212"/>
      <c r="F54" s="13" t="s">
        <v>128</v>
      </c>
      <c r="G54" s="13" t="s">
        <v>129</v>
      </c>
      <c r="H54" s="214"/>
      <c r="I54" s="14"/>
      <c r="J54" s="15">
        <v>115</v>
      </c>
      <c r="K54" s="91">
        <v>20</v>
      </c>
      <c r="L54" s="161">
        <f>7538911757/L2</f>
        <v>7538.9117569999999</v>
      </c>
      <c r="M54" s="29">
        <f>1401808830/L2</f>
        <v>1401.8088299999999</v>
      </c>
      <c r="N54" s="23"/>
      <c r="O54" s="15">
        <v>546</v>
      </c>
      <c r="P54" s="15">
        <v>0</v>
      </c>
      <c r="Q54" s="29">
        <f>37971796433/L2</f>
        <v>37971.796433000003</v>
      </c>
      <c r="R54" s="29"/>
      <c r="S54" s="101"/>
      <c r="T54" s="104">
        <v>380</v>
      </c>
      <c r="U54" s="114">
        <v>0</v>
      </c>
      <c r="V54" s="105">
        <f>27751588009/L2</f>
        <v>27751.588008999999</v>
      </c>
      <c r="W54" s="106"/>
      <c r="X54" s="102"/>
      <c r="Y54" s="104">
        <v>121</v>
      </c>
      <c r="Z54" s="114">
        <v>0</v>
      </c>
      <c r="AA54" s="105">
        <f>9450198251/L2</f>
        <v>9450.1982509999998</v>
      </c>
      <c r="AB54" s="106"/>
      <c r="AC54" s="102"/>
      <c r="AD54" s="91">
        <v>61</v>
      </c>
      <c r="AE54" s="91">
        <v>0</v>
      </c>
      <c r="AF54" s="105">
        <f>4884785264/L2</f>
        <v>4884.7852640000001</v>
      </c>
      <c r="AG54" s="106"/>
      <c r="AH54" s="101"/>
      <c r="AI54" s="91">
        <f>J54+O54+T54+Y54+AD54</f>
        <v>1223</v>
      </c>
      <c r="AJ54" s="91">
        <f t="shared" ref="AJ54:AJ56" si="16">K54+P54+U54+Z54+AE54</f>
        <v>20</v>
      </c>
      <c r="AK54" s="62">
        <f t="shared" ref="AK54:AK56" si="17">L54+Q54+V54+AA54+AF54</f>
        <v>87597.279714000004</v>
      </c>
      <c r="AL54" s="62">
        <f t="shared" ref="AL54:AL56" si="18">M54+R54+W54+AB54+AG54</f>
        <v>1401.8088299999999</v>
      </c>
      <c r="AM54" s="100"/>
    </row>
    <row r="55" spans="1:39" ht="66.75" customHeight="1" x14ac:dyDescent="0.25">
      <c r="A55" s="209"/>
      <c r="B55" s="187"/>
      <c r="C55" s="187"/>
      <c r="D55" s="187"/>
      <c r="E55" s="212"/>
      <c r="F55" s="13" t="s">
        <v>130</v>
      </c>
      <c r="G55" s="13" t="s">
        <v>131</v>
      </c>
      <c r="H55" s="214"/>
      <c r="I55" s="14"/>
      <c r="J55" s="15">
        <v>13</v>
      </c>
      <c r="K55" s="15">
        <v>6</v>
      </c>
      <c r="L55" s="161">
        <f>1584264176/L2</f>
        <v>1584.2641759999999</v>
      </c>
      <c r="M55" s="29">
        <f>1326188829/L2</f>
        <v>1326.1888289999999</v>
      </c>
      <c r="N55" s="23"/>
      <c r="O55" s="15">
        <v>30</v>
      </c>
      <c r="P55" s="15">
        <v>0</v>
      </c>
      <c r="Q55" s="29">
        <f>2964295696/L2</f>
        <v>2964.2956960000001</v>
      </c>
      <c r="R55" s="29"/>
      <c r="S55" s="101"/>
      <c r="T55" s="104">
        <v>30</v>
      </c>
      <c r="U55" s="104">
        <v>0</v>
      </c>
      <c r="V55" s="105">
        <f>2860993107/L2</f>
        <v>2860.9931069999998</v>
      </c>
      <c r="W55" s="107"/>
      <c r="X55" s="102"/>
      <c r="Y55" s="104">
        <v>30</v>
      </c>
      <c r="Z55" s="104">
        <v>0</v>
      </c>
      <c r="AA55" s="105">
        <f>2052811543/L2</f>
        <v>2052.8115429999998</v>
      </c>
      <c r="AB55" s="107"/>
      <c r="AC55" s="102"/>
      <c r="AD55" s="91">
        <v>13</v>
      </c>
      <c r="AE55" s="91">
        <v>0</v>
      </c>
      <c r="AF55" s="105">
        <f>877832415/L2</f>
        <v>877.83241499999997</v>
      </c>
      <c r="AG55" s="107"/>
      <c r="AH55" s="101"/>
      <c r="AI55" s="91">
        <f>J55+O55+T55+Y55+AD55</f>
        <v>116</v>
      </c>
      <c r="AJ55" s="91">
        <f t="shared" si="16"/>
        <v>6</v>
      </c>
      <c r="AK55" s="62">
        <f t="shared" si="17"/>
        <v>10340.196937000001</v>
      </c>
      <c r="AL55" s="62">
        <f t="shared" si="18"/>
        <v>1326.1888289999999</v>
      </c>
    </row>
    <row r="56" spans="1:39" ht="43.5" customHeight="1" x14ac:dyDescent="0.25">
      <c r="A56" s="209"/>
      <c r="B56" s="187"/>
      <c r="C56" s="187"/>
      <c r="D56" s="187"/>
      <c r="E56" s="212"/>
      <c r="F56" s="13" t="s">
        <v>132</v>
      </c>
      <c r="G56" s="13" t="s">
        <v>133</v>
      </c>
      <c r="H56" s="214"/>
      <c r="I56" s="14"/>
      <c r="J56" s="15">
        <v>1552</v>
      </c>
      <c r="K56" s="15">
        <v>1460</v>
      </c>
      <c r="L56" s="161">
        <f>4199418674/L2</f>
        <v>4199.4186739999996</v>
      </c>
      <c r="M56" s="29">
        <f>2798403318/L2</f>
        <v>2798.4033180000001</v>
      </c>
      <c r="N56" s="23"/>
      <c r="O56" s="15">
        <v>2043</v>
      </c>
      <c r="P56" s="15">
        <v>0</v>
      </c>
      <c r="Q56" s="29">
        <f>6703482643/L2</f>
        <v>6703.4826430000003</v>
      </c>
      <c r="R56" s="29"/>
      <c r="S56" s="101"/>
      <c r="T56" s="104">
        <v>2385</v>
      </c>
      <c r="U56" s="104">
        <v>0</v>
      </c>
      <c r="V56" s="105">
        <f>5305608511/L2</f>
        <v>5305.6085110000004</v>
      </c>
      <c r="W56" s="105"/>
      <c r="X56" s="102"/>
      <c r="Y56" s="104">
        <v>2495</v>
      </c>
      <c r="Z56" s="104">
        <v>0</v>
      </c>
      <c r="AA56" s="105">
        <f>2795701646/L2</f>
        <v>2795.701646</v>
      </c>
      <c r="AB56" s="105"/>
      <c r="AC56" s="102"/>
      <c r="AD56" s="91">
        <v>2550</v>
      </c>
      <c r="AE56" s="91">
        <v>0</v>
      </c>
      <c r="AF56" s="105">
        <f>943311875/L2</f>
        <v>943.31187499999999</v>
      </c>
      <c r="AG56" s="105"/>
      <c r="AH56" s="101"/>
      <c r="AI56" s="91">
        <f>AD56</f>
        <v>2550</v>
      </c>
      <c r="AJ56" s="91">
        <f t="shared" si="16"/>
        <v>1460</v>
      </c>
      <c r="AK56" s="62">
        <f t="shared" si="17"/>
        <v>19947.523348999999</v>
      </c>
      <c r="AL56" s="62">
        <f t="shared" si="18"/>
        <v>2798.4033180000001</v>
      </c>
      <c r="AM56" s="100"/>
    </row>
    <row r="57" spans="1:39" s="6" customFormat="1" ht="15.75" x14ac:dyDescent="0.25">
      <c r="A57" s="17"/>
      <c r="B57" s="119" t="s">
        <v>103</v>
      </c>
      <c r="C57" s="119"/>
      <c r="D57" s="119"/>
      <c r="E57" s="119"/>
      <c r="F57" s="39"/>
      <c r="G57" s="39"/>
      <c r="H57" s="39"/>
      <c r="I57" s="40"/>
      <c r="J57" s="41"/>
      <c r="K57" s="41"/>
      <c r="L57" s="162">
        <f>SUM(L53:L56)</f>
        <v>13322.594606999999</v>
      </c>
      <c r="M57" s="42">
        <f>SUM(M53:M56)</f>
        <v>5526.4009769999993</v>
      </c>
      <c r="N57" s="51"/>
      <c r="O57" s="41"/>
      <c r="P57" s="41"/>
      <c r="Q57" s="42">
        <f>SUM(Q53:Q56)</f>
        <v>47639.574772000007</v>
      </c>
      <c r="R57" s="42">
        <f>SUM(R53:R56)</f>
        <v>0</v>
      </c>
      <c r="T57" s="41"/>
      <c r="U57" s="41"/>
      <c r="V57" s="42">
        <f>SUM(V53:V56)</f>
        <v>35918.189627</v>
      </c>
      <c r="W57" s="42">
        <f>SUM(W53:W56)</f>
        <v>0</v>
      </c>
      <c r="Y57" s="41"/>
      <c r="Z57" s="41"/>
      <c r="AA57" s="42">
        <f>SUM(AA53:AA56)</f>
        <v>14298.711439999999</v>
      </c>
      <c r="AB57" s="42">
        <f>SUM(AB53:AB56)</f>
        <v>0</v>
      </c>
      <c r="AC57" s="113"/>
      <c r="AD57" s="41"/>
      <c r="AE57" s="42"/>
      <c r="AF57" s="42">
        <f>SUM(AF53:AF56)</f>
        <v>6705.9295540000003</v>
      </c>
      <c r="AG57" s="42">
        <f>SUM(AG53:AG56)</f>
        <v>0</v>
      </c>
      <c r="AI57" s="97"/>
      <c r="AJ57" s="97"/>
      <c r="AK57" s="64">
        <f>SUM(AK53:AK56)</f>
        <v>117885</v>
      </c>
      <c r="AL57" s="64">
        <f>SUM(AL53:AL56)</f>
        <v>5526.4009769999993</v>
      </c>
      <c r="AM57" s="99"/>
    </row>
    <row r="59" spans="1:39" s="5" customFormat="1" ht="15.75" customHeight="1" x14ac:dyDescent="0.2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95"/>
    </row>
    <row r="60" spans="1:39" s="3" customFormat="1" ht="12.75" x14ac:dyDescent="0.2">
      <c r="A60" s="141"/>
      <c r="B60" s="4"/>
      <c r="C60" s="4"/>
      <c r="D60" s="4"/>
      <c r="E60" s="4"/>
      <c r="F60" s="4"/>
      <c r="G60" s="4"/>
      <c r="H60" s="4"/>
      <c r="I60" s="2"/>
      <c r="J60" s="141"/>
      <c r="K60" s="2"/>
      <c r="L60" s="157"/>
      <c r="M60" s="2"/>
      <c r="N60" s="2"/>
      <c r="O60" s="2"/>
      <c r="P60" s="2"/>
      <c r="Q60" s="2"/>
      <c r="R60" s="2"/>
      <c r="T60" s="103"/>
      <c r="U60" s="103"/>
      <c r="V60" s="103"/>
      <c r="W60" s="103"/>
      <c r="Y60" s="103"/>
      <c r="Z60" s="103"/>
      <c r="AA60" s="103"/>
      <c r="AB60" s="103"/>
      <c r="AD60" s="2"/>
      <c r="AE60" s="2"/>
      <c r="AF60" s="103"/>
      <c r="AG60" s="103"/>
      <c r="AI60" s="110"/>
      <c r="AJ60" s="110"/>
      <c r="AK60" s="110"/>
      <c r="AL60" s="111"/>
      <c r="AM60" s="94"/>
    </row>
    <row r="61" spans="1:39" x14ac:dyDescent="0.25">
      <c r="A61" s="143">
        <v>1</v>
      </c>
      <c r="B61" s="123" t="s">
        <v>94</v>
      </c>
      <c r="C61" s="216" t="s">
        <v>113</v>
      </c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</row>
    <row r="62" spans="1:39" x14ac:dyDescent="0.25">
      <c r="A62" s="142">
        <v>8</v>
      </c>
      <c r="B62" s="6" t="s">
        <v>160</v>
      </c>
      <c r="C62" s="216" t="s">
        <v>161</v>
      </c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</row>
    <row r="63" spans="1:39" x14ac:dyDescent="0.25">
      <c r="A63" s="142">
        <v>19</v>
      </c>
      <c r="B63" s="6" t="s">
        <v>95</v>
      </c>
      <c r="C63" s="216" t="s">
        <v>159</v>
      </c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16"/>
      <c r="AJ63" s="216"/>
      <c r="AK63" s="216"/>
      <c r="AL63" s="216"/>
    </row>
    <row r="64" spans="1:39" ht="30" x14ac:dyDescent="0.25">
      <c r="A64" s="142">
        <v>3</v>
      </c>
      <c r="B64" s="124" t="s">
        <v>98</v>
      </c>
      <c r="C64" s="216" t="s">
        <v>114</v>
      </c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</row>
    <row r="66" spans="1:39" s="11" customFormat="1" ht="27" customHeight="1" x14ac:dyDescent="0.25">
      <c r="A66" s="202" t="s">
        <v>2</v>
      </c>
      <c r="B66" s="177" t="s">
        <v>3</v>
      </c>
      <c r="C66" s="218" t="s">
        <v>87</v>
      </c>
      <c r="D66" s="177" t="s">
        <v>67</v>
      </c>
      <c r="E66" s="218" t="s">
        <v>174</v>
      </c>
      <c r="F66" s="199" t="s">
        <v>101</v>
      </c>
      <c r="G66" s="220" t="s">
        <v>90</v>
      </c>
      <c r="H66" s="172" t="s">
        <v>175</v>
      </c>
      <c r="I66" s="10"/>
      <c r="J66" s="172">
        <v>2020</v>
      </c>
      <c r="K66" s="172"/>
      <c r="L66" s="172"/>
      <c r="M66" s="172"/>
      <c r="N66" s="10"/>
      <c r="O66" s="172">
        <v>2021</v>
      </c>
      <c r="P66" s="172"/>
      <c r="Q66" s="172"/>
      <c r="R66" s="172"/>
      <c r="T66" s="172">
        <v>2022</v>
      </c>
      <c r="U66" s="172"/>
      <c r="V66" s="172"/>
      <c r="W66" s="172"/>
      <c r="Y66" s="172">
        <v>2023</v>
      </c>
      <c r="Z66" s="172"/>
      <c r="AA66" s="172"/>
      <c r="AB66" s="172"/>
      <c r="AD66" s="173">
        <v>2024</v>
      </c>
      <c r="AE66" s="174"/>
      <c r="AF66" s="174"/>
      <c r="AG66" s="174"/>
      <c r="AI66" s="217" t="s">
        <v>102</v>
      </c>
      <c r="AJ66" s="217"/>
      <c r="AK66" s="217"/>
      <c r="AL66" s="217"/>
      <c r="AM66" s="99"/>
    </row>
    <row r="67" spans="1:39" s="11" customFormat="1" ht="16.5" customHeight="1" x14ac:dyDescent="0.25">
      <c r="A67" s="203"/>
      <c r="B67" s="178"/>
      <c r="C67" s="200"/>
      <c r="D67" s="178"/>
      <c r="E67" s="200"/>
      <c r="F67" s="200"/>
      <c r="G67" s="220"/>
      <c r="H67" s="172"/>
      <c r="I67" s="10"/>
      <c r="J67" s="171" t="s">
        <v>4</v>
      </c>
      <c r="K67" s="171"/>
      <c r="L67" s="171" t="s">
        <v>61</v>
      </c>
      <c r="M67" s="171"/>
      <c r="N67" s="10"/>
      <c r="O67" s="171" t="s">
        <v>6</v>
      </c>
      <c r="P67" s="171"/>
      <c r="Q67" s="171" t="s">
        <v>8</v>
      </c>
      <c r="R67" s="171"/>
      <c r="S67" s="10"/>
      <c r="T67" s="171" t="s">
        <v>7</v>
      </c>
      <c r="U67" s="171"/>
      <c r="V67" s="171" t="s">
        <v>8</v>
      </c>
      <c r="W67" s="171"/>
      <c r="Y67" s="171" t="s">
        <v>7</v>
      </c>
      <c r="Z67" s="171"/>
      <c r="AA67" s="171" t="s">
        <v>8</v>
      </c>
      <c r="AB67" s="171"/>
      <c r="AD67" s="171" t="s">
        <v>7</v>
      </c>
      <c r="AE67" s="171"/>
      <c r="AF67" s="171" t="s">
        <v>8</v>
      </c>
      <c r="AG67" s="171"/>
      <c r="AI67" s="175" t="s">
        <v>4</v>
      </c>
      <c r="AJ67" s="175" t="s">
        <v>66</v>
      </c>
      <c r="AK67" s="175" t="s">
        <v>8</v>
      </c>
      <c r="AL67" s="175" t="s">
        <v>5</v>
      </c>
      <c r="AM67" s="99"/>
    </row>
    <row r="68" spans="1:39" s="11" customFormat="1" ht="33" x14ac:dyDescent="0.25">
      <c r="A68" s="204"/>
      <c r="B68" s="179"/>
      <c r="C68" s="219"/>
      <c r="D68" s="179"/>
      <c r="E68" s="219"/>
      <c r="F68" s="201"/>
      <c r="G68" s="220"/>
      <c r="H68" s="172"/>
      <c r="I68" s="12"/>
      <c r="J68" s="155" t="s">
        <v>59</v>
      </c>
      <c r="K68" s="117" t="s">
        <v>60</v>
      </c>
      <c r="L68" s="159" t="s">
        <v>62</v>
      </c>
      <c r="M68" s="117" t="s">
        <v>63</v>
      </c>
      <c r="N68" s="12"/>
      <c r="O68" s="61" t="s">
        <v>59</v>
      </c>
      <c r="P68" s="117" t="s">
        <v>60</v>
      </c>
      <c r="Q68" s="61" t="s">
        <v>62</v>
      </c>
      <c r="R68" s="117" t="s">
        <v>63</v>
      </c>
      <c r="S68" s="10"/>
      <c r="T68" s="61" t="s">
        <v>59</v>
      </c>
      <c r="U68" s="117" t="s">
        <v>60</v>
      </c>
      <c r="V68" s="117" t="s">
        <v>62</v>
      </c>
      <c r="W68" s="117" t="s">
        <v>63</v>
      </c>
      <c r="Y68" s="117" t="s">
        <v>59</v>
      </c>
      <c r="Z68" s="117" t="s">
        <v>60</v>
      </c>
      <c r="AA68" s="117" t="s">
        <v>64</v>
      </c>
      <c r="AB68" s="117" t="s">
        <v>63</v>
      </c>
      <c r="AD68" s="117" t="s">
        <v>59</v>
      </c>
      <c r="AE68" s="117" t="s">
        <v>60</v>
      </c>
      <c r="AF68" s="117" t="s">
        <v>64</v>
      </c>
      <c r="AG68" s="117" t="s">
        <v>63</v>
      </c>
      <c r="AI68" s="176"/>
      <c r="AJ68" s="176"/>
      <c r="AK68" s="176"/>
      <c r="AL68" s="176"/>
      <c r="AM68" s="99"/>
    </row>
    <row r="69" spans="1:39" ht="75.75" customHeight="1" x14ac:dyDescent="0.25">
      <c r="A69" s="208" t="s">
        <v>134</v>
      </c>
      <c r="B69" s="180" t="s">
        <v>135</v>
      </c>
      <c r="C69" s="180" t="s">
        <v>88</v>
      </c>
      <c r="D69" s="180" t="s">
        <v>157</v>
      </c>
      <c r="E69" s="211" t="str">
        <f>C62</f>
        <v xml:space="preserve">Aumentar el acceso a vivienda digna, espacio público y equipamientos de la población vulnerable en suelo urbano y rural </v>
      </c>
      <c r="F69" s="139" t="s">
        <v>171</v>
      </c>
      <c r="G69" s="139" t="s">
        <v>136</v>
      </c>
      <c r="H69" s="213" t="str">
        <f>C64</f>
        <v>Sistema Distrital de cuidado</v>
      </c>
      <c r="I69" s="14"/>
      <c r="J69" s="149">
        <v>305.60000000000002</v>
      </c>
      <c r="K69" s="128">
        <v>0</v>
      </c>
      <c r="L69" s="160"/>
      <c r="M69" s="129"/>
      <c r="N69" s="130"/>
      <c r="O69" s="145">
        <v>19694</v>
      </c>
      <c r="P69" s="145">
        <v>0</v>
      </c>
      <c r="Q69" s="129"/>
      <c r="R69" s="129"/>
      <c r="S69" s="132"/>
      <c r="T69" s="145">
        <v>22500</v>
      </c>
      <c r="U69" s="146">
        <v>0</v>
      </c>
      <c r="V69" s="134"/>
      <c r="W69" s="135"/>
      <c r="X69" s="136"/>
      <c r="Y69" s="146">
        <v>23750</v>
      </c>
      <c r="Z69" s="146">
        <v>0</v>
      </c>
      <c r="AA69" s="134"/>
      <c r="AB69" s="135"/>
      <c r="AC69" s="136"/>
      <c r="AD69" s="147">
        <v>23750</v>
      </c>
      <c r="AE69" s="147">
        <v>0</v>
      </c>
      <c r="AF69" s="134"/>
      <c r="AG69" s="135"/>
      <c r="AH69" s="132"/>
      <c r="AI69" s="147">
        <f>J69+O69+T69+Y69+AD69</f>
        <v>89999.6</v>
      </c>
      <c r="AJ69" s="147">
        <f>K69+P69+U69+Z69+AE69</f>
        <v>0</v>
      </c>
      <c r="AK69" s="138">
        <f>L69+Q69+V69+AA69+AF69</f>
        <v>0</v>
      </c>
      <c r="AL69" s="138">
        <f>M69+R69+W69+AB69+AG69</f>
        <v>0</v>
      </c>
      <c r="AM69" s="100"/>
    </row>
    <row r="70" spans="1:39" ht="43.5" customHeight="1" x14ac:dyDescent="0.25">
      <c r="A70" s="209"/>
      <c r="B70" s="187"/>
      <c r="C70" s="187"/>
      <c r="D70" s="187"/>
      <c r="E70" s="212"/>
      <c r="F70" s="13" t="s">
        <v>137</v>
      </c>
      <c r="G70" s="13" t="s">
        <v>138</v>
      </c>
      <c r="H70" s="214"/>
      <c r="I70" s="14"/>
      <c r="J70" s="148">
        <v>305.60000000000002</v>
      </c>
      <c r="K70" s="108">
        <v>0</v>
      </c>
      <c r="L70" s="163">
        <f>3602795429/L2</f>
        <v>3602.7954289999998</v>
      </c>
      <c r="M70" s="29">
        <f>161149060/L2</f>
        <v>161.14905999999999</v>
      </c>
      <c r="N70" s="23"/>
      <c r="O70" s="170">
        <v>19694.400000000001</v>
      </c>
      <c r="P70" s="15">
        <v>0</v>
      </c>
      <c r="Q70" s="29">
        <f>61155919421/L2</f>
        <v>61155.919420999999</v>
      </c>
      <c r="R70" s="29"/>
      <c r="S70" s="101"/>
      <c r="T70" s="15">
        <v>22500</v>
      </c>
      <c r="U70" s="104">
        <v>0</v>
      </c>
      <c r="V70" s="105">
        <f>18764039550/L2</f>
        <v>18764.039550000001</v>
      </c>
      <c r="W70" s="106"/>
      <c r="X70" s="102"/>
      <c r="Y70" s="104">
        <v>23750</v>
      </c>
      <c r="Z70" s="104">
        <v>0</v>
      </c>
      <c r="AA70" s="105">
        <f>11175354970/L2</f>
        <v>11175.35497</v>
      </c>
      <c r="AB70" s="106"/>
      <c r="AC70" s="102"/>
      <c r="AD70" s="91">
        <v>23750</v>
      </c>
      <c r="AE70" s="91">
        <v>0</v>
      </c>
      <c r="AF70" s="105">
        <f>2304686059/L2</f>
        <v>2304.6860590000001</v>
      </c>
      <c r="AG70" s="106"/>
      <c r="AH70" s="101"/>
      <c r="AI70" s="91">
        <f>J70+O70+T70+Y70+AD70</f>
        <v>90000</v>
      </c>
      <c r="AJ70" s="91">
        <f>K70+P70+U70+Z70+AE70</f>
        <v>0</v>
      </c>
      <c r="AK70" s="62">
        <f t="shared" ref="AK70:AK71" si="19">L70+Q70+V70+AA70+AF70</f>
        <v>97002.795429000005</v>
      </c>
      <c r="AL70" s="62">
        <f t="shared" ref="AL70:AL71" si="20">M70+R70+W70+AB70+AG70</f>
        <v>161.14905999999999</v>
      </c>
      <c r="AM70" s="100"/>
    </row>
    <row r="71" spans="1:39" ht="30" x14ac:dyDescent="0.25">
      <c r="A71" s="209"/>
      <c r="B71" s="187"/>
      <c r="C71" s="187"/>
      <c r="D71" s="187"/>
      <c r="E71" s="212"/>
      <c r="F71" s="13" t="s">
        <v>139</v>
      </c>
      <c r="G71" s="13" t="s">
        <v>138</v>
      </c>
      <c r="H71" s="214"/>
      <c r="I71" s="14"/>
      <c r="J71" s="26">
        <v>1</v>
      </c>
      <c r="K71" s="150">
        <v>0.51</v>
      </c>
      <c r="L71" s="161">
        <f>1600000000/L2</f>
        <v>1600</v>
      </c>
      <c r="M71" s="29">
        <f>974411347/L2</f>
        <v>974.41134699999998</v>
      </c>
      <c r="N71" s="23"/>
      <c r="O71" s="26">
        <v>1</v>
      </c>
      <c r="P71" s="26">
        <v>0</v>
      </c>
      <c r="Q71" s="29">
        <f>4000000000/L2</f>
        <v>4000</v>
      </c>
      <c r="R71" s="29"/>
      <c r="S71" s="101"/>
      <c r="T71" s="140">
        <v>1</v>
      </c>
      <c r="U71" s="125">
        <v>0</v>
      </c>
      <c r="V71" s="105">
        <f>4000000000/L2</f>
        <v>4000</v>
      </c>
      <c r="W71" s="106"/>
      <c r="X71" s="102"/>
      <c r="Y71" s="140">
        <v>1</v>
      </c>
      <c r="Z71" s="125">
        <v>0</v>
      </c>
      <c r="AA71" s="105">
        <f>3000000000/L2</f>
        <v>3000</v>
      </c>
      <c r="AB71" s="106"/>
      <c r="AC71" s="102"/>
      <c r="AD71" s="112">
        <v>1</v>
      </c>
      <c r="AE71" s="112">
        <v>0</v>
      </c>
      <c r="AF71" s="105">
        <f>1500000000/L2</f>
        <v>1500</v>
      </c>
      <c r="AG71" s="106"/>
      <c r="AH71" s="101"/>
      <c r="AI71" s="112">
        <f>AD71</f>
        <v>1</v>
      </c>
      <c r="AJ71" s="150">
        <f t="shared" ref="AJ71" si="21">K71+P71+U71+Z71+AE71</f>
        <v>0.51</v>
      </c>
      <c r="AK71" s="62">
        <f t="shared" si="19"/>
        <v>14100</v>
      </c>
      <c r="AL71" s="62">
        <f t="shared" si="20"/>
        <v>974.41134699999998</v>
      </c>
      <c r="AM71" s="100"/>
    </row>
    <row r="72" spans="1:39" s="6" customFormat="1" ht="15.75" x14ac:dyDescent="0.25">
      <c r="A72" s="17"/>
      <c r="B72" s="119" t="s">
        <v>103</v>
      </c>
      <c r="C72" s="119"/>
      <c r="D72" s="119"/>
      <c r="E72" s="119"/>
      <c r="F72" s="39"/>
      <c r="G72" s="39"/>
      <c r="H72" s="39"/>
      <c r="I72" s="40"/>
      <c r="J72" s="41"/>
      <c r="K72" s="41"/>
      <c r="L72" s="162">
        <f>SUM(L69:L71)</f>
        <v>5202.7954289999998</v>
      </c>
      <c r="M72" s="42">
        <f>SUM(M69:M71)</f>
        <v>1135.5604069999999</v>
      </c>
      <c r="N72" s="51"/>
      <c r="O72" s="41"/>
      <c r="P72" s="41"/>
      <c r="Q72" s="42">
        <f>SUM(Q69:Q71)</f>
        <v>65155.919420999999</v>
      </c>
      <c r="R72" s="42">
        <f>SUM(R69:R71)</f>
        <v>0</v>
      </c>
      <c r="T72" s="41"/>
      <c r="U72" s="41"/>
      <c r="V72" s="42">
        <f>SUM(V69:V71)</f>
        <v>22764.039550000001</v>
      </c>
      <c r="W72" s="42">
        <f>SUM(W69:W71)</f>
        <v>0</v>
      </c>
      <c r="Y72" s="41"/>
      <c r="Z72" s="41"/>
      <c r="AA72" s="42">
        <f>SUM(AA69:AA71)</f>
        <v>14175.35497</v>
      </c>
      <c r="AB72" s="42">
        <f>SUM(AB69:AB71)</f>
        <v>0</v>
      </c>
      <c r="AC72" s="113"/>
      <c r="AD72" s="41"/>
      <c r="AE72" s="42"/>
      <c r="AF72" s="42">
        <f>SUM(AF69:AF71)</f>
        <v>3804.6860590000001</v>
      </c>
      <c r="AG72" s="42">
        <f>SUM(AG69:AG71)</f>
        <v>0</v>
      </c>
      <c r="AI72" s="97"/>
      <c r="AJ72" s="97"/>
      <c r="AK72" s="64">
        <f>SUM(AK69:AK71)</f>
        <v>111102.79542900001</v>
      </c>
      <c r="AL72" s="64">
        <f>SUM(AL69:AL71)</f>
        <v>1135.5604069999999</v>
      </c>
      <c r="AM72" s="99"/>
    </row>
    <row r="74" spans="1:39" s="5" customFormat="1" ht="15.75" customHeight="1" x14ac:dyDescent="0.2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95"/>
    </row>
    <row r="75" spans="1:39" s="3" customFormat="1" ht="12.75" x14ac:dyDescent="0.2">
      <c r="A75" s="141"/>
      <c r="B75" s="4"/>
      <c r="C75" s="4"/>
      <c r="D75" s="4"/>
      <c r="E75" s="4"/>
      <c r="F75" s="4"/>
      <c r="G75" s="4"/>
      <c r="H75" s="4"/>
      <c r="I75" s="2"/>
      <c r="J75" s="141"/>
      <c r="K75" s="2"/>
      <c r="L75" s="157"/>
      <c r="M75" s="2"/>
      <c r="N75" s="2"/>
      <c r="O75" s="2"/>
      <c r="P75" s="2"/>
      <c r="Q75" s="2"/>
      <c r="R75" s="2"/>
      <c r="T75" s="103"/>
      <c r="U75" s="103"/>
      <c r="V75" s="103"/>
      <c r="W75" s="103"/>
      <c r="Y75" s="103"/>
      <c r="Z75" s="103"/>
      <c r="AA75" s="103"/>
      <c r="AB75" s="103"/>
      <c r="AD75" s="2"/>
      <c r="AE75" s="2"/>
      <c r="AF75" s="103"/>
      <c r="AG75" s="103"/>
      <c r="AI75" s="110"/>
      <c r="AJ75" s="110"/>
      <c r="AK75" s="110"/>
      <c r="AL75" s="111"/>
      <c r="AM75" s="94"/>
    </row>
    <row r="76" spans="1:39" x14ac:dyDescent="0.25">
      <c r="A76" s="143">
        <v>5</v>
      </c>
      <c r="B76" s="123" t="s">
        <v>94</v>
      </c>
      <c r="C76" s="216" t="s">
        <v>169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</row>
    <row r="77" spans="1:39" x14ac:dyDescent="0.25">
      <c r="A77" s="142">
        <v>30</v>
      </c>
      <c r="B77" s="6" t="s">
        <v>160</v>
      </c>
      <c r="C77" s="216" t="s">
        <v>170</v>
      </c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6"/>
      <c r="AH77" s="216"/>
      <c r="AI77" s="216"/>
      <c r="AJ77" s="216"/>
      <c r="AK77" s="216"/>
      <c r="AL77" s="216"/>
    </row>
    <row r="78" spans="1:39" x14ac:dyDescent="0.25">
      <c r="A78" s="142">
        <v>56</v>
      </c>
      <c r="B78" s="6" t="s">
        <v>95</v>
      </c>
      <c r="C78" s="216" t="s">
        <v>140</v>
      </c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</row>
    <row r="79" spans="1:39" ht="30" x14ac:dyDescent="0.25">
      <c r="A79" s="142"/>
      <c r="B79" s="124" t="s">
        <v>98</v>
      </c>
      <c r="C79" s="216" t="s">
        <v>141</v>
      </c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216"/>
      <c r="AK79" s="216"/>
      <c r="AL79" s="216"/>
    </row>
    <row r="81" spans="1:39" s="11" customFormat="1" ht="27" customHeight="1" x14ac:dyDescent="0.25">
      <c r="A81" s="202" t="s">
        <v>2</v>
      </c>
      <c r="B81" s="177" t="s">
        <v>3</v>
      </c>
      <c r="C81" s="218" t="s">
        <v>87</v>
      </c>
      <c r="D81" s="177" t="s">
        <v>67</v>
      </c>
      <c r="E81" s="218" t="s">
        <v>174</v>
      </c>
      <c r="F81" s="199" t="s">
        <v>101</v>
      </c>
      <c r="G81" s="220" t="s">
        <v>90</v>
      </c>
      <c r="H81" s="172" t="s">
        <v>175</v>
      </c>
      <c r="I81" s="10"/>
      <c r="J81" s="172">
        <v>2020</v>
      </c>
      <c r="K81" s="172"/>
      <c r="L81" s="172"/>
      <c r="M81" s="172"/>
      <c r="N81" s="10"/>
      <c r="O81" s="172">
        <v>2021</v>
      </c>
      <c r="P81" s="172"/>
      <c r="Q81" s="172"/>
      <c r="R81" s="172"/>
      <c r="T81" s="172">
        <v>2022</v>
      </c>
      <c r="U81" s="172"/>
      <c r="V81" s="172"/>
      <c r="W81" s="172"/>
      <c r="Y81" s="172">
        <v>2023</v>
      </c>
      <c r="Z81" s="172"/>
      <c r="AA81" s="172"/>
      <c r="AB81" s="172"/>
      <c r="AD81" s="173">
        <v>2024</v>
      </c>
      <c r="AE81" s="174"/>
      <c r="AF81" s="174"/>
      <c r="AG81" s="174"/>
      <c r="AI81" s="217" t="s">
        <v>102</v>
      </c>
      <c r="AJ81" s="217"/>
      <c r="AK81" s="217"/>
      <c r="AL81" s="217"/>
      <c r="AM81" s="99"/>
    </row>
    <row r="82" spans="1:39" s="11" customFormat="1" ht="16.5" customHeight="1" x14ac:dyDescent="0.25">
      <c r="A82" s="203"/>
      <c r="B82" s="178"/>
      <c r="C82" s="200"/>
      <c r="D82" s="178"/>
      <c r="E82" s="200"/>
      <c r="F82" s="200"/>
      <c r="G82" s="220"/>
      <c r="H82" s="172"/>
      <c r="I82" s="10"/>
      <c r="J82" s="171" t="s">
        <v>4</v>
      </c>
      <c r="K82" s="171"/>
      <c r="L82" s="171" t="s">
        <v>61</v>
      </c>
      <c r="M82" s="171"/>
      <c r="N82" s="10"/>
      <c r="O82" s="171" t="s">
        <v>6</v>
      </c>
      <c r="P82" s="171"/>
      <c r="Q82" s="171" t="s">
        <v>8</v>
      </c>
      <c r="R82" s="171"/>
      <c r="S82" s="10"/>
      <c r="T82" s="171" t="s">
        <v>7</v>
      </c>
      <c r="U82" s="171"/>
      <c r="V82" s="171" t="s">
        <v>8</v>
      </c>
      <c r="W82" s="171"/>
      <c r="Y82" s="171" t="s">
        <v>7</v>
      </c>
      <c r="Z82" s="171"/>
      <c r="AA82" s="171" t="s">
        <v>8</v>
      </c>
      <c r="AB82" s="171"/>
      <c r="AD82" s="171" t="s">
        <v>7</v>
      </c>
      <c r="AE82" s="171"/>
      <c r="AF82" s="171" t="s">
        <v>8</v>
      </c>
      <c r="AG82" s="171"/>
      <c r="AI82" s="175" t="s">
        <v>4</v>
      </c>
      <c r="AJ82" s="175" t="s">
        <v>66</v>
      </c>
      <c r="AK82" s="175" t="s">
        <v>8</v>
      </c>
      <c r="AL82" s="175" t="s">
        <v>5</v>
      </c>
      <c r="AM82" s="99"/>
    </row>
    <row r="83" spans="1:39" s="11" customFormat="1" ht="33" x14ac:dyDescent="0.25">
      <c r="A83" s="204"/>
      <c r="B83" s="179"/>
      <c r="C83" s="219"/>
      <c r="D83" s="179"/>
      <c r="E83" s="219"/>
      <c r="F83" s="201"/>
      <c r="G83" s="220"/>
      <c r="H83" s="172"/>
      <c r="I83" s="12"/>
      <c r="J83" s="155" t="s">
        <v>59</v>
      </c>
      <c r="K83" s="117" t="s">
        <v>60</v>
      </c>
      <c r="L83" s="159" t="s">
        <v>62</v>
      </c>
      <c r="M83" s="117" t="s">
        <v>63</v>
      </c>
      <c r="N83" s="12"/>
      <c r="O83" s="61" t="s">
        <v>59</v>
      </c>
      <c r="P83" s="117" t="s">
        <v>60</v>
      </c>
      <c r="Q83" s="61" t="s">
        <v>62</v>
      </c>
      <c r="R83" s="117" t="s">
        <v>63</v>
      </c>
      <c r="S83" s="10"/>
      <c r="T83" s="61" t="s">
        <v>59</v>
      </c>
      <c r="U83" s="117" t="s">
        <v>60</v>
      </c>
      <c r="V83" s="117" t="s">
        <v>62</v>
      </c>
      <c r="W83" s="117" t="s">
        <v>63</v>
      </c>
      <c r="Y83" s="117" t="s">
        <v>59</v>
      </c>
      <c r="Z83" s="117" t="s">
        <v>60</v>
      </c>
      <c r="AA83" s="117" t="s">
        <v>64</v>
      </c>
      <c r="AB83" s="117" t="s">
        <v>63</v>
      </c>
      <c r="AD83" s="117" t="s">
        <v>59</v>
      </c>
      <c r="AE83" s="117" t="s">
        <v>60</v>
      </c>
      <c r="AF83" s="117" t="s">
        <v>64</v>
      </c>
      <c r="AG83" s="117" t="s">
        <v>63</v>
      </c>
      <c r="AI83" s="176"/>
      <c r="AJ83" s="176"/>
      <c r="AK83" s="176"/>
      <c r="AL83" s="176"/>
      <c r="AM83" s="99"/>
    </row>
    <row r="84" spans="1:39" ht="45" x14ac:dyDescent="0.25">
      <c r="A84" s="208" t="s">
        <v>142</v>
      </c>
      <c r="B84" s="180" t="s">
        <v>143</v>
      </c>
      <c r="C84" s="180" t="s">
        <v>144</v>
      </c>
      <c r="D84" s="180" t="s">
        <v>158</v>
      </c>
      <c r="E84" s="211" t="str">
        <f>C77</f>
        <v xml:space="preserve">Incrementar la efectividad de la gestión pública distrital y local. </v>
      </c>
      <c r="F84" s="139" t="s">
        <v>172</v>
      </c>
      <c r="G84" s="139" t="s">
        <v>145</v>
      </c>
      <c r="H84" s="213" t="str">
        <f>C79</f>
        <v>Gestión pública efectiva, abierta y transparente</v>
      </c>
      <c r="I84" s="14"/>
      <c r="J84" s="131">
        <v>0.1</v>
      </c>
      <c r="K84" s="151">
        <v>0.04</v>
      </c>
      <c r="L84" s="164"/>
      <c r="M84" s="129"/>
      <c r="N84" s="130"/>
      <c r="O84" s="131">
        <v>0.25</v>
      </c>
      <c r="P84" s="131">
        <v>0</v>
      </c>
      <c r="Q84" s="129"/>
      <c r="R84" s="129"/>
      <c r="S84" s="132"/>
      <c r="T84" s="133">
        <v>0.3</v>
      </c>
      <c r="U84" s="133">
        <v>0</v>
      </c>
      <c r="V84" s="134"/>
      <c r="W84" s="135"/>
      <c r="X84" s="136"/>
      <c r="Y84" s="133">
        <v>0.25</v>
      </c>
      <c r="Z84" s="133">
        <v>0</v>
      </c>
      <c r="AA84" s="134"/>
      <c r="AB84" s="135"/>
      <c r="AC84" s="136"/>
      <c r="AD84" s="137">
        <v>0.1</v>
      </c>
      <c r="AE84" s="137">
        <v>0</v>
      </c>
      <c r="AF84" s="134"/>
      <c r="AG84" s="135"/>
      <c r="AH84" s="132"/>
      <c r="AI84" s="137">
        <f>J84+O84+T84+Y84+AD84</f>
        <v>0.99999999999999989</v>
      </c>
      <c r="AJ84" s="151">
        <f t="shared" ref="AJ84:AJ85" si="22">K84+P84+U84+Z84+AE84</f>
        <v>0.04</v>
      </c>
      <c r="AK84" s="138">
        <f t="shared" ref="AK84:AK85" si="23">L84+Q84+V84+AA84+AF84</f>
        <v>0</v>
      </c>
      <c r="AL84" s="138">
        <f t="shared" ref="AL84:AL85" si="24">M84+R84+W84+AB84+AG84</f>
        <v>0</v>
      </c>
      <c r="AM84" s="100"/>
    </row>
    <row r="85" spans="1:39" ht="45" x14ac:dyDescent="0.25">
      <c r="A85" s="209"/>
      <c r="B85" s="187"/>
      <c r="C85" s="187"/>
      <c r="D85" s="187"/>
      <c r="E85" s="212"/>
      <c r="F85" s="152" t="s">
        <v>146</v>
      </c>
      <c r="G85" s="152" t="s">
        <v>147</v>
      </c>
      <c r="H85" s="214"/>
      <c r="I85" s="14"/>
      <c r="J85" s="26">
        <v>0.1</v>
      </c>
      <c r="K85" s="90">
        <v>4.9000000000000002E-2</v>
      </c>
      <c r="L85" s="161">
        <f>3787572151/L2</f>
        <v>3787.5721509999998</v>
      </c>
      <c r="M85" s="29">
        <f>2123042116/L2</f>
        <v>2123.0421160000001</v>
      </c>
      <c r="N85" s="23"/>
      <c r="O85" s="26">
        <v>0.25</v>
      </c>
      <c r="P85" s="26">
        <v>0</v>
      </c>
      <c r="Q85" s="29">
        <f>6830000000/L2</f>
        <v>6830</v>
      </c>
      <c r="R85" s="29"/>
      <c r="S85" s="101"/>
      <c r="T85" s="140">
        <v>0.3</v>
      </c>
      <c r="U85" s="125">
        <v>0</v>
      </c>
      <c r="V85" s="105">
        <f>6830000000/L2</f>
        <v>6830</v>
      </c>
      <c r="W85" s="106"/>
      <c r="X85" s="102"/>
      <c r="Y85" s="140">
        <v>0.25</v>
      </c>
      <c r="Z85" s="125">
        <v>0</v>
      </c>
      <c r="AA85" s="105">
        <f>6830000000/L2</f>
        <v>6830</v>
      </c>
      <c r="AB85" s="106"/>
      <c r="AC85" s="102"/>
      <c r="AD85" s="112">
        <v>0.1</v>
      </c>
      <c r="AE85" s="112">
        <v>0</v>
      </c>
      <c r="AF85" s="105">
        <f>3028098819/L2</f>
        <v>3028.0988189999998</v>
      </c>
      <c r="AG85" s="106"/>
      <c r="AH85" s="101"/>
      <c r="AI85" s="112">
        <f>J85+O85+T85+Y85+AD85</f>
        <v>0.99999999999999989</v>
      </c>
      <c r="AJ85" s="150">
        <f t="shared" si="22"/>
        <v>4.9000000000000002E-2</v>
      </c>
      <c r="AK85" s="62">
        <f t="shared" si="23"/>
        <v>27305.670969999999</v>
      </c>
      <c r="AL85" s="62">
        <f t="shared" si="24"/>
        <v>2123.0421160000001</v>
      </c>
      <c r="AM85" s="100"/>
    </row>
    <row r="86" spans="1:39" ht="45" x14ac:dyDescent="0.25">
      <c r="A86" s="209"/>
      <c r="B86" s="187"/>
      <c r="C86" s="187"/>
      <c r="D86" s="187"/>
      <c r="E86" s="212"/>
      <c r="F86" s="152" t="s">
        <v>148</v>
      </c>
      <c r="G86" s="152" t="s">
        <v>149</v>
      </c>
      <c r="H86" s="214"/>
      <c r="I86" s="14"/>
      <c r="J86" s="26">
        <v>0.1</v>
      </c>
      <c r="K86" s="90">
        <v>4.8300000000000003E-2</v>
      </c>
      <c r="L86" s="161">
        <f>1284795133/L2</f>
        <v>1284.7951330000001</v>
      </c>
      <c r="M86" s="29">
        <f>397636385/L2</f>
        <v>397.63638500000002</v>
      </c>
      <c r="N86" s="23"/>
      <c r="O86" s="26">
        <v>0.25</v>
      </c>
      <c r="P86" s="26">
        <v>0</v>
      </c>
      <c r="Q86" s="29">
        <f>2955000000/L2</f>
        <v>2955</v>
      </c>
      <c r="R86" s="29"/>
      <c r="S86" s="101"/>
      <c r="T86" s="140">
        <v>0.3</v>
      </c>
      <c r="U86" s="125">
        <v>0</v>
      </c>
      <c r="V86" s="105">
        <f>2955000000/L2</f>
        <v>2955</v>
      </c>
      <c r="W86" s="106"/>
      <c r="X86" s="102"/>
      <c r="Y86" s="140">
        <v>0.25</v>
      </c>
      <c r="Z86" s="125">
        <v>0</v>
      </c>
      <c r="AA86" s="105">
        <f>2955000000/L2</f>
        <v>2955</v>
      </c>
      <c r="AB86" s="106"/>
      <c r="AC86" s="102"/>
      <c r="AD86" s="112">
        <v>0.1</v>
      </c>
      <c r="AE86" s="112">
        <v>0</v>
      </c>
      <c r="AF86" s="105">
        <f>1477500000/L2</f>
        <v>1477.5</v>
      </c>
      <c r="AG86" s="106"/>
      <c r="AH86" s="101"/>
      <c r="AI86" s="112">
        <f t="shared" ref="AI86:AI88" si="25">J86+O86+T86+Y86+AD86</f>
        <v>0.99999999999999989</v>
      </c>
      <c r="AJ86" s="150">
        <f t="shared" ref="AJ86:AJ88" si="26">K86+P86+U86+Z86+AE86</f>
        <v>4.8300000000000003E-2</v>
      </c>
      <c r="AK86" s="62">
        <f t="shared" ref="AK86:AK88" si="27">L86+Q86+V86+AA86+AF86</f>
        <v>11627.295133</v>
      </c>
      <c r="AL86" s="62">
        <f t="shared" ref="AL86:AL88" si="28">M86+R86+W86+AB86+AG86</f>
        <v>397.63638500000002</v>
      </c>
      <c r="AM86" s="100"/>
    </row>
    <row r="87" spans="1:39" ht="75" x14ac:dyDescent="0.25">
      <c r="A87" s="209"/>
      <c r="B87" s="187"/>
      <c r="C87" s="187"/>
      <c r="D87" s="187"/>
      <c r="E87" s="212"/>
      <c r="F87" s="152" t="s">
        <v>150</v>
      </c>
      <c r="G87" s="152" t="s">
        <v>151</v>
      </c>
      <c r="H87" s="214"/>
      <c r="I87" s="14"/>
      <c r="J87" s="168">
        <v>1.5</v>
      </c>
      <c r="K87" s="169">
        <v>0.75</v>
      </c>
      <c r="L87" s="161">
        <f>160000000/L2</f>
        <v>160</v>
      </c>
      <c r="M87" s="29">
        <f>147968978/L2</f>
        <v>147.96897799999999</v>
      </c>
      <c r="N87" s="23"/>
      <c r="O87" s="26">
        <v>0.25</v>
      </c>
      <c r="P87" s="26">
        <v>0</v>
      </c>
      <c r="Q87" s="29">
        <f>300000000/L2</f>
        <v>300</v>
      </c>
      <c r="R87" s="29"/>
      <c r="S87" s="101"/>
      <c r="T87" s="140">
        <v>0.3</v>
      </c>
      <c r="U87" s="125">
        <v>0</v>
      </c>
      <c r="V87" s="105">
        <f>300000000/L2</f>
        <v>300</v>
      </c>
      <c r="W87" s="106"/>
      <c r="X87" s="102"/>
      <c r="Y87" s="140">
        <v>0.25</v>
      </c>
      <c r="Z87" s="125">
        <v>0</v>
      </c>
      <c r="AA87" s="105">
        <f>300000000/L2</f>
        <v>300</v>
      </c>
      <c r="AB87" s="106"/>
      <c r="AC87" s="102"/>
      <c r="AD87" s="112">
        <v>0.1</v>
      </c>
      <c r="AE87" s="112">
        <v>0</v>
      </c>
      <c r="AF87" s="105">
        <f>150000000/L2</f>
        <v>150</v>
      </c>
      <c r="AG87" s="106"/>
      <c r="AH87" s="101"/>
      <c r="AI87" s="112">
        <f t="shared" si="25"/>
        <v>2.4</v>
      </c>
      <c r="AJ87" s="150">
        <f t="shared" si="26"/>
        <v>0.75</v>
      </c>
      <c r="AK87" s="62">
        <f t="shared" si="27"/>
        <v>1210</v>
      </c>
      <c r="AL87" s="62">
        <f t="shared" si="28"/>
        <v>147.96897799999999</v>
      </c>
      <c r="AM87" s="100"/>
    </row>
    <row r="88" spans="1:39" ht="60" x14ac:dyDescent="0.25">
      <c r="A88" s="209"/>
      <c r="B88" s="187"/>
      <c r="C88" s="187"/>
      <c r="D88" s="187"/>
      <c r="E88" s="212"/>
      <c r="F88" s="152" t="s">
        <v>173</v>
      </c>
      <c r="G88" s="152" t="s">
        <v>153</v>
      </c>
      <c r="H88" s="214"/>
      <c r="I88" s="14"/>
      <c r="J88" s="26">
        <v>0</v>
      </c>
      <c r="K88" s="90">
        <v>0</v>
      </c>
      <c r="L88" s="161"/>
      <c r="M88" s="29"/>
      <c r="N88" s="23"/>
      <c r="O88" s="26">
        <v>0.25</v>
      </c>
      <c r="P88" s="26">
        <v>0</v>
      </c>
      <c r="Q88" s="29">
        <f>1010000000/L2</f>
        <v>1010</v>
      </c>
      <c r="R88" s="29"/>
      <c r="S88" s="101"/>
      <c r="T88" s="140">
        <v>0.3</v>
      </c>
      <c r="U88" s="125">
        <v>0</v>
      </c>
      <c r="V88" s="105">
        <f>880000000/L2</f>
        <v>880</v>
      </c>
      <c r="W88" s="106"/>
      <c r="X88" s="102"/>
      <c r="Y88" s="140">
        <v>0.25</v>
      </c>
      <c r="Z88" s="125">
        <v>0</v>
      </c>
      <c r="AA88" s="105">
        <f>880000000/L2</f>
        <v>880</v>
      </c>
      <c r="AB88" s="106"/>
      <c r="AC88" s="102"/>
      <c r="AD88" s="112">
        <v>0.1</v>
      </c>
      <c r="AE88" s="112">
        <v>0</v>
      </c>
      <c r="AF88" s="105">
        <f>240000000/L2</f>
        <v>240</v>
      </c>
      <c r="AG88" s="106"/>
      <c r="AH88" s="101"/>
      <c r="AI88" s="112">
        <f t="shared" si="25"/>
        <v>0.9</v>
      </c>
      <c r="AJ88" s="150">
        <f t="shared" si="26"/>
        <v>0</v>
      </c>
      <c r="AK88" s="62">
        <f t="shared" si="27"/>
        <v>3010</v>
      </c>
      <c r="AL88" s="62">
        <f t="shared" si="28"/>
        <v>0</v>
      </c>
      <c r="AM88" s="100"/>
    </row>
    <row r="89" spans="1:39" ht="15.75" x14ac:dyDescent="0.25">
      <c r="A89" s="154"/>
      <c r="B89" s="118"/>
      <c r="C89" s="118"/>
      <c r="D89" s="118"/>
      <c r="E89" s="120"/>
      <c r="F89" s="152" t="s">
        <v>152</v>
      </c>
      <c r="G89" s="152" t="s">
        <v>153</v>
      </c>
      <c r="H89" s="121"/>
      <c r="I89" s="14"/>
      <c r="J89" s="26">
        <v>0.05</v>
      </c>
      <c r="K89" s="90">
        <v>6.3E-3</v>
      </c>
      <c r="L89" s="161">
        <f>1495859332/L2</f>
        <v>1495.859332</v>
      </c>
      <c r="M89" s="29">
        <f>9241598/L2</f>
        <v>9.2415979999999998</v>
      </c>
      <c r="N89" s="23"/>
      <c r="O89" s="26">
        <v>0.25</v>
      </c>
      <c r="P89" s="26">
        <v>0</v>
      </c>
      <c r="Q89" s="29">
        <f>3176773384/L2</f>
        <v>3176.7733840000001</v>
      </c>
      <c r="R89" s="29"/>
      <c r="S89" s="101"/>
      <c r="T89" s="140">
        <v>0.3</v>
      </c>
      <c r="U89" s="125">
        <v>0</v>
      </c>
      <c r="V89" s="105">
        <f>3035000000/L2</f>
        <v>3035</v>
      </c>
      <c r="W89" s="106"/>
      <c r="X89" s="102"/>
      <c r="Y89" s="140">
        <v>0.25</v>
      </c>
      <c r="Z89" s="125">
        <v>0</v>
      </c>
      <c r="AA89" s="105">
        <f>3035000000/L2</f>
        <v>3035</v>
      </c>
      <c r="AB89" s="106"/>
      <c r="AC89" s="102"/>
      <c r="AD89" s="112">
        <v>0.1</v>
      </c>
      <c r="AE89" s="112">
        <v>0</v>
      </c>
      <c r="AF89" s="105">
        <f>1104401181/L2</f>
        <v>1104.401181</v>
      </c>
      <c r="AG89" s="106"/>
      <c r="AH89" s="101"/>
      <c r="AI89" s="112">
        <f t="shared" ref="AI89" si="29">J89+O89+T89+Y89+AD89</f>
        <v>0.95</v>
      </c>
      <c r="AJ89" s="150">
        <f t="shared" ref="AJ89" si="30">K89+P89+U89+Z89+AE89</f>
        <v>6.3E-3</v>
      </c>
      <c r="AK89" s="62">
        <f t="shared" ref="AK89" si="31">L89+Q89+V89+AA89+AF89</f>
        <v>11847.033896999999</v>
      </c>
      <c r="AL89" s="62">
        <f t="shared" ref="AL89" si="32">M89+R89+W89+AB89+AG89</f>
        <v>9.2415979999999998</v>
      </c>
      <c r="AM89" s="100"/>
    </row>
    <row r="90" spans="1:39" s="6" customFormat="1" ht="15.75" x14ac:dyDescent="0.25">
      <c r="A90" s="17"/>
      <c r="B90" s="119" t="s">
        <v>103</v>
      </c>
      <c r="C90" s="119"/>
      <c r="D90" s="119"/>
      <c r="E90" s="119"/>
      <c r="F90" s="39"/>
      <c r="G90" s="39"/>
      <c r="H90" s="39"/>
      <c r="I90" s="40"/>
      <c r="J90" s="41"/>
      <c r="K90" s="41"/>
      <c r="L90" s="162">
        <f>SUM(L84:L89)</f>
        <v>6728.2266159999999</v>
      </c>
      <c r="M90" s="153">
        <f>SUM(M84:M89)</f>
        <v>2677.8890770000003</v>
      </c>
      <c r="N90" s="51"/>
      <c r="O90" s="41"/>
      <c r="P90" s="41"/>
      <c r="Q90" s="153">
        <f>SUM(Q84:Q89)</f>
        <v>14271.773384</v>
      </c>
      <c r="R90" s="153">
        <f>SUM(R84:R89)</f>
        <v>0</v>
      </c>
      <c r="T90" s="41"/>
      <c r="U90" s="41"/>
      <c r="V90" s="153">
        <f>SUM(V84:V89)</f>
        <v>14000</v>
      </c>
      <c r="W90" s="153">
        <f>SUM(W84:W89)</f>
        <v>0</v>
      </c>
      <c r="Y90" s="41"/>
      <c r="Z90" s="41"/>
      <c r="AA90" s="153">
        <f>SUM(AA84:AA89)</f>
        <v>14000</v>
      </c>
      <c r="AB90" s="153">
        <f>SUM(AB84:AB89)</f>
        <v>0</v>
      </c>
      <c r="AC90" s="113"/>
      <c r="AD90" s="41"/>
      <c r="AE90" s="42"/>
      <c r="AF90" s="153">
        <f>SUM(AF84:AF89)</f>
        <v>6000</v>
      </c>
      <c r="AG90" s="153">
        <f>SUM(AG84:AG89)</f>
        <v>0</v>
      </c>
      <c r="AI90" s="97"/>
      <c r="AJ90" s="97"/>
      <c r="AK90" s="153">
        <f>SUM(AK84:AK89)</f>
        <v>55000</v>
      </c>
      <c r="AL90" s="153">
        <f>SUM(AL84:AL89)</f>
        <v>2677.8890770000003</v>
      </c>
      <c r="AM90" s="99"/>
    </row>
  </sheetData>
  <mergeCells count="201">
    <mergeCell ref="A1:AL1"/>
    <mergeCell ref="A3:AL3"/>
    <mergeCell ref="A4:AL4"/>
    <mergeCell ref="A5:AL5"/>
    <mergeCell ref="A6:AL6"/>
    <mergeCell ref="A7:AL7"/>
    <mergeCell ref="AI16:AI17"/>
    <mergeCell ref="AJ16:AJ17"/>
    <mergeCell ref="AK16:AK17"/>
    <mergeCell ref="J16:K16"/>
    <mergeCell ref="L16:M16"/>
    <mergeCell ref="O16:P16"/>
    <mergeCell ref="B15:B17"/>
    <mergeCell ref="C15:C17"/>
    <mergeCell ref="D15:D17"/>
    <mergeCell ref="E15:E17"/>
    <mergeCell ref="F15:F17"/>
    <mergeCell ref="C10:AL10"/>
    <mergeCell ref="C12:AL12"/>
    <mergeCell ref="C13:AL13"/>
    <mergeCell ref="C11:AL11"/>
    <mergeCell ref="C30:AL30"/>
    <mergeCell ref="B18:B24"/>
    <mergeCell ref="C18:C24"/>
    <mergeCell ref="D18:D24"/>
    <mergeCell ref="E18:E24"/>
    <mergeCell ref="H18:H24"/>
    <mergeCell ref="A18:A24"/>
    <mergeCell ref="G15:G17"/>
    <mergeCell ref="A15:A17"/>
    <mergeCell ref="AI15:AL15"/>
    <mergeCell ref="H15:H17"/>
    <mergeCell ref="J15:M15"/>
    <mergeCell ref="O15:R15"/>
    <mergeCell ref="T15:W15"/>
    <mergeCell ref="Y15:AB15"/>
    <mergeCell ref="AD15:AG15"/>
    <mergeCell ref="Q16:R16"/>
    <mergeCell ref="T16:U16"/>
    <mergeCell ref="V16:W16"/>
    <mergeCell ref="Y16:Z16"/>
    <mergeCell ref="AL16:AL17"/>
    <mergeCell ref="AA16:AB16"/>
    <mergeCell ref="AD16:AE16"/>
    <mergeCell ref="AF16:AG16"/>
    <mergeCell ref="A37:A40"/>
    <mergeCell ref="B37:B40"/>
    <mergeCell ref="C37:C40"/>
    <mergeCell ref="D37:D40"/>
    <mergeCell ref="E37:E40"/>
    <mergeCell ref="H37:H40"/>
    <mergeCell ref="A50:A52"/>
    <mergeCell ref="B50:B52"/>
    <mergeCell ref="C50:C52"/>
    <mergeCell ref="D50:D52"/>
    <mergeCell ref="E50:E52"/>
    <mergeCell ref="F50:F52"/>
    <mergeCell ref="G50:G52"/>
    <mergeCell ref="H50:H52"/>
    <mergeCell ref="C46:AL46"/>
    <mergeCell ref="J50:M50"/>
    <mergeCell ref="O50:R50"/>
    <mergeCell ref="T50:W50"/>
    <mergeCell ref="Y50:AB50"/>
    <mergeCell ref="AD50:AG50"/>
    <mergeCell ref="AI50:AL50"/>
    <mergeCell ref="J51:K51"/>
    <mergeCell ref="L51:M51"/>
    <mergeCell ref="O51:P51"/>
    <mergeCell ref="G81:G83"/>
    <mergeCell ref="H81:H83"/>
    <mergeCell ref="J81:M81"/>
    <mergeCell ref="O81:R81"/>
    <mergeCell ref="T81:W81"/>
    <mergeCell ref="Y81:AB81"/>
    <mergeCell ref="J66:M66"/>
    <mergeCell ref="O66:R66"/>
    <mergeCell ref="T66:W66"/>
    <mergeCell ref="Y66:AB66"/>
    <mergeCell ref="J67:K67"/>
    <mergeCell ref="L67:M67"/>
    <mergeCell ref="O67:P67"/>
    <mergeCell ref="Q67:R67"/>
    <mergeCell ref="T67:U67"/>
    <mergeCell ref="V67:W67"/>
    <mergeCell ref="Y67:Z67"/>
    <mergeCell ref="AA67:AB67"/>
    <mergeCell ref="AI35:AI36"/>
    <mergeCell ref="AJ35:AJ36"/>
    <mergeCell ref="AK35:AK36"/>
    <mergeCell ref="AL35:AL36"/>
    <mergeCell ref="A34:A36"/>
    <mergeCell ref="B34:B36"/>
    <mergeCell ref="C34:C36"/>
    <mergeCell ref="D34:D36"/>
    <mergeCell ref="E34:E36"/>
    <mergeCell ref="F34:F36"/>
    <mergeCell ref="G34:G36"/>
    <mergeCell ref="H34:H36"/>
    <mergeCell ref="J34:M34"/>
    <mergeCell ref="T35:U35"/>
    <mergeCell ref="V35:W35"/>
    <mergeCell ref="Y35:Z35"/>
    <mergeCell ref="AA35:AB35"/>
    <mergeCell ref="AD35:AE35"/>
    <mergeCell ref="AF35:AG35"/>
    <mergeCell ref="AK51:AK52"/>
    <mergeCell ref="AL51:AL52"/>
    <mergeCell ref="D69:D71"/>
    <mergeCell ref="E69:E71"/>
    <mergeCell ref="H69:H71"/>
    <mergeCell ref="V82:W82"/>
    <mergeCell ref="Y82:Z82"/>
    <mergeCell ref="AA82:AB82"/>
    <mergeCell ref="C77:AL77"/>
    <mergeCell ref="AF82:AG82"/>
    <mergeCell ref="AI82:AI83"/>
    <mergeCell ref="Q51:R51"/>
    <mergeCell ref="T51:U51"/>
    <mergeCell ref="V51:W51"/>
    <mergeCell ref="Y51:Z51"/>
    <mergeCell ref="AA51:AB51"/>
    <mergeCell ref="AD51:AE51"/>
    <mergeCell ref="AF51:AG51"/>
    <mergeCell ref="AI51:AI52"/>
    <mergeCell ref="AJ51:AJ52"/>
    <mergeCell ref="C81:C83"/>
    <mergeCell ref="D81:D83"/>
    <mergeCell ref="E81:E83"/>
    <mergeCell ref="F81:F83"/>
    <mergeCell ref="A53:A56"/>
    <mergeCell ref="B53:B56"/>
    <mergeCell ref="C53:C56"/>
    <mergeCell ref="D53:D56"/>
    <mergeCell ref="E53:E56"/>
    <mergeCell ref="H53:H56"/>
    <mergeCell ref="A66:A68"/>
    <mergeCell ref="B66:B68"/>
    <mergeCell ref="C66:C68"/>
    <mergeCell ref="D66:D68"/>
    <mergeCell ref="E66:E68"/>
    <mergeCell ref="F66:F68"/>
    <mergeCell ref="G66:G68"/>
    <mergeCell ref="H66:H68"/>
    <mergeCell ref="C63:AL63"/>
    <mergeCell ref="AD66:AG66"/>
    <mergeCell ref="AI66:AL66"/>
    <mergeCell ref="AD67:AE67"/>
    <mergeCell ref="AF67:AG67"/>
    <mergeCell ref="AI67:AI68"/>
    <mergeCell ref="AJ67:AJ68"/>
    <mergeCell ref="AK67:AK68"/>
    <mergeCell ref="AL67:AL68"/>
    <mergeCell ref="A81:A83"/>
    <mergeCell ref="B81:B83"/>
    <mergeCell ref="AJ82:AJ83"/>
    <mergeCell ref="AK82:AK83"/>
    <mergeCell ref="AL82:AL83"/>
    <mergeCell ref="A8:AL8"/>
    <mergeCell ref="A27:AL27"/>
    <mergeCell ref="C29:AL29"/>
    <mergeCell ref="C31:AL31"/>
    <mergeCell ref="C32:AL32"/>
    <mergeCell ref="A43:AL43"/>
    <mergeCell ref="C45:AL45"/>
    <mergeCell ref="C47:AL47"/>
    <mergeCell ref="C48:AL48"/>
    <mergeCell ref="O34:R34"/>
    <mergeCell ref="T34:W34"/>
    <mergeCell ref="Y34:AB34"/>
    <mergeCell ref="AD34:AG34"/>
    <mergeCell ref="AI34:AL34"/>
    <mergeCell ref="J35:K35"/>
    <mergeCell ref="L35:M35"/>
    <mergeCell ref="O35:P35"/>
    <mergeCell ref="Q35:R35"/>
    <mergeCell ref="A69:A71"/>
    <mergeCell ref="B69:B71"/>
    <mergeCell ref="C69:C71"/>
    <mergeCell ref="A84:A88"/>
    <mergeCell ref="B84:B88"/>
    <mergeCell ref="C84:C88"/>
    <mergeCell ref="D84:D88"/>
    <mergeCell ref="E84:E88"/>
    <mergeCell ref="H84:H88"/>
    <mergeCell ref="A59:AL59"/>
    <mergeCell ref="C61:AL61"/>
    <mergeCell ref="C62:AL62"/>
    <mergeCell ref="C64:AL64"/>
    <mergeCell ref="A74:AL74"/>
    <mergeCell ref="C76:AL76"/>
    <mergeCell ref="C78:AL78"/>
    <mergeCell ref="C79:AL79"/>
    <mergeCell ref="AD81:AG81"/>
    <mergeCell ref="AI81:AL81"/>
    <mergeCell ref="J82:K82"/>
    <mergeCell ref="L82:M82"/>
    <mergeCell ref="O82:P82"/>
    <mergeCell ref="Q82:R82"/>
    <mergeCell ref="T82:U82"/>
    <mergeCell ref="AD82:AE82"/>
  </mergeCells>
  <pageMargins left="0.70866141732283472" right="0.70866141732283472" top="0.74803149606299213" bottom="0.74803149606299213" header="0.31496062992125984" footer="0.31496062992125984"/>
  <pageSetup paperSize="5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Septiembre 2020</vt:lpstr>
      <vt:lpstr>'Septiembre 2020'!Área_de_impresión</vt:lpstr>
    </vt:vector>
  </TitlesOfParts>
  <Company>IPES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Erika</cp:lastModifiedBy>
  <cp:lastPrinted>2020-05-20T22:21:52Z</cp:lastPrinted>
  <dcterms:created xsi:type="dcterms:W3CDTF">2009-07-24T20:19:08Z</dcterms:created>
  <dcterms:modified xsi:type="dcterms:W3CDTF">2020-10-31T01:32:54Z</dcterms:modified>
</cp:coreProperties>
</file>